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ool\Desktop\"/>
    </mc:Choice>
  </mc:AlternateContent>
  <bookViews>
    <workbookView xWindow="240" yWindow="105" windowWidth="14805" windowHeight="8010" tabRatio="601" firstSheet="1" activeTab="5"/>
  </bookViews>
  <sheets>
    <sheet name="Indicator Tracking" sheetId="15" r:id="rId1"/>
    <sheet name="Overview" sheetId="10" r:id="rId2"/>
    <sheet name="ECO-Nepal (Gorkha)" sheetId="2" r:id="rId3"/>
    <sheet name="FAYA-Nepal (Dhading)" sheetId="3" r:id="rId4"/>
    <sheet name="FSCN (LTP &amp; BKT)" sheetId="9" r:id="rId5"/>
    <sheet name="WOREC LTP &amp; BKT)" sheetId="16" r:id="rId6"/>
    <sheet name="POURAKHI (Dhading)" sheetId="14" r:id="rId7"/>
  </sheets>
  <calcPr calcId="152511"/>
</workbook>
</file>

<file path=xl/calcChain.xml><?xml version="1.0" encoding="utf-8"?>
<calcChain xmlns="http://schemas.openxmlformats.org/spreadsheetml/2006/main">
  <c r="I59" i="15" l="1"/>
  <c r="I57" i="15"/>
  <c r="I55" i="15"/>
  <c r="I51" i="15"/>
  <c r="I52" i="15"/>
  <c r="I53" i="15"/>
  <c r="I50" i="15"/>
  <c r="I48" i="15"/>
  <c r="I40" i="15"/>
  <c r="I44" i="15"/>
  <c r="I43" i="15"/>
  <c r="I36" i="15"/>
  <c r="I37" i="15"/>
  <c r="I35" i="15"/>
  <c r="I24" i="15" l="1"/>
  <c r="I25" i="15"/>
  <c r="I26" i="15"/>
  <c r="I27" i="15"/>
  <c r="I28" i="15"/>
  <c r="I29" i="15"/>
  <c r="I23" i="15"/>
  <c r="I16" i="15"/>
  <c r="I17" i="15"/>
  <c r="I18" i="15"/>
  <c r="I19" i="15"/>
  <c r="I20" i="15"/>
  <c r="I15" i="15"/>
  <c r="I13" i="15"/>
  <c r="I9" i="15"/>
  <c r="I10" i="15"/>
  <c r="I8" i="15"/>
  <c r="I6" i="15"/>
  <c r="I5" i="15"/>
  <c r="P9" i="10" l="1"/>
  <c r="P7" i="10"/>
  <c r="B6" i="16"/>
  <c r="B7" i="16" s="1"/>
  <c r="B7" i="10" s="1"/>
  <c r="B5" i="16"/>
  <c r="B9" i="10"/>
  <c r="B4" i="10"/>
  <c r="B5" i="10"/>
  <c r="B3" i="16"/>
  <c r="H6" i="16"/>
  <c r="H5" i="16"/>
  <c r="H7" i="16" s="1"/>
  <c r="H3" i="16" l="1"/>
  <c r="AD9" i="9" l="1"/>
  <c r="AF40" i="9"/>
  <c r="BK35" i="9" l="1"/>
  <c r="AD6" i="14"/>
  <c r="BJ4" i="2"/>
  <c r="BK3" i="9"/>
  <c r="AD3" i="14"/>
  <c r="Q6" i="14"/>
  <c r="AN7" i="16"/>
  <c r="AN3" i="16"/>
  <c r="AF7" i="16"/>
  <c r="U7" i="16"/>
  <c r="AU7" i="16"/>
  <c r="AJ7" i="16"/>
  <c r="AG7" i="16"/>
  <c r="AA7" i="16"/>
  <c r="H6" i="9" l="1"/>
  <c r="H23" i="9"/>
  <c r="H22" i="9"/>
  <c r="L7" i="3"/>
  <c r="L8" i="3"/>
  <c r="L6" i="3"/>
  <c r="K7" i="3"/>
  <c r="K8" i="3"/>
  <c r="K6" i="3"/>
  <c r="M6" i="9"/>
  <c r="M7" i="9"/>
  <c r="M8" i="9"/>
  <c r="M10" i="9"/>
  <c r="M11" i="9"/>
  <c r="M12" i="9"/>
  <c r="M13" i="9"/>
  <c r="M14" i="9"/>
  <c r="M15" i="9"/>
  <c r="M16" i="9"/>
  <c r="M17" i="9"/>
  <c r="M18" i="9"/>
  <c r="M19" i="9"/>
  <c r="M20" i="9"/>
  <c r="M21" i="9"/>
  <c r="M22" i="9"/>
  <c r="M23" i="9"/>
  <c r="M24" i="9"/>
  <c r="M25" i="9"/>
  <c r="M26" i="9"/>
  <c r="M27" i="9"/>
  <c r="M28" i="9"/>
  <c r="M29" i="9"/>
  <c r="M30" i="9"/>
  <c r="M31" i="9"/>
  <c r="M32" i="9"/>
  <c r="M33" i="9"/>
  <c r="M34" i="9"/>
  <c r="M5" i="9"/>
  <c r="L6" i="9"/>
  <c r="L7" i="9"/>
  <c r="L8" i="9"/>
  <c r="L10" i="9"/>
  <c r="L11" i="9"/>
  <c r="L12" i="9"/>
  <c r="L13" i="9"/>
  <c r="L14" i="9"/>
  <c r="L15" i="9"/>
  <c r="L16" i="9"/>
  <c r="L17" i="9"/>
  <c r="L18" i="9"/>
  <c r="L19" i="9"/>
  <c r="L20" i="9"/>
  <c r="L21" i="9"/>
  <c r="L22" i="9"/>
  <c r="L23" i="9"/>
  <c r="L24" i="9"/>
  <c r="L25" i="9"/>
  <c r="L26" i="9"/>
  <c r="L27" i="9"/>
  <c r="L28" i="9"/>
  <c r="L29" i="9"/>
  <c r="L30" i="9"/>
  <c r="L31" i="9"/>
  <c r="L32" i="9"/>
  <c r="L33" i="9"/>
  <c r="L34" i="9"/>
  <c r="L5" i="9"/>
  <c r="G10" i="2"/>
  <c r="L7" i="2"/>
  <c r="L8" i="2"/>
  <c r="L9" i="2"/>
  <c r="L10" i="2"/>
  <c r="L11" i="2"/>
  <c r="L12" i="2"/>
  <c r="L13" i="2"/>
  <c r="L14" i="2"/>
  <c r="L15" i="2"/>
  <c r="L16" i="2"/>
  <c r="L17" i="2"/>
  <c r="L18" i="2"/>
  <c r="L19" i="2"/>
  <c r="L20" i="2"/>
  <c r="L21" i="2"/>
  <c r="L22" i="2"/>
  <c r="L6" i="2"/>
  <c r="K7" i="2" l="1"/>
  <c r="K8" i="2"/>
  <c r="K9" i="2"/>
  <c r="K10" i="2"/>
  <c r="K11" i="2"/>
  <c r="K12" i="2"/>
  <c r="K13" i="2"/>
  <c r="K14" i="2"/>
  <c r="K15" i="2"/>
  <c r="K16" i="2"/>
  <c r="K17" i="2"/>
  <c r="K18" i="2"/>
  <c r="K19" i="2"/>
  <c r="K20" i="2"/>
  <c r="K21" i="2"/>
  <c r="K22" i="2"/>
  <c r="K6" i="2"/>
  <c r="E5" i="10" l="1"/>
  <c r="J23" i="2"/>
  <c r="E4" i="10" s="1"/>
  <c r="J9" i="3"/>
  <c r="K6" i="9"/>
  <c r="K7" i="9"/>
  <c r="K8" i="9"/>
  <c r="K10" i="9"/>
  <c r="K11" i="9"/>
  <c r="K12" i="9"/>
  <c r="K13" i="9"/>
  <c r="K14" i="9"/>
  <c r="K15" i="9"/>
  <c r="K16" i="9"/>
  <c r="K17" i="9"/>
  <c r="K18" i="9"/>
  <c r="K19" i="9"/>
  <c r="K20" i="9"/>
  <c r="K21" i="9"/>
  <c r="K22" i="9"/>
  <c r="K23" i="9"/>
  <c r="K24" i="9"/>
  <c r="K25" i="9"/>
  <c r="K26" i="9"/>
  <c r="K27" i="9"/>
  <c r="K28" i="9"/>
  <c r="K29" i="9"/>
  <c r="K30" i="9"/>
  <c r="K31" i="9"/>
  <c r="K32" i="9"/>
  <c r="K33" i="9"/>
  <c r="K34" i="9"/>
  <c r="K5" i="9"/>
  <c r="K35" i="9" s="1"/>
  <c r="E6" i="10" s="1"/>
  <c r="K3" i="9"/>
  <c r="J7" i="3"/>
  <c r="J8" i="3"/>
  <c r="J6" i="3"/>
  <c r="J4" i="3"/>
  <c r="J8" i="2"/>
  <c r="J9" i="2"/>
  <c r="J10" i="2"/>
  <c r="J11" i="2"/>
  <c r="J12" i="2"/>
  <c r="J14" i="2"/>
  <c r="J15" i="2"/>
  <c r="J16" i="2"/>
  <c r="J17" i="2"/>
  <c r="J18" i="2"/>
  <c r="J20" i="2"/>
  <c r="J21" i="2"/>
  <c r="J22" i="2"/>
  <c r="J4" i="2"/>
  <c r="V5" i="9"/>
  <c r="AC3" i="9"/>
  <c r="Y35" i="9"/>
  <c r="V23" i="9"/>
  <c r="W6" i="9"/>
  <c r="V6" i="9" s="1"/>
  <c r="X9" i="3"/>
  <c r="U7" i="3"/>
  <c r="U8" i="3"/>
  <c r="X23" i="2"/>
  <c r="X4" i="2"/>
  <c r="E9" i="10" l="1"/>
  <c r="D26" i="15" s="1"/>
  <c r="U4" i="2"/>
  <c r="T4" i="2"/>
  <c r="L3" i="9" l="1"/>
  <c r="L35" i="9"/>
  <c r="F6" i="10" s="1"/>
  <c r="K4" i="3"/>
  <c r="K9" i="3"/>
  <c r="F5" i="10" s="1"/>
  <c r="K4" i="2"/>
  <c r="K23" i="2"/>
  <c r="F4" i="10" s="1"/>
  <c r="AA7" i="10"/>
  <c r="Z6" i="10"/>
  <c r="Z7" i="10"/>
  <c r="W7" i="10"/>
  <c r="X7" i="10"/>
  <c r="F9" i="10" l="1"/>
  <c r="U8" i="10"/>
  <c r="U7" i="10"/>
  <c r="V7" i="10" l="1"/>
  <c r="T7" i="10"/>
  <c r="L6" i="16"/>
  <c r="L5" i="16"/>
  <c r="K6" i="16"/>
  <c r="K5" i="16"/>
  <c r="K7" i="16" s="1"/>
  <c r="AM3" i="16"/>
  <c r="AG3" i="16"/>
  <c r="A1" i="16"/>
  <c r="Z8" i="10"/>
  <c r="AG6" i="14"/>
  <c r="AA8" i="10" s="1"/>
  <c r="AC3" i="14"/>
  <c r="W6" i="14"/>
  <c r="W8" i="10" s="1"/>
  <c r="Z6" i="14"/>
  <c r="X8" i="10" s="1"/>
  <c r="W3" i="14"/>
  <c r="L6" i="14"/>
  <c r="C5" i="14"/>
  <c r="B5" i="14"/>
  <c r="B6" i="14" s="1"/>
  <c r="BM35" i="9"/>
  <c r="AA6" i="10" s="1"/>
  <c r="BJ3" i="9"/>
  <c r="BG35" i="9"/>
  <c r="X6" i="10" s="1"/>
  <c r="BD35" i="9"/>
  <c r="W6" i="10" s="1"/>
  <c r="BD3" i="9"/>
  <c r="BC35" i="9"/>
  <c r="AT35" i="9"/>
  <c r="AY35" i="9"/>
  <c r="U6" i="10" s="1"/>
  <c r="AK20" i="9"/>
  <c r="AJ20" i="9"/>
  <c r="AK5" i="9"/>
  <c r="AJ5" i="9"/>
  <c r="BI4" i="3"/>
  <c r="BJ9" i="3"/>
  <c r="BC4" i="3"/>
  <c r="BC9" i="3"/>
  <c r="W5" i="10" s="1"/>
  <c r="BF9" i="3"/>
  <c r="X5" i="10" s="1"/>
  <c r="AX9" i="3"/>
  <c r="U5" i="10" s="1"/>
  <c r="BJ23" i="2"/>
  <c r="Z4" i="10" s="1"/>
  <c r="BF23" i="2"/>
  <c r="X4" i="10" s="1"/>
  <c r="BC23" i="2"/>
  <c r="W4" i="10" s="1"/>
  <c r="BC4" i="2"/>
  <c r="AX23" i="2"/>
  <c r="U4" i="10" s="1"/>
  <c r="AJ6" i="3"/>
  <c r="AI6" i="3"/>
  <c r="AI9" i="3" s="1"/>
  <c r="AI4" i="3"/>
  <c r="AS4" i="3"/>
  <c r="BB4" i="3"/>
  <c r="S7" i="10" l="1"/>
  <c r="AJ35" i="9"/>
  <c r="X9" i="10"/>
  <c r="D55" i="15" s="1"/>
  <c r="U9" i="10"/>
  <c r="D52" i="15" s="1"/>
  <c r="AJ6" i="2"/>
  <c r="AI6" i="2"/>
  <c r="A1" i="15" l="1"/>
  <c r="D16" i="15"/>
  <c r="D17" i="15" l="1"/>
  <c r="D19" i="15"/>
  <c r="D20" i="15" l="1"/>
  <c r="C3" i="9"/>
  <c r="BK4" i="3"/>
  <c r="AH4" i="3"/>
  <c r="AF4" i="3"/>
  <c r="AC4" i="3"/>
  <c r="AB4" i="3"/>
  <c r="X4" i="3"/>
  <c r="U4" i="3"/>
  <c r="T4" i="3"/>
  <c r="S4" i="3"/>
  <c r="R4" i="3"/>
  <c r="P4" i="3"/>
  <c r="O4" i="3"/>
  <c r="M4" i="3"/>
  <c r="G4" i="3"/>
  <c r="F4" i="3"/>
  <c r="B4" i="3"/>
  <c r="BK4" i="2"/>
  <c r="BI4" i="2"/>
  <c r="BB4" i="2"/>
  <c r="AS4" i="2"/>
  <c r="AH4" i="2"/>
  <c r="AF4" i="2"/>
  <c r="AC4" i="2"/>
  <c r="AB4" i="2"/>
  <c r="S4" i="2"/>
  <c r="R4" i="2"/>
  <c r="P4" i="2"/>
  <c r="O4" i="2"/>
  <c r="M4" i="2"/>
  <c r="G4" i="2"/>
  <c r="F4" i="2"/>
  <c r="B4" i="2"/>
  <c r="AI4" i="2"/>
  <c r="AC9" i="3"/>
  <c r="AD35" i="9"/>
  <c r="AC23" i="2"/>
  <c r="B7" i="3"/>
  <c r="B8" i="3"/>
  <c r="B6" i="3"/>
  <c r="B7" i="2"/>
  <c r="B8" i="2"/>
  <c r="B9" i="2"/>
  <c r="B10" i="2"/>
  <c r="B11" i="2"/>
  <c r="B12" i="2"/>
  <c r="B13" i="2"/>
  <c r="B14" i="2"/>
  <c r="B15" i="2"/>
  <c r="B16" i="2"/>
  <c r="B17" i="2"/>
  <c r="B18" i="2"/>
  <c r="B19" i="2"/>
  <c r="B20" i="2"/>
  <c r="B21" i="2"/>
  <c r="B22" i="2"/>
  <c r="B6" i="2"/>
  <c r="S5" i="10" l="1"/>
  <c r="BK23" i="2"/>
  <c r="AA4" i="10" s="1"/>
  <c r="AS23" i="2"/>
  <c r="T4" i="10" s="1"/>
  <c r="BB9" i="3"/>
  <c r="V5" i="10" s="1"/>
  <c r="AS9" i="3"/>
  <c r="T5" i="10" s="1"/>
  <c r="AI23" i="2"/>
  <c r="S4" i="10" s="1"/>
  <c r="BK9" i="3"/>
  <c r="S6" i="10"/>
  <c r="T8" i="10"/>
  <c r="V6" i="14"/>
  <c r="V8" i="10" s="1"/>
  <c r="A1" i="14"/>
  <c r="A1" i="9"/>
  <c r="A1" i="3"/>
  <c r="A1" i="2"/>
  <c r="R9" i="10"/>
  <c r="Z5" i="10" l="1"/>
  <c r="Z9" i="10" s="1"/>
  <c r="D57" i="15" s="1"/>
  <c r="AA5" i="10"/>
  <c r="AA9" i="10" s="1"/>
  <c r="D59" i="15" s="1"/>
  <c r="S8" i="10"/>
  <c r="S9" i="10" l="1"/>
  <c r="D50" i="15" s="1"/>
  <c r="BB23" i="2"/>
  <c r="V4" i="10" s="1"/>
  <c r="D48" i="15" l="1"/>
  <c r="S11" i="10"/>
  <c r="Q35" i="9"/>
  <c r="I6" i="10" s="1"/>
  <c r="P9" i="3"/>
  <c r="I5" i="10" s="1"/>
  <c r="S35" i="9"/>
  <c r="J6" i="10" s="1"/>
  <c r="P35" i="9"/>
  <c r="H6" i="10" s="1"/>
  <c r="N35" i="9" l="1"/>
  <c r="G6" i="10" s="1"/>
  <c r="O23" i="2" l="1"/>
  <c r="R9" i="3"/>
  <c r="J5" i="10" s="1"/>
  <c r="G9" i="3"/>
  <c r="M9" i="3" l="1"/>
  <c r="G5" i="10" s="1"/>
  <c r="V7" i="9"/>
  <c r="V8" i="9"/>
  <c r="V10" i="9"/>
  <c r="V11" i="9"/>
  <c r="V12" i="9"/>
  <c r="V13" i="9"/>
  <c r="V14" i="9"/>
  <c r="V15" i="9"/>
  <c r="V16" i="9"/>
  <c r="V18" i="9"/>
  <c r="V19" i="9"/>
  <c r="V20" i="9"/>
  <c r="V21" i="9"/>
  <c r="V22" i="9"/>
  <c r="V24" i="9"/>
  <c r="V25" i="9"/>
  <c r="V26" i="9"/>
  <c r="V27" i="9"/>
  <c r="V28" i="9"/>
  <c r="V29" i="9"/>
  <c r="V30" i="9"/>
  <c r="V31" i="9"/>
  <c r="V32" i="9"/>
  <c r="V34" i="9"/>
  <c r="S7" i="3"/>
  <c r="S8" i="3"/>
  <c r="U6" i="3"/>
  <c r="S6" i="3" s="1"/>
  <c r="S9" i="3" l="1"/>
  <c r="K5" i="10" s="1"/>
  <c r="U7" i="2"/>
  <c r="U8" i="2"/>
  <c r="U9" i="2"/>
  <c r="U10" i="2"/>
  <c r="U11" i="2"/>
  <c r="U12" i="2"/>
  <c r="U13" i="2"/>
  <c r="U14" i="2"/>
  <c r="U15" i="2"/>
  <c r="U16" i="2"/>
  <c r="U17" i="2"/>
  <c r="U18" i="2"/>
  <c r="U19" i="2"/>
  <c r="U20" i="2"/>
  <c r="U21" i="2"/>
  <c r="U22" i="2"/>
  <c r="U6" i="2"/>
  <c r="M5" i="10" l="1"/>
  <c r="R23" i="2"/>
  <c r="J4" i="10" s="1"/>
  <c r="J9" i="10" s="1"/>
  <c r="D28" i="15" s="1"/>
  <c r="P23" i="2"/>
  <c r="I4" i="10" s="1"/>
  <c r="I9" i="10" s="1"/>
  <c r="D27" i="15" s="1"/>
  <c r="M23" i="2"/>
  <c r="G4" i="10" s="1"/>
  <c r="G9" i="10" s="1"/>
  <c r="D24" i="15" l="1"/>
  <c r="D18" i="15"/>
  <c r="D23" i="15"/>
  <c r="S22" i="2"/>
  <c r="H35" i="9"/>
  <c r="G23" i="2" l="1"/>
  <c r="AG6" i="9"/>
  <c r="AG7" i="9"/>
  <c r="AG8" i="9"/>
  <c r="AG10" i="9"/>
  <c r="AG11" i="9"/>
  <c r="AG12" i="9"/>
  <c r="AG13" i="9"/>
  <c r="AG14" i="9"/>
  <c r="AG15" i="9"/>
  <c r="AG16" i="9"/>
  <c r="AG18" i="9"/>
  <c r="AG19" i="9"/>
  <c r="AG20" i="9"/>
  <c r="AG21" i="9"/>
  <c r="AG22" i="9"/>
  <c r="AG23" i="9"/>
  <c r="AG24" i="9"/>
  <c r="AG25" i="9"/>
  <c r="AG26" i="9"/>
  <c r="AG27" i="9"/>
  <c r="AG28" i="9"/>
  <c r="AG29" i="9"/>
  <c r="AG30" i="9"/>
  <c r="AG31" i="9"/>
  <c r="AG32" i="9"/>
  <c r="AG34" i="9"/>
  <c r="AG5" i="9"/>
  <c r="AE6" i="9"/>
  <c r="AE7" i="9"/>
  <c r="AE8" i="9"/>
  <c r="AD8" i="9" s="1"/>
  <c r="AE10" i="9"/>
  <c r="AD10" i="9" s="1"/>
  <c r="AE11" i="9"/>
  <c r="AD11" i="9" s="1"/>
  <c r="AE12" i="9"/>
  <c r="AD12" i="9" s="1"/>
  <c r="AE13" i="9"/>
  <c r="AD13" i="9" s="1"/>
  <c r="AE14" i="9"/>
  <c r="AD14" i="9" s="1"/>
  <c r="AE15" i="9"/>
  <c r="AD15" i="9" s="1"/>
  <c r="AE16" i="9"/>
  <c r="AD16" i="9" s="1"/>
  <c r="AE18" i="9"/>
  <c r="AD18" i="9" s="1"/>
  <c r="AE19" i="9"/>
  <c r="AD19" i="9" s="1"/>
  <c r="AE20" i="9"/>
  <c r="AD20" i="9" s="1"/>
  <c r="AE21" i="9"/>
  <c r="AD21" i="9" s="1"/>
  <c r="AE22" i="9"/>
  <c r="AD22" i="9" s="1"/>
  <c r="AE23" i="9"/>
  <c r="AD23" i="9" s="1"/>
  <c r="AE24" i="9"/>
  <c r="AD24" i="9" s="1"/>
  <c r="AE25" i="9"/>
  <c r="AD25" i="9" s="1"/>
  <c r="AE26" i="9"/>
  <c r="AD26" i="9" s="1"/>
  <c r="AE27" i="9"/>
  <c r="AD27" i="9" s="1"/>
  <c r="AE28" i="9"/>
  <c r="AE29" i="9"/>
  <c r="AD29" i="9" s="1"/>
  <c r="AE30" i="9"/>
  <c r="AD30" i="9" s="1"/>
  <c r="AE31" i="9"/>
  <c r="AD31" i="9" s="1"/>
  <c r="AE32" i="9"/>
  <c r="AD32" i="9" s="1"/>
  <c r="AE34" i="9"/>
  <c r="AD34" i="9" s="1"/>
  <c r="AE5" i="9"/>
  <c r="AD5" i="9" s="1"/>
  <c r="AD6" i="9"/>
  <c r="AD7" i="9"/>
  <c r="AD28" i="9"/>
  <c r="AD7" i="3"/>
  <c r="AC7" i="3" s="1"/>
  <c r="AD8" i="3"/>
  <c r="AC8" i="3" s="1"/>
  <c r="AD6" i="3"/>
  <c r="AC6" i="3" s="1"/>
  <c r="AE7" i="2"/>
  <c r="AC7" i="2" s="1"/>
  <c r="AE8" i="2"/>
  <c r="AC8" i="2" s="1"/>
  <c r="AE9" i="2"/>
  <c r="AC9" i="2" s="1"/>
  <c r="AE10" i="2"/>
  <c r="AC10" i="2" s="1"/>
  <c r="AE11" i="2"/>
  <c r="AC11" i="2" s="1"/>
  <c r="AE12" i="2"/>
  <c r="AC12" i="2" s="1"/>
  <c r="AE13" i="2"/>
  <c r="AC13" i="2" s="1"/>
  <c r="AE14" i="2"/>
  <c r="AC14" i="2" s="1"/>
  <c r="AE15" i="2"/>
  <c r="AC15" i="2" s="1"/>
  <c r="AE16" i="2"/>
  <c r="AC16" i="2" s="1"/>
  <c r="AE17" i="2"/>
  <c r="AC17" i="2" s="1"/>
  <c r="AE18" i="2"/>
  <c r="AC18" i="2" s="1"/>
  <c r="AE19" i="2"/>
  <c r="AC19" i="2" s="1"/>
  <c r="AE20" i="2"/>
  <c r="AC20" i="2" s="1"/>
  <c r="AE22" i="2"/>
  <c r="AC22" i="2" s="1"/>
  <c r="AE6" i="2"/>
  <c r="AC6" i="2" s="1"/>
  <c r="T31" i="9"/>
  <c r="P5" i="10" l="1"/>
  <c r="O9" i="3"/>
  <c r="H5" i="10" s="1"/>
  <c r="V6" i="10" l="1"/>
  <c r="V9" i="10" s="1"/>
  <c r="D53" i="15" s="1"/>
  <c r="T6" i="10"/>
  <c r="T9" i="10" s="1"/>
  <c r="AG35" i="9"/>
  <c r="P6" i="10"/>
  <c r="AC35" i="9"/>
  <c r="O6" i="10" s="1"/>
  <c r="N6" i="10"/>
  <c r="T6" i="9"/>
  <c r="T7" i="9"/>
  <c r="T8" i="9"/>
  <c r="T10" i="9"/>
  <c r="T11" i="9"/>
  <c r="T12" i="9"/>
  <c r="T13" i="9"/>
  <c r="T14" i="9"/>
  <c r="T15" i="9"/>
  <c r="T16" i="9"/>
  <c r="T18" i="9"/>
  <c r="T19" i="9"/>
  <c r="T20" i="9"/>
  <c r="T21" i="9"/>
  <c r="T22" i="9"/>
  <c r="T23" i="9"/>
  <c r="T24" i="9"/>
  <c r="T25" i="9"/>
  <c r="T26" i="9"/>
  <c r="T27" i="9"/>
  <c r="T28" i="9"/>
  <c r="T29" i="9"/>
  <c r="T30" i="9"/>
  <c r="T32" i="9"/>
  <c r="T34" i="9"/>
  <c r="T11" i="10" l="1"/>
  <c r="D51" i="15"/>
  <c r="W9" i="10"/>
  <c r="T5" i="9"/>
  <c r="T35" i="9" s="1"/>
  <c r="K6" i="10" s="1"/>
  <c r="V35" i="9"/>
  <c r="U9" i="3"/>
  <c r="M6" i="10" l="1"/>
  <c r="G35" i="9"/>
  <c r="C6" i="10" s="1"/>
  <c r="C6" i="9"/>
  <c r="C7" i="9"/>
  <c r="C8" i="9"/>
  <c r="C10" i="9"/>
  <c r="C11" i="9"/>
  <c r="C12" i="9"/>
  <c r="C13" i="9"/>
  <c r="C14" i="9"/>
  <c r="C15" i="9"/>
  <c r="C16" i="9"/>
  <c r="C18" i="9"/>
  <c r="C19" i="9"/>
  <c r="C20" i="9"/>
  <c r="C21" i="9"/>
  <c r="C22" i="9"/>
  <c r="C23" i="9"/>
  <c r="C24" i="9"/>
  <c r="C25" i="9"/>
  <c r="C26" i="9"/>
  <c r="C27" i="9"/>
  <c r="C28" i="9"/>
  <c r="C29" i="9"/>
  <c r="C30" i="9"/>
  <c r="C32" i="9"/>
  <c r="C34" i="9"/>
  <c r="C5" i="9"/>
  <c r="C35" i="9" l="1"/>
  <c r="B6" i="10" s="1"/>
  <c r="D6" i="10"/>
  <c r="H4" i="10" l="1"/>
  <c r="H9" i="10" s="1"/>
  <c r="D25" i="15" s="1"/>
  <c r="AB9" i="3"/>
  <c r="O5" i="10" s="1"/>
  <c r="N5" i="10"/>
  <c r="D5" i="10"/>
  <c r="AF9" i="3" l="1"/>
  <c r="P4" i="10" l="1"/>
  <c r="AB23" i="2"/>
  <c r="O4" i="10" s="1"/>
  <c r="O9" i="10" s="1"/>
  <c r="D37" i="15" s="1"/>
  <c r="F23" i="2"/>
  <c r="C4" i="10" s="1"/>
  <c r="F9" i="3"/>
  <c r="C5" i="10" l="1"/>
  <c r="P11" i="10" l="1"/>
  <c r="D43" i="15"/>
  <c r="C9" i="10"/>
  <c r="AF7" i="2"/>
  <c r="AF8" i="2"/>
  <c r="AF9" i="2"/>
  <c r="AF10" i="2"/>
  <c r="AF11" i="2"/>
  <c r="AF12" i="2"/>
  <c r="AF13" i="2"/>
  <c r="AF14" i="2"/>
  <c r="AF15" i="2"/>
  <c r="AF16" i="2"/>
  <c r="AF17" i="2"/>
  <c r="AF18" i="2"/>
  <c r="AF19" i="2"/>
  <c r="AF20" i="2"/>
  <c r="AF22" i="2"/>
  <c r="AF6" i="2"/>
  <c r="C11" i="10" l="1"/>
  <c r="D10" i="15"/>
  <c r="D6" i="15"/>
  <c r="D9" i="15"/>
  <c r="AF23" i="2"/>
  <c r="Q4" i="10" s="1"/>
  <c r="Q9" i="10" s="1"/>
  <c r="D44" i="15" s="1"/>
  <c r="B9" i="3"/>
  <c r="S7" i="2"/>
  <c r="S8" i="2"/>
  <c r="S9" i="2"/>
  <c r="S10" i="2"/>
  <c r="S11" i="2"/>
  <c r="S12" i="2"/>
  <c r="S13" i="2"/>
  <c r="S14" i="2"/>
  <c r="S15" i="2"/>
  <c r="S16" i="2"/>
  <c r="S17" i="2"/>
  <c r="S18" i="2"/>
  <c r="S19" i="2"/>
  <c r="S20" i="2"/>
  <c r="S6" i="2"/>
  <c r="D40" i="15" l="1"/>
  <c r="S23" i="2"/>
  <c r="K4" i="10" s="1"/>
  <c r="K9" i="10" s="1"/>
  <c r="D29" i="15" s="1"/>
  <c r="U23" i="2"/>
  <c r="D4" i="10"/>
  <c r="D9" i="10" l="1"/>
  <c r="G11" i="10"/>
  <c r="M4" i="10"/>
  <c r="M9" i="10" s="1"/>
  <c r="D35" i="15" s="1"/>
  <c r="B23" i="2"/>
  <c r="D11" i="10" l="1"/>
  <c r="D15" i="15"/>
  <c r="D13" i="15"/>
  <c r="B11" i="10" l="1"/>
  <c r="D5" i="15"/>
  <c r="D8" i="15"/>
  <c r="N4" i="10"/>
  <c r="N9" i="10" s="1"/>
  <c r="D36" i="15" s="1"/>
</calcChain>
</file>

<file path=xl/sharedStrings.xml><?xml version="1.0" encoding="utf-8"?>
<sst xmlns="http://schemas.openxmlformats.org/spreadsheetml/2006/main" count="687" uniqueCount="369">
  <si>
    <t>Bhaktapur</t>
  </si>
  <si>
    <t>Lalitpur</t>
  </si>
  <si>
    <t>Tarpaulins</t>
  </si>
  <si>
    <t>Baguwa</t>
  </si>
  <si>
    <t>Tanglichowk</t>
  </si>
  <si>
    <t>Makaisingh</t>
  </si>
  <si>
    <t>Darbung</t>
  </si>
  <si>
    <t>Khari</t>
  </si>
  <si>
    <t>Salang</t>
  </si>
  <si>
    <t>Nalang</t>
  </si>
  <si>
    <t>Mahamanjushree</t>
  </si>
  <si>
    <t>Siddhipur</t>
  </si>
  <si>
    <t>Lubhu</t>
  </si>
  <si>
    <t>Bungmati</t>
  </si>
  <si>
    <t>VDC/Municipality</t>
  </si>
  <si>
    <t>Gorkha Mun.</t>
  </si>
  <si>
    <t>Dhawa</t>
  </si>
  <si>
    <t>Lho</t>
  </si>
  <si>
    <t>Prok</t>
  </si>
  <si>
    <t>Mattress</t>
  </si>
  <si>
    <t>Hygiene Kit Replenishment</t>
  </si>
  <si>
    <t>Saurpani</t>
  </si>
  <si>
    <t>Simjong</t>
  </si>
  <si>
    <t>Barpak</t>
  </si>
  <si>
    <t>Hansapur</t>
  </si>
  <si>
    <t>Chhekempar</t>
  </si>
  <si>
    <t>Aru Chanaute</t>
  </si>
  <si>
    <t>Jharuwarasi</t>
  </si>
  <si>
    <t>Sankhu</t>
  </si>
  <si>
    <t>Ikutol</t>
  </si>
  <si>
    <t>Dalchoki</t>
  </si>
  <si>
    <t>Bisankhunarayan</t>
  </si>
  <si>
    <t>Thuladurlung</t>
  </si>
  <si>
    <t>Lagankhel</t>
  </si>
  <si>
    <t>Imadol Mahalaxmi Mun.</t>
  </si>
  <si>
    <t>Khokana</t>
  </si>
  <si>
    <t>Nekoshera</t>
  </si>
  <si>
    <t>Sudal</t>
  </si>
  <si>
    <t>Brahamani</t>
  </si>
  <si>
    <t>Kamalasi</t>
  </si>
  <si>
    <t>Chareli</t>
  </si>
  <si>
    <t>Sukuldhoka, Golmadi</t>
  </si>
  <si>
    <t>Bidol Sudal</t>
  </si>
  <si>
    <t>Bageswori</t>
  </si>
  <si>
    <t>Telkot</t>
  </si>
  <si>
    <t>Dhuwakot</t>
  </si>
  <si>
    <t>Jagathi</t>
  </si>
  <si>
    <t>Blanket</t>
  </si>
  <si>
    <t>HH Covered</t>
  </si>
  <si>
    <t>HH Covered (C4+D4+E4)</t>
  </si>
  <si>
    <t>Hygiene Kits</t>
  </si>
  <si>
    <t>Prtihbinarayan NP</t>
  </si>
  <si>
    <t># of Activities</t>
  </si>
  <si>
    <t>?-KAP</t>
  </si>
  <si>
    <t>MPG Disbursement</t>
  </si>
  <si>
    <t>Samagaun</t>
  </si>
  <si>
    <r>
      <t xml:space="preserve">Indicator S1: NFI (Tarp, Blanket, Matt etcetera) for maintaining a safe and adequate temporary shelter.
</t>
    </r>
    <r>
      <rPr>
        <i/>
        <u/>
        <sz val="11"/>
        <color theme="1"/>
        <rFont val="Calibri"/>
        <family val="2"/>
        <scheme val="minor"/>
      </rPr>
      <t>ACT Target: 10000 HH</t>
    </r>
  </si>
  <si>
    <r>
      <t xml:space="preserve">Indicator S2: Families/target households benefited from cash support (USD 150) for constructing intermediate shelter.
</t>
    </r>
    <r>
      <rPr>
        <i/>
        <u/>
        <sz val="11"/>
        <color theme="1"/>
        <rFont val="Calibri"/>
        <family val="2"/>
        <scheme val="minor"/>
      </rPr>
      <t>ACT Target: 10000 HH</t>
    </r>
  </si>
  <si>
    <t># of Spaces Established</t>
  </si>
  <si>
    <t># of Networks Established</t>
  </si>
  <si>
    <t>Protection / Psychosocial Support (PSS)</t>
  </si>
  <si>
    <t>Indicator H1: 70% beneficiaries from the hygiene promotion program have increased knowledge about WASH related health risks and are able to take action to prevent these and to make optimal use of water and sanitation facilities.</t>
  </si>
  <si>
    <r>
      <t xml:space="preserve">Indicator H2: # of hygiene kits distributed to households
</t>
    </r>
    <r>
      <rPr>
        <i/>
        <u/>
        <sz val="11"/>
        <color theme="1"/>
        <rFont val="Calibri"/>
        <family val="2"/>
        <scheme val="minor"/>
      </rPr>
      <t>ACT Target: tbc</t>
    </r>
  </si>
  <si>
    <r>
      <t xml:space="preserve"> Indicator H3: # of hygiene promoters are recruited and trained
</t>
    </r>
    <r>
      <rPr>
        <i/>
        <u/>
        <sz val="11"/>
        <color theme="1"/>
        <rFont val="Calibri"/>
        <family val="2"/>
        <scheme val="minor"/>
      </rPr>
      <t>ACT Target: tbc</t>
    </r>
  </si>
  <si>
    <r>
      <t xml:space="preserve">Indicator L3: Early Recovery Livelihood Assistance
</t>
    </r>
    <r>
      <rPr>
        <i/>
        <u/>
        <sz val="11"/>
        <color theme="1"/>
        <rFont val="Calibri"/>
        <family val="2"/>
        <scheme val="minor"/>
      </rPr>
      <t>ACT Target: NA</t>
    </r>
  </si>
  <si>
    <r>
      <t xml:space="preserve">Indicator L4: 90% of beneficiaries express satisfaction
</t>
    </r>
    <r>
      <rPr>
        <i/>
        <u/>
        <sz val="11"/>
        <color theme="1"/>
        <rFont val="Calibri"/>
        <family val="2"/>
        <scheme val="minor"/>
      </rPr>
      <t>ACT Target: tbc</t>
    </r>
  </si>
  <si>
    <t>ECO-Nepal (Gorkha)</t>
  </si>
  <si>
    <t>FAYA-Nepal (Dhading)</t>
  </si>
  <si>
    <t>FSCN (LTP &amp; BKT)</t>
  </si>
  <si>
    <t>Note: Comments &amp; Clarifications are made in the footnotes for the colored content of the cells of that column.</t>
  </si>
  <si>
    <r>
      <rPr>
        <b/>
        <sz val="11"/>
        <rFont val="Calibri"/>
        <family val="2"/>
        <scheme val="minor"/>
      </rPr>
      <t>Foornotes:</t>
    </r>
    <r>
      <rPr>
        <sz val="11"/>
        <rFont val="Calibri"/>
        <family val="2"/>
        <scheme val="minor"/>
      </rPr>
      <t xml:space="preserve">
</t>
    </r>
    <r>
      <rPr>
        <sz val="11"/>
        <color theme="7" tint="-0.499984740745262"/>
        <rFont val="Calibri"/>
        <family val="2"/>
        <scheme val="minor"/>
      </rPr>
      <t>Gorkha Municipality = Ward 1 - 6</t>
    </r>
  </si>
  <si>
    <r>
      <rPr>
        <b/>
        <sz val="11"/>
        <rFont val="Calibri"/>
        <family val="2"/>
        <scheme val="minor"/>
      </rPr>
      <t>Footnotes:</t>
    </r>
    <r>
      <rPr>
        <sz val="11"/>
        <rFont val="Calibri"/>
        <family val="2"/>
        <scheme val="minor"/>
      </rPr>
      <t xml:space="preserve">
</t>
    </r>
    <r>
      <rPr>
        <sz val="11"/>
        <color theme="7" tint="-0.499984740745262"/>
        <rFont val="Calibri"/>
        <family val="2"/>
        <scheme val="minor"/>
      </rPr>
      <t>Unconditional &amp; Multi Purpose Grant for People in GON's Social Welfare List.</t>
    </r>
  </si>
  <si>
    <t>ACT TARGET</t>
  </si>
  <si>
    <t>PROGRESS</t>
  </si>
  <si>
    <t>WOREC (LTP &amp; BKT)</t>
  </si>
  <si>
    <t>POURAKHI (Dhading)</t>
  </si>
  <si>
    <t>LOCAL IMPLEMENTING PARTNERS</t>
  </si>
  <si>
    <r>
      <rPr>
        <b/>
        <sz val="11"/>
        <color theme="1"/>
        <rFont val="Calibri"/>
        <family val="2"/>
        <scheme val="minor"/>
      </rPr>
      <t>Footnotes:</t>
    </r>
    <r>
      <rPr>
        <sz val="11"/>
        <color theme="1"/>
        <rFont val="Calibri"/>
        <family val="2"/>
        <scheme val="minor"/>
      </rPr>
      <t xml:space="preserve">
2 Blankets, 2 Mattresses &amp; 1 Tarp per Household</t>
    </r>
  </si>
  <si>
    <t>Note: Comments &amp; Clarifications are made in the footnotes for the colored content of the cells of respective columns.</t>
  </si>
  <si>
    <t># Constructed</t>
  </si>
  <si>
    <t>Lakuribhanjyang</t>
  </si>
  <si>
    <t>tbc</t>
  </si>
  <si>
    <t>KAP</t>
  </si>
  <si>
    <t>TOTAL ACHIEVED</t>
  </si>
  <si>
    <t>HH Covered (Receiver's of Hygiene Kits)</t>
  </si>
  <si>
    <r>
      <t xml:space="preserve">Indicator H1: 70% beneficiaries from the hygiene promotion program have increased knowledge about WASH related health risks and are able to take action to prevent these and to make optimal use of water and sanitation facilities.
</t>
    </r>
    <r>
      <rPr>
        <i/>
        <u/>
        <sz val="11"/>
        <color theme="1"/>
        <rFont val="Calibri"/>
        <family val="2"/>
        <scheme val="minor"/>
      </rPr>
      <t>ACT Target: tbc</t>
    </r>
  </si>
  <si>
    <t>HH Covered (with food basket)</t>
  </si>
  <si>
    <t>HH Covered (AE+AF)</t>
  </si>
  <si>
    <t>HH Covered (with Food basket)</t>
  </si>
  <si>
    <t>HH Covered(AB+AC)</t>
  </si>
  <si>
    <t>HH Covered (with Food Basket)</t>
  </si>
  <si>
    <t>HH Covered (AD+AE)</t>
  </si>
  <si>
    <t>HH Covered (AG)</t>
  </si>
  <si>
    <r>
      <t xml:space="preserve">Indicator L1: Distribution of food items to 10,000 affected families during the emergency period.
</t>
    </r>
    <r>
      <rPr>
        <i/>
        <u/>
        <sz val="11"/>
        <color theme="1"/>
        <rFont val="Calibri"/>
        <family val="2"/>
        <scheme val="minor"/>
      </rPr>
      <t xml:space="preserve">ACT Target: 10000HH
</t>
    </r>
  </si>
  <si>
    <t># of Temporary Water Schemes</t>
  </si>
  <si>
    <t># of Permanent Water Schemes</t>
  </si>
  <si>
    <r>
      <t xml:space="preserve">Indicator R3: Individual permanent latrines built/repaired
</t>
    </r>
    <r>
      <rPr>
        <i/>
        <u/>
        <sz val="11"/>
        <color theme="1"/>
        <rFont val="Calibri"/>
        <family val="2"/>
        <scheme val="minor"/>
      </rPr>
      <t>ACT Target: ?</t>
    </r>
  </si>
  <si>
    <r>
      <t xml:space="preserve">Indicator R4: School/insitutional latrines bilt/reparied 
</t>
    </r>
    <r>
      <rPr>
        <i/>
        <u/>
        <sz val="11"/>
        <color theme="1"/>
        <rFont val="Calibri"/>
        <family val="2"/>
        <scheme val="minor"/>
      </rPr>
      <t>ACT Target: ?</t>
    </r>
  </si>
  <si>
    <t>SHELTER</t>
  </si>
  <si>
    <t>WATER</t>
  </si>
  <si>
    <t>SANITATION</t>
  </si>
  <si>
    <t>HYGIENE</t>
  </si>
  <si>
    <t>FOOD SECURITY / LIVELIHODD</t>
  </si>
  <si>
    <t>PROTECTION / PSYCHOSOCIAL SUPPORT</t>
  </si>
  <si>
    <t># of latrines institutional</t>
  </si>
  <si>
    <r>
      <t xml:space="preserve">Indicator R1:  approximately 90,000 individual/beneficiaries) have access to latrine as per the standard of maximum 20 persons per latrine.
</t>
    </r>
    <r>
      <rPr>
        <i/>
        <u/>
        <sz val="11"/>
        <color theme="1"/>
        <rFont val="Calibri"/>
        <family val="2"/>
        <scheme val="minor"/>
      </rPr>
      <t xml:space="preserve">ACT Target: 12000 HH
</t>
    </r>
    <r>
      <rPr>
        <sz val="11"/>
        <color theme="1"/>
        <rFont val="Calibri"/>
        <family val="2"/>
        <scheme val="minor"/>
      </rPr>
      <t>Indicator R2:  approximately 90,000 individual/beneficiaries) have access to latrine as per the standard of maximum 20 persons per latrine.
# of communal/family latrines repaired/rehabilitated/constructed</t>
    </r>
    <r>
      <rPr>
        <i/>
        <u/>
        <sz val="11"/>
        <color theme="1"/>
        <rFont val="Calibri"/>
        <family val="2"/>
        <scheme val="minor"/>
      </rPr>
      <t xml:space="preserve">
ACT Target: 12000HH</t>
    </r>
  </si>
  <si>
    <t># of Emergency Latrines (WASH-Kits) in school</t>
  </si>
  <si>
    <t># of Temporary Latrines HH</t>
  </si>
  <si>
    <t># of Emergency Latrines (WASH-Kits)</t>
  </si>
  <si>
    <t>Tandrang</t>
  </si>
  <si>
    <t>Indicator R6: 90 % of latrines repaired/rehabilitated/ constructed are equipped with hand washing facilities, one 1 liter mug and one 10 liter bucket for anal cleansing.</t>
  </si>
  <si>
    <t># of Permanent Latrines for HH</t>
  </si>
  <si>
    <t># constructed</t>
  </si>
  <si>
    <r>
      <rPr>
        <b/>
        <sz val="11"/>
        <color theme="1"/>
        <rFont val="Calibri"/>
        <family val="2"/>
        <scheme val="minor"/>
      </rPr>
      <t xml:space="preserve">Footnotes:
</t>
    </r>
    <r>
      <rPr>
        <sz val="11"/>
        <color theme="1"/>
        <rFont val="Calibri"/>
        <family val="2"/>
        <scheme val="minor"/>
      </rPr>
      <t xml:space="preserve">
Total HH for indicator R1&amp;R2 = (# of emergency latrines + # of temp. latrines) * 20 persons</t>
    </r>
  </si>
  <si>
    <t>HH Covered (S)</t>
  </si>
  <si>
    <t>FOOD SECURITY / LIVELIHOOD</t>
  </si>
  <si>
    <t># of Temporary Latrines, HH</t>
  </si>
  <si>
    <t># of Emergency Latrines (WASH-Kits) in School</t>
  </si>
  <si>
    <t># of Latrines Institutional</t>
  </si>
  <si>
    <t># of emergency latrines (WASH-Kits)</t>
  </si>
  <si>
    <t>Lamatar</t>
  </si>
  <si>
    <t>Chaling</t>
  </si>
  <si>
    <r>
      <t xml:space="preserve">Indicator R5:  #  of shower &amp; bathing place constructed
</t>
    </r>
    <r>
      <rPr>
        <i/>
        <u/>
        <sz val="11"/>
        <color theme="1"/>
        <rFont val="Calibri"/>
        <family val="2"/>
        <scheme val="minor"/>
      </rPr>
      <t>ACT Target: tbc</t>
    </r>
  </si>
  <si>
    <t>PROTECTION / PYSCHOSOCIAL</t>
  </si>
  <si>
    <t>Networks Formed</t>
  </si>
  <si>
    <t>Awareness to youth groups on CBPS</t>
  </si>
  <si>
    <r>
      <t xml:space="preserve">Indicator P3: # of safe spaces for women and children established and equipped.
</t>
    </r>
    <r>
      <rPr>
        <i/>
        <u/>
        <sz val="11"/>
        <color theme="1"/>
        <rFont val="Calibri"/>
        <family val="2"/>
        <scheme val="minor"/>
      </rPr>
      <t>ACT Target: tbc</t>
    </r>
  </si>
  <si>
    <t>Awareness &amp; orientation to teachers on PSS</t>
  </si>
  <si>
    <t>Networks formed</t>
  </si>
  <si>
    <r>
      <t xml:space="preserve">Indicator P2: Community and family support networks (formal and informal groups) that provide protection, care, and psychosocial support for vulnerable earthquake-affected families are strengthened.
</t>
    </r>
    <r>
      <rPr>
        <i/>
        <u/>
        <sz val="11"/>
        <color theme="1"/>
        <rFont val="Calibri"/>
        <family val="2"/>
        <scheme val="minor"/>
      </rPr>
      <t>ACT Target: 25</t>
    </r>
  </si>
  <si>
    <r>
      <t xml:space="preserve">Indicator P6: Referral systems for people in need of focused care/specialized mental health or protection services identified/established
</t>
    </r>
    <r>
      <rPr>
        <i/>
        <u/>
        <sz val="11"/>
        <color theme="1"/>
        <rFont val="Calibri"/>
        <family val="2"/>
        <scheme val="minor"/>
      </rPr>
      <t>ACT Target: ?</t>
    </r>
  </si>
  <si>
    <t>Number of people referred for PSS/Protection Issues</t>
  </si>
  <si>
    <r>
      <t>Indicator P1: 5,000 affected families/households have access to community based psychosocial support.</t>
    </r>
    <r>
      <rPr>
        <i/>
        <u/>
        <sz val="11"/>
        <color theme="1"/>
        <rFont val="Calibri"/>
        <family val="2"/>
        <scheme val="minor"/>
      </rPr>
      <t xml:space="preserve">
ACT Target: 5000HH</t>
    </r>
  </si>
  <si>
    <t>Total # of Beneficiaries</t>
  </si>
  <si>
    <r>
      <t xml:space="preserve">Indicator R5: # of showers/bathing places constructed
</t>
    </r>
    <r>
      <rPr>
        <i/>
        <u/>
        <sz val="11"/>
        <color theme="1"/>
        <rFont val="Calibri"/>
        <family val="2"/>
        <scheme val="minor"/>
      </rPr>
      <t>ACT Target: tbc</t>
    </r>
  </si>
  <si>
    <r>
      <t xml:space="preserve">Indicator R6: 90 % of latrines repaired/rehabilitated/ constructed are equipped with hand washing facilities, one 1 liter mug and one 10 liter bucket for anal cleansing.
</t>
    </r>
    <r>
      <rPr>
        <i/>
        <u/>
        <sz val="11"/>
        <color theme="1"/>
        <rFont val="Calibri"/>
        <family val="2"/>
        <scheme val="minor"/>
      </rPr>
      <t>ACT Target: tbc</t>
    </r>
  </si>
  <si>
    <t>NA</t>
  </si>
  <si>
    <t>PROTECTION / PSYCHOSOCIAL SUPPORT (PSS)</t>
  </si>
  <si>
    <t>District</t>
  </si>
  <si>
    <t>ToT to school teachers</t>
  </si>
  <si>
    <t>Awareness &amp; orientation on CBPS to women group</t>
  </si>
  <si>
    <t># of people referred for PSS/Protection Issues</t>
  </si>
  <si>
    <r>
      <t xml:space="preserve">Indicator P2: Community and family support networks (formal and informal groups) that provide protection, care, and psychosocial support for vulnerable earthquake-affected families are strengthened.
</t>
    </r>
    <r>
      <rPr>
        <i/>
        <u/>
        <sz val="11"/>
        <color theme="1"/>
        <rFont val="Calibri"/>
        <family val="2"/>
        <scheme val="minor"/>
      </rPr>
      <t>ACT Target: 25</t>
    </r>
  </si>
  <si>
    <r>
      <t xml:space="preserve">Indicator P3: Safe spaces for women &amp; children established equipped
</t>
    </r>
    <r>
      <rPr>
        <i/>
        <u/>
        <sz val="11"/>
        <color theme="1"/>
        <rFont val="Calibri"/>
        <family val="2"/>
        <scheme val="minor"/>
      </rPr>
      <t>ACT Target: tbc</t>
    </r>
  </si>
  <si>
    <r>
      <t xml:space="preserve">Indicator P4: Culturally appropriate recreational activities for girls, boys and adolescents organized in affected communities.
</t>
    </r>
    <r>
      <rPr>
        <i/>
        <u/>
        <sz val="11"/>
        <color theme="1"/>
        <rFont val="Calibri"/>
        <family val="2"/>
        <scheme val="minor"/>
      </rPr>
      <t>ACT Target: tbc</t>
    </r>
  </si>
  <si>
    <t>Dhading</t>
  </si>
  <si>
    <t>Partner staffs trained</t>
  </si>
  <si>
    <r>
      <rPr>
        <b/>
        <sz val="11"/>
        <rFont val="Calibri"/>
        <family val="2"/>
        <scheme val="minor"/>
      </rPr>
      <t>Footnotes:</t>
    </r>
    <r>
      <rPr>
        <sz val="11"/>
        <rFont val="Calibri"/>
        <family val="2"/>
        <scheme val="minor"/>
      </rPr>
      <t xml:space="preserve">
No. Of HH = No. of Beneficiaries / 5.5 Person</t>
    </r>
  </si>
  <si>
    <r>
      <t xml:space="preserve">Indicator P1: 5,000 affected families/households have access to community based psychosocial support.
</t>
    </r>
    <r>
      <rPr>
        <i/>
        <u/>
        <sz val="11"/>
        <color theme="1"/>
        <rFont val="Calibri"/>
        <family val="2"/>
        <scheme val="minor"/>
      </rPr>
      <t>ACT Target: 27500 Persons</t>
    </r>
  </si>
  <si>
    <r>
      <t xml:space="preserve">Indicator R4: School/insitutional latrines bilt/reparied
</t>
    </r>
    <r>
      <rPr>
        <i/>
        <u/>
        <sz val="11"/>
        <color theme="1"/>
        <rFont val="Calibri"/>
        <family val="2"/>
        <scheme val="minor"/>
      </rPr>
      <t>ACT Target: ?</t>
    </r>
  </si>
  <si>
    <r>
      <t xml:space="preserve">Indicator L2: Early Recovery Livelihood Assistance
</t>
    </r>
    <r>
      <rPr>
        <i/>
        <u/>
        <sz val="11"/>
        <color theme="1"/>
        <rFont val="Calibri"/>
        <family val="2"/>
        <scheme val="minor"/>
      </rPr>
      <t>ACT Target: NA</t>
    </r>
  </si>
  <si>
    <r>
      <t xml:space="preserve">Indicator L3: 90% of beneficiaries express satisfaction
</t>
    </r>
    <r>
      <rPr>
        <i/>
        <u/>
        <sz val="11"/>
        <color theme="1"/>
        <rFont val="Calibri"/>
        <family val="2"/>
        <scheme val="minor"/>
      </rPr>
      <t>ACT Target: tbc</t>
    </r>
  </si>
  <si>
    <t>Outcomes and Outputs</t>
  </si>
  <si>
    <t xml:space="preserve">MOV/Target Indicators </t>
  </si>
  <si>
    <t>Indicator Number ACT</t>
  </si>
  <si>
    <t>Figures to date and as of final day of the the month</t>
  </si>
  <si>
    <t>Total to date</t>
  </si>
  <si>
    <t>DCA Shelter Outcome:</t>
  </si>
  <si>
    <t>Disaster affected people have access to safe and adequate temporary shelter and/or settlement based on the standard set and enabled them to either rehabilitate or reconstruct earthquake resistant permanent homes.</t>
  </si>
  <si>
    <t>affected households benefited from shelter assistance as non-food items (NFI-plastic tarpaulin and tent) for maintaining a safe and adequate temporary shelter</t>
  </si>
  <si>
    <t xml:space="preserve">families/target households benefited from cash support for constructing intermediate shelter. </t>
  </si>
  <si>
    <t xml:space="preserve">DCA Shelter Output: </t>
  </si>
  <si>
    <t>9,000 affected families/households with due consideration to vulnerable families receive emergency shelter kits (tents/tarpaulin, rope, mat etc)</t>
  </si>
  <si>
    <t>households receive emergency shelter kits (tents/tarpaulin, rope, mat etc)</t>
  </si>
  <si>
    <t xml:space="preserve">10,000 families/households are able to construct intermediate shelter with cash support. </t>
  </si>
  <si>
    <t xml:space="preserve">households construct intermediate shelter with cash support. </t>
  </si>
  <si>
    <t xml:space="preserve">7,000 families targeted benefited by CGI sheets. </t>
  </si>
  <si>
    <t>HHs targeted benefited by CGI sheets (now cash)</t>
  </si>
  <si>
    <t>DCA WASH Outcome – Water:</t>
  </si>
  <si>
    <t>Up to 12,000 households (approximately 90,000 beneficiaries/individuals)) have access to safe and sufficient drinking water meeting Sphere standards.</t>
  </si>
  <si>
    <t>DCA Water Output:</t>
  </si>
  <si>
    <t>Temporary water supply providing safe drinking water of sufficient quantity to the beneficiaries while repairing/rehabilitating water distribution networks.</t>
  </si>
  <si>
    <t xml:space="preserve">HHs have safe drinking water minimum 15 litres per person. </t>
  </si>
  <si>
    <t>Repair/rehabilitation/construction of water distribution network.</t>
  </si>
  <si>
    <t># of temporary and permanent water distribution points constructed</t>
  </si>
  <si>
    <t>Ensure involvement of local municipalities/authorities in identification and selection of water distribution networks to be repaired/rehabilitated.</t>
  </si>
  <si>
    <t xml:space="preserve">12,000 households have safe drinking water minimum 15 litres per person. </t>
  </si>
  <si>
    <t>Up to 12,000 households (approximately 90,000 individual/beneficiaries) have access to adequate sanitation facilities meeting Sphere Standards.</t>
  </si>
  <si>
    <t>DCA Sanitation Output 2 - Sanitation:</t>
  </si>
  <si>
    <t xml:space="preserve">households
 (approximately 90,000 individual/beneficiaries) have access to latrine as per the standard of maximum 20 persons per latrine.
# of communal/family latrines repaired/rehabilitated/constructed
</t>
  </si>
  <si>
    <t>Individual permanent latrines built/repaired</t>
  </si>
  <si>
    <t xml:space="preserve">School/insitutional latrines bilt/reparied </t>
  </si>
  <si>
    <t># of showers/bathing places constructed</t>
  </si>
  <si>
    <t>Cross Cutting - through survey - PDM</t>
  </si>
  <si>
    <t>90 % of latrines repaired/rehabilitated/ constructed are equipped with hand washing facilities, one 1 liter mug and one 10 liter bucket for anal cleansing.</t>
  </si>
  <si>
    <t>n/a</t>
  </si>
  <si>
    <t>DCA WASH Outcome 3 – Hygiene:</t>
  </si>
  <si>
    <t>Beneficiaries are aware of key WASH related health risks and take action to prevent these.</t>
  </si>
  <si>
    <t>Through KAP survey</t>
  </si>
  <si>
    <t>70% beneficiaries from the hygiene promotion program have increased knowledge about WASH related health risks and are able to take action to prevent these and to make optimal use of water and sanitation facilities.</t>
  </si>
  <si>
    <t xml:space="preserve">DCA Hygiene Output 3: </t>
  </si>
  <si>
    <t xml:space="preserve">DCA Food Security Outcome: </t>
  </si>
  <si>
    <t>Beneficiaries are able to meet household food needs, and reconstitute productive assets, in order to resume pre-crisis livelihoods.</t>
  </si>
  <si>
    <t xml:space="preserve">10,000 affected families receive food in line with sphere standard during the emergency period. </t>
  </si>
  <si>
    <t xml:space="preserve">DCA Food Security Output : </t>
  </si>
  <si>
    <t xml:space="preserve">10,000 affected families receive food basket as per standard during the emergency period. </t>
  </si>
  <si>
    <t>Y/N</t>
  </si>
  <si>
    <t>Families Reached through early recovery livelihoods assistance</t>
  </si>
  <si>
    <t xml:space="preserve">KAP is needed </t>
  </si>
  <si>
    <t xml:space="preserve">90 % of the beneficiaries express their satisfaction from the distribution and quality of food. </t>
  </si>
  <si>
    <t>DCA Psychosocial Support Outcome:</t>
  </si>
  <si>
    <t>Existing social, community, and family systems promote an environment for recovery and human development.</t>
  </si>
  <si>
    <t>households/families benefit from psychosocial support by increasing their positive coping mechanisms and sense of security.</t>
  </si>
  <si>
    <t xml:space="preserve">DCA Psychosocial Support Output: </t>
  </si>
  <si>
    <t>Safe spaces for women and children established and equipped.</t>
  </si>
  <si>
    <t>Culturally appropriate recreational activities for girls, boys and adolescents organized in affected communities.</t>
  </si>
  <si>
    <t>ACT member staff and community/social workers and staff of partners trained in community based psychosocial support and/or psychological first aid.</t>
  </si>
  <si>
    <t>Increased levels of knowledge on CBPS among participants.</t>
  </si>
  <si>
    <t>Referral systems for people in need of focused care/specialized mental health or protection services identified/established</t>
  </si>
  <si>
    <t xml:space="preserve">List of referral hospitals / organizations providing focused care/specialized services per district and location. </t>
  </si>
  <si>
    <t>Gorkha</t>
  </si>
  <si>
    <t>Baktapur</t>
  </si>
  <si>
    <t xml:space="preserve"> </t>
  </si>
  <si>
    <t>Jun</t>
  </si>
  <si>
    <t>Jul</t>
  </si>
  <si>
    <t>Aug</t>
  </si>
  <si>
    <t>Sep</t>
  </si>
  <si>
    <t>Oct</t>
  </si>
  <si>
    <t>Nov</t>
  </si>
  <si>
    <t>Dec</t>
  </si>
  <si>
    <t>Jan</t>
  </si>
  <si>
    <t>Feb</t>
  </si>
  <si>
    <t>Mar</t>
  </si>
  <si>
    <t>Apr</t>
  </si>
  <si>
    <t>A hygiene promotion team is recruited and trained</t>
  </si>
  <si>
    <t xml:space="preserve"> (approximately 90,000 individual/beneficiaries) have access to latrine as per the standard of maximum 20 persons per latrine.
</t>
  </si>
  <si>
    <t>27500 persons</t>
  </si>
  <si>
    <t xml:space="preserve">Additional:emergency latrines </t>
  </si>
  <si>
    <t xml:space="preserve">New: No of beneficiaries from recreational activities </t>
  </si>
  <si>
    <t xml:space="preserve">New: No Network members </t>
  </si>
  <si>
    <t>New: Number of ACT staff trained</t>
  </si>
  <si>
    <t xml:space="preserve">New: Number of people referred </t>
  </si>
  <si>
    <t># of Individual Counselling Sessions</t>
  </si>
  <si>
    <t># of Individual counselling Beneficiaries</t>
  </si>
  <si>
    <t># of Family Counselling Sessions</t>
  </si>
  <si>
    <t># of Family Counselling Beneficiaries</t>
  </si>
  <si>
    <t># Group Counselling sessions</t>
  </si>
  <si>
    <t># of Group Counselling Beneficiaries</t>
  </si>
  <si>
    <t># of Motivational Sessions &amp; awareness on CBPS to school students</t>
  </si>
  <si>
    <t># of beneficiaries for motivational sessions &amp; awareness on CBPS to school students</t>
  </si>
  <si>
    <t>Total # of sessions</t>
  </si>
  <si>
    <t># of beneficiaries from TOT to school teachers</t>
  </si>
  <si>
    <t># of sessions on awareness &amp; orientation to teachers on PSS</t>
  </si>
  <si>
    <t># of TOT sessions to school teachers</t>
  </si>
  <si>
    <t># of beneficiaries from awareness &amp; orientation to teachers on PSS</t>
  </si>
  <si>
    <t># of sessions on Awareness to youth on CBPS</t>
  </si>
  <si>
    <t># of beneficiaries from Awareness to youth on CBPS</t>
  </si>
  <si>
    <t># of sessions on Awareness &amp; orientation on CBPS to woman group</t>
  </si>
  <si>
    <t># of beneficiaries from Awareness &amp; orientation on CBPS to woman group</t>
  </si>
  <si>
    <t># of RA for women</t>
  </si>
  <si>
    <t># of beneficiaries from RA for women</t>
  </si>
  <si>
    <t># of RA for school children</t>
  </si>
  <si>
    <t># of beneficiaries from RA for School Children</t>
  </si>
  <si>
    <t># of RA for youth</t>
  </si>
  <si>
    <t># of beneficiaries from RA for Youth</t>
  </si>
  <si>
    <t># of beneficiaries from indivdual counselling</t>
  </si>
  <si>
    <t># of family counselling sessions</t>
  </si>
  <si>
    <t># of beneficiaries from family counselling</t>
  </si>
  <si>
    <t># of Individual Counselling sessions</t>
  </si>
  <si>
    <t># of group counselling sessions</t>
  </si>
  <si>
    <t xml:space="preserve"># of beneficiaries from Group Counselling </t>
  </si>
  <si>
    <t># of motivational sessions &amp; awareness on CBPS to school students</t>
  </si>
  <si>
    <t># of beneficiaries from motivational sessions &amp; awareness on CBPS to school students</t>
  </si>
  <si>
    <r>
      <t xml:space="preserve">(Non ACT) Indicator PX2: Recorded # of Network members.
</t>
    </r>
    <r>
      <rPr>
        <i/>
        <sz val="11"/>
        <color theme="1"/>
        <rFont val="Calibri"/>
        <family val="2"/>
        <scheme val="minor"/>
      </rPr>
      <t>Target: tbc</t>
    </r>
  </si>
  <si>
    <t>(Non ACT) Indicator PX4: Recorded # of beneficiaries</t>
  </si>
  <si>
    <r>
      <t xml:space="preserve">Indicator P5: Increased levels of knowledge on CBPS among participants.
</t>
    </r>
    <r>
      <rPr>
        <i/>
        <u/>
        <sz val="11"/>
        <color theme="1"/>
        <rFont val="Calibri"/>
        <family val="2"/>
        <scheme val="minor"/>
      </rPr>
      <t>ACT Target: tbc</t>
    </r>
  </si>
  <si>
    <t>KAP Survey</t>
  </si>
  <si>
    <t>(Non ACT) Indicator PX5: Recorded # of Partner staff trained</t>
  </si>
  <si>
    <t># Partner Staffs trained</t>
  </si>
  <si>
    <t># of sessions for TOT to School Teachers</t>
  </si>
  <si>
    <t># of sessions for Awareness &amp; orientation to teachers on PSS</t>
  </si>
  <si>
    <t># of sessions for Awareness to youth on CBPS</t>
  </si>
  <si>
    <t># of sessions for Awareness &amp; orientation on CBPS to woman group</t>
  </si>
  <si>
    <t># of RA for Women</t>
  </si>
  <si>
    <t># of RA for School Children</t>
  </si>
  <si>
    <t># of RA for Youth</t>
  </si>
  <si>
    <t># of Partner Staffs trained</t>
  </si>
  <si>
    <t># of beneficiaries from individual counselling</t>
  </si>
  <si>
    <t># beneficaries from group counselling</t>
  </si>
  <si>
    <t># of beneficaries from Motivational sessions &amp; awareness on CBPS to school students</t>
  </si>
  <si>
    <t># of TOT sessions to School teachers</t>
  </si>
  <si>
    <t xml:space="preserve"># of sessions on awareness and orientation to teachers on pss </t>
  </si>
  <si>
    <t xml:space="preserve"># of sessions on awareness to youth group on CBPS </t>
  </si>
  <si>
    <t xml:space="preserve"># of sessions on awareness and orientations  on CBPS tp womens group </t>
  </si>
  <si>
    <t>(Non ACT) Indicator PX4: Recorded # of beneficiaries for indicator P4</t>
  </si>
  <si>
    <t>RA for Women</t>
  </si>
  <si>
    <t>RA for School Children</t>
  </si>
  <si>
    <t># of individual counselling sessions</t>
  </si>
  <si>
    <t># beneficiaries from of Family Counselling</t>
  </si>
  <si>
    <t># of beneficiaries from Motivational Sessions &amp; awareness on CBPS to school students</t>
  </si>
  <si>
    <r>
      <t xml:space="preserve">(Non ACT) Indicator P2X: Recorded # of network members for indicator P2
</t>
    </r>
    <r>
      <rPr>
        <i/>
        <u/>
        <sz val="11"/>
        <color theme="1"/>
        <rFont val="Calibri"/>
        <family val="2"/>
        <scheme val="minor"/>
      </rPr>
      <t>Target: tbc</t>
    </r>
  </si>
  <si>
    <t># of beneficiaries from ToT to school teachers</t>
  </si>
  <si>
    <t># of beneficiaries form Awareness &amp; orientation to teachers on PSS</t>
  </si>
  <si>
    <t># of beneficiaries from Awareness to youth groups on CBPS</t>
  </si>
  <si>
    <t># beneficiaries from Awareness &amp; orientation on CBPS to women group</t>
  </si>
  <si>
    <r>
      <t xml:space="preserve">(Non ACT) Indicator PX4: Recorded # of beneficiaries for indicator P4
</t>
    </r>
    <r>
      <rPr>
        <i/>
        <u/>
        <sz val="11"/>
        <color theme="1"/>
        <rFont val="Calibri"/>
        <family val="2"/>
        <scheme val="minor"/>
      </rPr>
      <t>Target: tbc</t>
    </r>
  </si>
  <si>
    <t>RA for Youth</t>
  </si>
  <si>
    <t># of beneficiaries from RA for school children</t>
  </si>
  <si>
    <t>KAp</t>
  </si>
  <si>
    <t># of Partner staffs trained</t>
  </si>
  <si>
    <r>
      <t xml:space="preserve">Indicator PX2 (Non ACT): # of beneficiaries for indicator P2
</t>
    </r>
    <r>
      <rPr>
        <i/>
        <u/>
        <sz val="11"/>
        <color theme="1"/>
        <rFont val="Calibri"/>
        <family val="2"/>
        <scheme val="minor"/>
      </rPr>
      <t>Target: tbc</t>
    </r>
  </si>
  <si>
    <r>
      <t xml:space="preserve">(Non ACT) Indicator PX4: Recorded # of beneficiaries.
</t>
    </r>
    <r>
      <rPr>
        <i/>
        <u/>
        <sz val="11"/>
        <color theme="1"/>
        <rFont val="Calibri"/>
        <family val="2"/>
        <scheme val="minor"/>
      </rPr>
      <t>Target: tbc</t>
    </r>
  </si>
  <si>
    <r>
      <t xml:space="preserve">Indicator P6: Referral systems for people in need of focused care/specialized mental health or protection services identified/established
</t>
    </r>
    <r>
      <rPr>
        <i/>
        <u/>
        <sz val="11"/>
        <color theme="1"/>
        <rFont val="Calibri"/>
        <family val="2"/>
        <scheme val="minor"/>
      </rPr>
      <t>ACT Target: tbc</t>
    </r>
  </si>
  <si>
    <t>Outcome: Installation of temporary emergency latrines</t>
  </si>
  <si>
    <r>
      <t xml:space="preserve">Indicator W1: HHs have safe drinking water minimum 15 litres per person. 
</t>
    </r>
    <r>
      <rPr>
        <i/>
        <u/>
        <sz val="11"/>
        <color theme="1"/>
        <rFont val="Calibri"/>
        <family val="2"/>
        <scheme val="minor"/>
      </rPr>
      <t xml:space="preserve">ACT Target: 12000 HH
</t>
    </r>
  </si>
  <si>
    <r>
      <t xml:space="preserve">
Indicator W2: # of Temporary and permanent water distribution points constructed
</t>
    </r>
    <r>
      <rPr>
        <i/>
        <u/>
        <sz val="11"/>
        <color theme="1"/>
        <rFont val="Calibri"/>
        <family val="2"/>
        <scheme val="minor"/>
      </rPr>
      <t>ACT Target: tbc</t>
    </r>
    <r>
      <rPr>
        <sz val="11"/>
        <color theme="1"/>
        <rFont val="Calibri"/>
        <family val="2"/>
        <scheme val="minor"/>
      </rPr>
      <t xml:space="preserve">
Indicator W3: # of water distribution networks identified and repaired/rehabilitated
</t>
    </r>
    <r>
      <rPr>
        <i/>
        <u/>
        <sz val="11"/>
        <color theme="1"/>
        <rFont val="Calibri"/>
        <family val="2"/>
        <scheme val="minor"/>
      </rPr>
      <t>ACT Target: tbc</t>
    </r>
  </si>
  <si>
    <r>
      <t xml:space="preserve">Indicator W1: HHs have safe drinking water minimum 15 litres per person. 
</t>
    </r>
    <r>
      <rPr>
        <i/>
        <u/>
        <sz val="11"/>
        <color theme="1"/>
        <rFont val="Calibri"/>
        <family val="2"/>
        <scheme val="minor"/>
      </rPr>
      <t xml:space="preserve">ACT Target: 12000 HH
</t>
    </r>
    <r>
      <rPr>
        <sz val="11"/>
        <color theme="1"/>
        <rFont val="Calibri"/>
        <family val="2"/>
        <scheme val="minor"/>
      </rPr>
      <t/>
    </r>
  </si>
  <si>
    <t>Yes</t>
  </si>
  <si>
    <t>No</t>
  </si>
  <si>
    <r>
      <t>1.</t>
    </r>
    <r>
      <rPr>
        <sz val="7"/>
        <rFont val="Calibri"/>
        <family val="2"/>
      </rPr>
      <t xml:space="preserve">      </t>
    </r>
    <r>
      <rPr>
        <sz val="11"/>
        <rFont val="Calibri"/>
        <family val="2"/>
      </rPr>
      <t>Beneficiaries have access to safe drinking water of sufficient quantity for drinking, cooking and maintaining personal and domestic hygiene, meeting Sphere standards</t>
    </r>
  </si>
  <si>
    <t># of water distribution networks identified and repaired/rehabilitated</t>
  </si>
  <si>
    <r>
      <t>2.</t>
    </r>
    <r>
      <rPr>
        <sz val="7"/>
        <rFont val="Calibri"/>
        <family val="2"/>
      </rPr>
      <t xml:space="preserve">       </t>
    </r>
    <r>
      <rPr>
        <sz val="11"/>
        <rFont val="Calibri"/>
        <family val="2"/>
      </rPr>
      <t>Repair/rehabilitation/construction of communal/family latrines</t>
    </r>
  </si>
  <si>
    <r>
      <t>3.</t>
    </r>
    <r>
      <rPr>
        <sz val="7"/>
        <rFont val="Calibri"/>
        <family val="2"/>
      </rPr>
      <t xml:space="preserve">       </t>
    </r>
    <r>
      <rPr>
        <sz val="11"/>
        <rFont val="Calibri"/>
        <family val="2"/>
      </rPr>
      <t>Installation of hand shower and washing facilities close to latrines</t>
    </r>
  </si>
  <si>
    <r>
      <t>1.</t>
    </r>
    <r>
      <rPr>
        <sz val="7"/>
        <rFont val="Calibri"/>
        <family val="2"/>
      </rPr>
      <t xml:space="preserve">       </t>
    </r>
    <r>
      <rPr>
        <sz val="11"/>
        <rFont val="Calibri"/>
        <family val="2"/>
      </rPr>
      <t>Hygiene kits are distributed to beneficiaries</t>
    </r>
  </si>
  <si>
    <r>
      <t>1.1</t>
    </r>
    <r>
      <rPr>
        <sz val="7"/>
        <rFont val="Calibri"/>
        <family val="2"/>
      </rPr>
      <t xml:space="preserve">   </t>
    </r>
    <r>
      <rPr>
        <sz val="11"/>
        <rFont val="Calibri"/>
        <family val="2"/>
      </rPr>
      <t># of hygiene kits are distributed to households</t>
    </r>
  </si>
  <si>
    <r>
      <t>1.1</t>
    </r>
    <r>
      <rPr>
        <sz val="7"/>
        <rFont val="Calibri"/>
        <family val="2"/>
      </rPr>
      <t xml:space="preserve">   </t>
    </r>
    <r>
      <rPr>
        <sz val="11"/>
        <rFont val="Calibri"/>
        <family val="2"/>
      </rPr>
      <t xml:space="preserve"># hygiene promoters are recruited and trained </t>
    </r>
  </si>
  <si>
    <r>
      <rPr>
        <sz val="7"/>
        <rFont val="Calibri"/>
        <family val="2"/>
      </rPr>
      <t xml:space="preserve"> </t>
    </r>
    <r>
      <rPr>
        <sz val="11"/>
        <rFont val="Calibri"/>
        <family val="2"/>
      </rPr>
      <t>Hygiene promotion awareness activities addressing major WASH related health risks are carried out by hygiene promoters and community mobilisers</t>
    </r>
  </si>
  <si>
    <r>
      <t>3.1</t>
    </r>
    <r>
      <rPr>
        <sz val="7"/>
        <rFont val="Calibri"/>
        <family val="2"/>
      </rPr>
      <t xml:space="preserve">   </t>
    </r>
    <r>
      <rPr>
        <sz val="11"/>
        <rFont val="Calibri"/>
        <family val="2"/>
      </rPr>
      <t xml:space="preserve"># of hygiene promotion activities carried out in target locations </t>
    </r>
  </si>
  <si>
    <r>
      <t>1.1</t>
    </r>
    <r>
      <rPr>
        <sz val="7"/>
        <rFont val="Calibri"/>
        <family val="2"/>
      </rPr>
      <t xml:space="preserve">     </t>
    </r>
    <r>
      <rPr>
        <sz val="11"/>
        <rFont val="Calibri"/>
        <family val="2"/>
      </rPr>
      <t xml:space="preserve">List of identified  affected and vulnerable families </t>
    </r>
  </si>
  <si>
    <r>
      <t>1.2</t>
    </r>
    <r>
      <rPr>
        <sz val="7"/>
        <rFont val="Calibri"/>
        <family val="2"/>
      </rPr>
      <t xml:space="preserve">     </t>
    </r>
    <r>
      <rPr>
        <sz val="11"/>
        <rFont val="Calibri"/>
        <family val="2"/>
      </rPr>
      <t>Distribution of food items to 10,000 affected families during the emergency period.</t>
    </r>
  </si>
  <si>
    <r>
      <t>1.</t>
    </r>
    <r>
      <rPr>
        <sz val="7"/>
        <rFont val="Calibri"/>
        <family val="2"/>
      </rPr>
      <t xml:space="preserve">      </t>
    </r>
    <r>
      <rPr>
        <sz val="11"/>
        <rFont val="Calibri"/>
        <family val="2"/>
      </rPr>
      <t>5,000 affected families/households have access to community based psychosocial support.</t>
    </r>
  </si>
  <si>
    <r>
      <t>1.1</t>
    </r>
    <r>
      <rPr>
        <sz val="7"/>
        <rFont val="Calibri"/>
        <family val="2"/>
      </rPr>
      <t xml:space="preserve">   </t>
    </r>
    <r>
      <rPr>
        <sz val="11"/>
        <rFont val="Calibri"/>
        <family val="2"/>
      </rPr>
      <t>5,000 families provided with psychosocial support between May 2015 – April 2016.</t>
    </r>
  </si>
  <si>
    <r>
      <t>2.</t>
    </r>
    <r>
      <rPr>
        <sz val="7"/>
        <rFont val="Calibri"/>
        <family val="2"/>
      </rPr>
      <t xml:space="preserve">      </t>
    </r>
    <r>
      <rPr>
        <sz val="11"/>
        <rFont val="Calibri"/>
        <family val="2"/>
      </rPr>
      <t>Community and family support networks (formal and informal groups) that provide protection, care, and psychosocial support for vulnerable earthquake-affected families are strengthened.</t>
    </r>
  </si>
  <si>
    <r>
      <t>1.1</t>
    </r>
    <r>
      <rPr>
        <sz val="7"/>
        <rFont val="Calibri"/>
        <family val="2"/>
      </rPr>
      <t xml:space="preserve">   </t>
    </r>
    <r>
      <rPr>
        <sz val="11"/>
        <rFont val="Calibri"/>
        <family val="2"/>
      </rPr>
      <t>25 community support networks (formal and informal groups) for protection, care, and psychosocial support (e.g. community self-help groups, sharing of childcare, women’s groups, youth groups etc.) in target areas from May 2015 – April 2016.</t>
    </r>
  </si>
  <si>
    <r>
      <t>3.1</t>
    </r>
    <r>
      <rPr>
        <sz val="7"/>
        <rFont val="Calibri"/>
        <family val="2"/>
      </rPr>
      <t xml:space="preserve">   </t>
    </r>
    <r>
      <rPr>
        <sz val="11"/>
        <rFont val="Calibri"/>
        <family val="2"/>
      </rPr>
      <t># of safe spaces for women and children established and equipped.</t>
    </r>
  </si>
  <si>
    <r>
      <t>4.1</t>
    </r>
    <r>
      <rPr>
        <sz val="7"/>
        <rFont val="Calibri"/>
        <family val="2"/>
      </rPr>
      <t xml:space="preserve">   </t>
    </r>
    <r>
      <rPr>
        <sz val="11"/>
        <rFont val="Calibri"/>
        <family val="2"/>
      </rPr>
      <t>Record of recreational activities organized targeting to specific groups.</t>
    </r>
  </si>
  <si>
    <r>
      <t xml:space="preserve">Indicator H4: # of hygiene promotion activities carried out in target locations
</t>
    </r>
    <r>
      <rPr>
        <u/>
        <sz val="11"/>
        <color theme="1"/>
        <rFont val="Calibri"/>
        <family val="2"/>
        <scheme val="minor"/>
      </rPr>
      <t xml:space="preserve"> </t>
    </r>
    <r>
      <rPr>
        <i/>
        <u/>
        <sz val="11"/>
        <color theme="1"/>
        <rFont val="Calibri"/>
        <family val="2"/>
        <scheme val="minor"/>
      </rPr>
      <t>ACT Target: tbc</t>
    </r>
  </si>
  <si>
    <r>
      <t xml:space="preserve">Indicator R1:  approximately 90,000 individual/beneficiaries) have access to latrine as per the standard of maximum 20 persons per latrine.
</t>
    </r>
    <r>
      <rPr>
        <i/>
        <u/>
        <sz val="11"/>
        <color theme="1"/>
        <rFont val="Calibri"/>
        <family val="2"/>
        <scheme val="minor"/>
      </rPr>
      <t>ACT Target: 12000 HH</t>
    </r>
  </si>
  <si>
    <t>Recruited</t>
  </si>
  <si>
    <t># Trained partner staffs (including social mobilizers, PSS staffs)</t>
  </si>
  <si>
    <t># of school teachers trained</t>
  </si>
  <si>
    <t># of FCHV trained</t>
  </si>
  <si>
    <t># Recruited</t>
  </si>
  <si>
    <t># of Trained partner staffs (including social mobilizers, PSS staffs)</t>
  </si>
  <si>
    <t>Focus Group Discussions conducted &amp; prelimary report writing ongoing</t>
  </si>
  <si>
    <t>Harisiddhi</t>
  </si>
  <si>
    <t>Indicator WX1 (Non ACT): Recorded # of emergency latrines</t>
  </si>
  <si>
    <t># emergency latrines</t>
  </si>
  <si>
    <t># emeregency latrines</t>
  </si>
  <si>
    <t># emergeny latrines</t>
  </si>
  <si>
    <t>Changunaryan</t>
  </si>
  <si>
    <t>Awareness on HH &amp; GBV</t>
  </si>
  <si>
    <t># beneficiaries orientation on HH &amp; GBV</t>
  </si>
  <si>
    <t># trained on PFA</t>
  </si>
  <si>
    <t>#trained in leadership</t>
  </si>
  <si>
    <r>
      <t xml:space="preserve">(ACT member staff and community/social workers and staff of partners trained in community based psychosocial support and/or psychological first aid.
</t>
    </r>
    <r>
      <rPr>
        <i/>
        <u/>
        <sz val="11"/>
        <color theme="1"/>
        <rFont val="Calibri"/>
        <family val="2"/>
        <scheme val="minor"/>
      </rPr>
      <t>Target: tbc</t>
    </r>
  </si>
  <si>
    <t># trained in Curd Making Training</t>
  </si>
  <si>
    <t># trained in Agricultural Training</t>
  </si>
  <si>
    <t># trained in Velvet Shoe Making Training</t>
  </si>
  <si>
    <t># trained in knitting training</t>
  </si>
  <si>
    <t># of beneficaries orientation on CBPS to school students</t>
  </si>
  <si>
    <t xml:space="preserve"># trained in training on CBPSS by Partner to community network </t>
  </si>
  <si>
    <t xml:space="preserve"># trained in capacity building Capacity Building training to community  network </t>
  </si>
  <si>
    <t>workshop</t>
  </si>
  <si>
    <t>NERP file designed by Biju &amp; updated as of 07.10.2015</t>
  </si>
  <si>
    <t>Thathali</t>
  </si>
  <si>
    <t>Food Security</t>
  </si>
  <si>
    <r>
      <rPr>
        <b/>
        <sz val="11"/>
        <rFont val="Calibri"/>
        <family val="2"/>
        <scheme val="minor"/>
      </rPr>
      <t>Footnotes:</t>
    </r>
    <r>
      <rPr>
        <sz val="11"/>
        <rFont val="Calibri"/>
        <family val="2"/>
        <scheme val="minor"/>
      </rPr>
      <t xml:space="preserve">
Kgs of Rice to VDCs:
325kg Rice - Harisiddi VDC, Lalitpur
790kg Rice - Byasi VDC, Bhaktapur
250kg Rice - Motikhel VDC, Lalitpur
50kg Rice - Thaiba VDC, Lalitpur
Along with rice, food basket also contained Pulse, Oil &amp; Salt
74kg Pulse, 37l oil, 37kg salt  - Byasi VDC, Bhaktapur
21kg Pulse, 15l oil, 15kg salt  - Harisiddi VDC, Lalitpur
1kg Pulse, 2l oil, 1kg salt - THaiba VDC, Lalitpur
10kg Pulse, 5l oil, 10 kg salt - Motikhel VDC, Lalitpur
</t>
    </r>
  </si>
  <si>
    <r>
      <rPr>
        <b/>
        <sz val="11"/>
        <rFont val="Calibri"/>
        <family val="2"/>
        <scheme val="minor"/>
      </rPr>
      <t>Footnotes:</t>
    </r>
    <r>
      <rPr>
        <sz val="11"/>
        <rFont val="Calibri"/>
        <family val="2"/>
        <scheme val="minor"/>
      </rPr>
      <t xml:space="preserve">
Packets of Baby feed to VDCS:
65 - Byasi VDC, Bhaktapur
80 - Harisiddi VDC, Lalitpur
5 - Thaiba VDC, Lalitpur
10 - Motikhel VDC, Lalitpur</t>
    </r>
  </si>
  <si>
    <r>
      <rPr>
        <b/>
        <sz val="11"/>
        <rFont val="Calibri"/>
        <family val="2"/>
        <scheme val="minor"/>
      </rPr>
      <t xml:space="preserve">Footnotes:
BR distribution data not included on totals.
</t>
    </r>
    <r>
      <rPr>
        <sz val="11"/>
        <rFont val="Calibri"/>
        <family val="2"/>
        <scheme val="minor"/>
      </rPr>
      <t xml:space="preserve">Packets of BR to VDCS:
2 - Byasi VDC, Bhaktapur
5 - Harisiddi VDC, Lalitpur
1 - Thaiba VDC, Lalitpur
10 - Motikhel VDC, Lalitpur
</t>
    </r>
  </si>
  <si>
    <t>Shelter</t>
  </si>
  <si>
    <t>Cloth</t>
  </si>
  <si>
    <t>Kichen Utensils</t>
  </si>
  <si>
    <t>Tarpaulin</t>
  </si>
  <si>
    <t># of HH benefited from Rice (kg) @ 5kg per HH for food basket</t>
  </si>
  <si>
    <t># of HH benefited from Baby feed - to PLW - food basket</t>
  </si>
  <si>
    <t># of HH benefited from Ready-to-eat Rice</t>
  </si>
  <si>
    <t># of HH benefited from NFI</t>
  </si>
  <si>
    <r>
      <rPr>
        <b/>
        <sz val="11"/>
        <rFont val="Calibri"/>
        <family val="2"/>
        <scheme val="minor"/>
      </rPr>
      <t xml:space="preserve">Footnotes:
</t>
    </r>
    <r>
      <rPr>
        <sz val="11"/>
        <rFont val="Calibri"/>
        <family val="2"/>
        <scheme val="minor"/>
      </rPr>
      <t xml:space="preserve">1 unit of each of the NFIs distributed per HH
Units of NFIs to VDCS:
2mattress, 196 cloth, 1 kitchen utensil, 1 tarp, 4blanket - Byasi, VDC, Bhaktapur
1mattress, 1 kitchen utensil 4 tarps - Harisiddi VDC, Lalitpur
2blanket - Thaiba VDC, Lalitpur
22blanket-Motikhel VDC, Lalipur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</si>
</sst>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22" x14ac:knownFonts="1">
    <font>
      <sz val="11"/>
      <color theme="1"/>
      <name val="Calibri"/>
      <family val="2"/>
      <scheme val="minor"/>
    </font>
    <font>
      <b/>
      <sz val="11"/>
      <color theme="1"/>
      <name val="Calibri"/>
      <family val="2"/>
      <scheme val="minor"/>
    </font>
    <font>
      <b/>
      <sz val="11"/>
      <name val="Arial Narrow"/>
      <family val="2"/>
    </font>
    <font>
      <i/>
      <sz val="11"/>
      <color theme="1"/>
      <name val="Calibri"/>
      <family val="2"/>
      <scheme val="minor"/>
    </font>
    <font>
      <i/>
      <u/>
      <sz val="11"/>
      <color theme="1"/>
      <name val="Calibri"/>
      <family val="2"/>
      <scheme val="minor"/>
    </font>
    <font>
      <u/>
      <sz val="11"/>
      <color theme="1"/>
      <name val="Calibri"/>
      <family val="2"/>
      <scheme val="minor"/>
    </font>
    <font>
      <sz val="11"/>
      <name val="Calibri"/>
      <family val="2"/>
      <scheme val="minor"/>
    </font>
    <font>
      <i/>
      <sz val="11"/>
      <name val="Calibri"/>
      <family val="2"/>
      <scheme val="minor"/>
    </font>
    <font>
      <sz val="11"/>
      <color theme="3" tint="0.39997558519241921"/>
      <name val="Calibri"/>
      <family val="2"/>
      <scheme val="minor"/>
    </font>
    <font>
      <b/>
      <i/>
      <sz val="11"/>
      <color theme="7" tint="-0.499984740745262"/>
      <name val="Calibri"/>
      <family val="2"/>
      <scheme val="minor"/>
    </font>
    <font>
      <sz val="11"/>
      <color theme="7" tint="-0.499984740745262"/>
      <name val="Calibri"/>
      <family val="2"/>
      <scheme val="minor"/>
    </font>
    <font>
      <i/>
      <u/>
      <sz val="11"/>
      <color theme="7" tint="-0.499984740745262"/>
      <name val="Calibri"/>
      <family val="2"/>
      <scheme val="minor"/>
    </font>
    <font>
      <b/>
      <sz val="11"/>
      <name val="Calibri"/>
      <family val="2"/>
      <scheme val="minor"/>
    </font>
    <font>
      <sz val="10"/>
      <name val="Verdana"/>
      <family val="2"/>
    </font>
    <font>
      <b/>
      <sz val="11"/>
      <color theme="7" tint="-0.499984740745262"/>
      <name val="Calibri"/>
      <family val="2"/>
      <scheme val="minor"/>
    </font>
    <font>
      <sz val="14"/>
      <color theme="1"/>
      <name val="Calibri"/>
      <family val="2"/>
      <scheme val="minor"/>
    </font>
    <font>
      <b/>
      <i/>
      <sz val="11"/>
      <color theme="1"/>
      <name val="Calibri"/>
      <family val="2"/>
      <scheme val="minor"/>
    </font>
    <font>
      <b/>
      <sz val="11"/>
      <name val="Calibri"/>
      <family val="2"/>
    </font>
    <font>
      <sz val="11"/>
      <name val="Calibri"/>
      <family val="2"/>
    </font>
    <font>
      <sz val="11"/>
      <color rgb="FFFF0000"/>
      <name val="Calibri"/>
      <family val="2"/>
      <scheme val="minor"/>
    </font>
    <font>
      <sz val="7"/>
      <name val="Calibri"/>
      <family val="2"/>
    </font>
    <font>
      <i/>
      <sz val="11"/>
      <color theme="7" tint="-0.499984740745262"/>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00"/>
        <bgColor indexed="64"/>
      </patternFill>
    </fill>
  </fills>
  <borders count="7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right/>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s>
  <cellStyleXfs count="1">
    <xf numFmtId="0" fontId="0" fillId="0" borderId="0"/>
  </cellStyleXfs>
  <cellXfs count="554">
    <xf numFmtId="0" fontId="0" fillId="0" borderId="0" xfId="0"/>
    <xf numFmtId="0" fontId="1" fillId="0" borderId="0" xfId="0" applyFont="1"/>
    <xf numFmtId="0" fontId="0" fillId="0" borderId="0" xfId="0" applyFont="1"/>
    <xf numFmtId="0" fontId="0" fillId="0" borderId="0" xfId="0" applyAlignment="1">
      <alignment horizontal="left" vertical="top" wrapText="1"/>
    </xf>
    <xf numFmtId="0" fontId="0" fillId="0" borderId="0" xfId="0" applyBorder="1" applyAlignment="1">
      <alignment horizontal="center" vertical="top" wrapText="1"/>
    </xf>
    <xf numFmtId="0" fontId="0" fillId="0" borderId="22" xfId="0" applyBorder="1"/>
    <xf numFmtId="0" fontId="1" fillId="0" borderId="24" xfId="0" applyFont="1" applyBorder="1"/>
    <xf numFmtId="0" fontId="0" fillId="3" borderId="7" xfId="0" applyFont="1" applyFill="1" applyBorder="1" applyAlignment="1">
      <alignment horizontal="center" vertical="center" wrapText="1"/>
    </xf>
    <xf numFmtId="0" fontId="0" fillId="0" borderId="0" xfId="0" applyBorder="1" applyAlignment="1">
      <alignment horizontal="left"/>
    </xf>
    <xf numFmtId="0" fontId="1" fillId="0" borderId="27" xfId="0" applyFont="1" applyBorder="1" applyAlignment="1">
      <alignment horizontal="center" vertical="center"/>
    </xf>
    <xf numFmtId="0" fontId="1" fillId="0" borderId="21" xfId="0" applyFont="1" applyBorder="1"/>
    <xf numFmtId="0" fontId="1" fillId="0" borderId="27" xfId="0" applyFont="1" applyBorder="1" applyAlignment="1">
      <alignment horizontal="center"/>
    </xf>
    <xf numFmtId="0" fontId="3" fillId="0" borderId="12" xfId="0" applyFont="1" applyBorder="1"/>
    <xf numFmtId="0" fontId="3" fillId="0" borderId="17" xfId="0" applyFont="1" applyBorder="1"/>
    <xf numFmtId="0" fontId="1" fillId="0" borderId="27" xfId="0" applyFont="1" applyBorder="1" applyAlignment="1">
      <alignment horizontal="right"/>
    </xf>
    <xf numFmtId="0" fontId="3" fillId="0" borderId="13" xfId="0" applyFont="1" applyBorder="1"/>
    <xf numFmtId="1" fontId="3" fillId="0" borderId="13" xfId="0" applyNumberFormat="1" applyFont="1" applyBorder="1"/>
    <xf numFmtId="0" fontId="3" fillId="0" borderId="25" xfId="0" applyFont="1" applyBorder="1"/>
    <xf numFmtId="1" fontId="1" fillId="0" borderId="21" xfId="0" applyNumberFormat="1" applyFont="1" applyBorder="1"/>
    <xf numFmtId="0" fontId="3" fillId="0" borderId="23" xfId="0" applyFont="1" applyBorder="1"/>
    <xf numFmtId="0" fontId="0" fillId="3" borderId="33" xfId="0" applyFont="1" applyFill="1" applyBorder="1" applyAlignment="1">
      <alignment horizontal="center" vertical="center" wrapText="1"/>
    </xf>
    <xf numFmtId="0" fontId="1" fillId="0" borderId="27" xfId="0" applyFont="1" applyBorder="1"/>
    <xf numFmtId="0" fontId="0" fillId="0" borderId="0" xfId="0" applyFont="1" applyAlignment="1">
      <alignment horizontal="center" vertical="center" wrapText="1"/>
    </xf>
    <xf numFmtId="1" fontId="1" fillId="0" borderId="27" xfId="0" applyNumberFormat="1" applyFont="1" applyBorder="1"/>
    <xf numFmtId="0" fontId="1" fillId="0" borderId="27" xfId="0" applyFont="1" applyBorder="1" applyAlignment="1">
      <alignment horizontal="center" vertical="center" wrapText="1"/>
    </xf>
    <xf numFmtId="0" fontId="1" fillId="0" borderId="8" xfId="0" applyFont="1" applyBorder="1" applyAlignment="1">
      <alignment vertical="top" wrapText="1"/>
    </xf>
    <xf numFmtId="0" fontId="1" fillId="0" borderId="24" xfId="0" applyFont="1" applyBorder="1" applyAlignment="1">
      <alignment horizontal="right"/>
    </xf>
    <xf numFmtId="0" fontId="0" fillId="0" borderId="27" xfId="0" applyBorder="1"/>
    <xf numFmtId="0" fontId="0" fillId="0" borderId="32" xfId="0" applyBorder="1" applyAlignment="1">
      <alignment horizontal="center" vertical="center" wrapText="1"/>
    </xf>
    <xf numFmtId="0" fontId="0" fillId="0" borderId="0" xfId="0" applyAlignment="1">
      <alignment horizontal="center"/>
    </xf>
    <xf numFmtId="0" fontId="0" fillId="0" borderId="21" xfId="0" applyBorder="1"/>
    <xf numFmtId="0" fontId="3" fillId="0" borderId="38" xfId="0" applyFont="1" applyBorder="1"/>
    <xf numFmtId="0" fontId="3" fillId="0" borderId="39" xfId="0" applyFont="1" applyBorder="1"/>
    <xf numFmtId="0" fontId="0" fillId="0" borderId="39" xfId="0" applyBorder="1"/>
    <xf numFmtId="0" fontId="1" fillId="0" borderId="40" xfId="0" applyFont="1" applyBorder="1"/>
    <xf numFmtId="0" fontId="0" fillId="0" borderId="24" xfId="0" applyFont="1" applyBorder="1" applyAlignment="1">
      <alignment horizontal="right"/>
    </xf>
    <xf numFmtId="0" fontId="0" fillId="0" borderId="24" xfId="0" applyBorder="1" applyAlignment="1">
      <alignment horizontal="right"/>
    </xf>
    <xf numFmtId="0" fontId="0" fillId="0" borderId="17" xfId="0" applyBorder="1" applyAlignment="1">
      <alignment horizontal="right"/>
    </xf>
    <xf numFmtId="0" fontId="3" fillId="0" borderId="22" xfId="0" applyFont="1" applyBorder="1"/>
    <xf numFmtId="0" fontId="1" fillId="0" borderId="22" xfId="0" applyFont="1" applyBorder="1"/>
    <xf numFmtId="0" fontId="0" fillId="0" borderId="0" xfId="0" applyBorder="1" applyAlignment="1">
      <alignment horizontal="center"/>
    </xf>
    <xf numFmtId="0" fontId="3" fillId="0" borderId="12" xfId="0" applyFont="1" applyBorder="1" applyAlignment="1">
      <alignment horizontal="center" vertical="top" wrapText="1"/>
    </xf>
    <xf numFmtId="0" fontId="3" fillId="0" borderId="22" xfId="0" applyFont="1" applyBorder="1" applyAlignment="1">
      <alignment horizontal="center" vertical="top" wrapText="1"/>
    </xf>
    <xf numFmtId="0" fontId="0" fillId="0" borderId="0" xfId="0" applyAlignment="1">
      <alignment horizontal="center" vertical="top" wrapText="1"/>
    </xf>
    <xf numFmtId="0" fontId="6" fillId="0" borderId="0" xfId="0" applyFont="1"/>
    <xf numFmtId="0" fontId="8" fillId="0" borderId="0" xfId="0" applyFont="1" applyBorder="1" applyAlignment="1">
      <alignment horizontal="center" wrapText="1"/>
    </xf>
    <xf numFmtId="0" fontId="8" fillId="0" borderId="0" xfId="0" applyFont="1"/>
    <xf numFmtId="0" fontId="0" fillId="0" borderId="12" xfId="0" applyBorder="1"/>
    <xf numFmtId="0" fontId="1" fillId="3" borderId="8" xfId="0" applyFont="1" applyFill="1" applyBorder="1" applyAlignment="1">
      <alignment horizontal="center" vertical="top" wrapText="1"/>
    </xf>
    <xf numFmtId="0" fontId="1" fillId="3" borderId="28" xfId="0" applyFont="1" applyFill="1" applyBorder="1" applyAlignment="1">
      <alignment horizontal="center"/>
    </xf>
    <xf numFmtId="0" fontId="1" fillId="3" borderId="28" xfId="0" applyFont="1" applyFill="1" applyBorder="1" applyAlignment="1">
      <alignment horizontal="center" vertical="center"/>
    </xf>
    <xf numFmtId="0" fontId="8" fillId="0" borderId="0" xfId="0" applyFont="1" applyBorder="1" applyAlignment="1">
      <alignment horizontal="center" vertical="top" wrapText="1"/>
    </xf>
    <xf numFmtId="0" fontId="9" fillId="0" borderId="0" xfId="0" applyFont="1" applyBorder="1" applyAlignment="1">
      <alignment horizontal="left" vertical="center"/>
    </xf>
    <xf numFmtId="0" fontId="1" fillId="0" borderId="24" xfId="0" applyFont="1" applyBorder="1" applyAlignment="1">
      <alignment horizontal="center" vertical="center" wrapText="1"/>
    </xf>
    <xf numFmtId="0" fontId="6" fillId="0" borderId="0" xfId="0" applyFont="1" applyBorder="1" applyAlignment="1">
      <alignment horizontal="center" vertical="top" wrapText="1"/>
    </xf>
    <xf numFmtId="0" fontId="13" fillId="0" borderId="0" xfId="0" applyFont="1"/>
    <xf numFmtId="0" fontId="6" fillId="0" borderId="0" xfId="0" applyNumberFormat="1" applyFont="1"/>
    <xf numFmtId="0" fontId="1" fillId="3" borderId="30" xfId="0" applyFont="1" applyFill="1" applyBorder="1" applyAlignment="1">
      <alignment horizontal="center"/>
    </xf>
    <xf numFmtId="0" fontId="14" fillId="0" borderId="24" xfId="0" applyFont="1" applyBorder="1" applyAlignment="1">
      <alignment horizontal="right"/>
    </xf>
    <xf numFmtId="0" fontId="9" fillId="0" borderId="13" xfId="0" applyFont="1" applyBorder="1"/>
    <xf numFmtId="0" fontId="0" fillId="3" borderId="8" xfId="0" applyFill="1" applyBorder="1" applyAlignment="1">
      <alignment horizontal="center" vertical="center" wrapText="1"/>
    </xf>
    <xf numFmtId="0" fontId="1" fillId="0" borderId="33" xfId="0" applyFont="1" applyBorder="1" applyAlignment="1">
      <alignment horizontal="center" vertical="top" wrapText="1"/>
    </xf>
    <xf numFmtId="0" fontId="1" fillId="0" borderId="25" xfId="0" applyFont="1" applyBorder="1"/>
    <xf numFmtId="0" fontId="0" fillId="3" borderId="47" xfId="0" applyFont="1" applyFill="1" applyBorder="1" applyAlignment="1">
      <alignment horizontal="center" vertical="center" wrapText="1"/>
    </xf>
    <xf numFmtId="0" fontId="1" fillId="0" borderId="49" xfId="0" applyFont="1" applyBorder="1" applyAlignment="1">
      <alignment horizontal="center" vertical="center" wrapText="1"/>
    </xf>
    <xf numFmtId="0" fontId="1" fillId="0" borderId="51" xfId="0" applyFont="1" applyBorder="1"/>
    <xf numFmtId="0" fontId="3" fillId="0" borderId="54" xfId="0" applyFont="1" applyBorder="1"/>
    <xf numFmtId="0" fontId="1" fillId="4" borderId="26" xfId="0" applyFont="1" applyFill="1" applyBorder="1" applyAlignment="1">
      <alignment horizontal="center"/>
    </xf>
    <xf numFmtId="0" fontId="0" fillId="3" borderId="42" xfId="0" applyFont="1" applyFill="1" applyBorder="1" applyAlignment="1">
      <alignment horizontal="center" vertical="center" wrapText="1"/>
    </xf>
    <xf numFmtId="0" fontId="1" fillId="0" borderId="24" xfId="0" applyFont="1" applyBorder="1" applyAlignment="1">
      <alignment horizontal="center"/>
    </xf>
    <xf numFmtId="0" fontId="0" fillId="3" borderId="1" xfId="0" applyFont="1" applyFill="1" applyBorder="1" applyAlignment="1">
      <alignment horizontal="center" vertical="center" wrapText="1"/>
    </xf>
    <xf numFmtId="0" fontId="1" fillId="0" borderId="49" xfId="0" applyFont="1" applyBorder="1" applyAlignment="1">
      <alignment horizontal="center" vertical="center"/>
    </xf>
    <xf numFmtId="0" fontId="3" fillId="0" borderId="45" xfId="0" applyFont="1" applyBorder="1" applyAlignment="1">
      <alignment horizontal="center" vertical="top" wrapText="1"/>
    </xf>
    <xf numFmtId="0" fontId="3" fillId="0" borderId="50" xfId="0" applyFont="1" applyBorder="1" applyAlignment="1">
      <alignment horizontal="center" vertical="top" wrapText="1"/>
    </xf>
    <xf numFmtId="0" fontId="1" fillId="0" borderId="32" xfId="0" applyFont="1" applyBorder="1" applyAlignment="1">
      <alignment horizontal="center" vertical="center"/>
    </xf>
    <xf numFmtId="0" fontId="3" fillId="0" borderId="55" xfId="0" applyFont="1" applyBorder="1" applyAlignment="1">
      <alignment horizontal="center" vertical="top" wrapText="1"/>
    </xf>
    <xf numFmtId="0" fontId="1" fillId="0" borderId="49" xfId="0" applyFont="1" applyBorder="1" applyAlignment="1">
      <alignment horizontal="center" vertical="top" wrapText="1"/>
    </xf>
    <xf numFmtId="0" fontId="1" fillId="0" borderId="32" xfId="0" applyFont="1" applyBorder="1" applyAlignment="1">
      <alignment horizontal="center" vertical="top" wrapText="1"/>
    </xf>
    <xf numFmtId="0" fontId="3" fillId="0" borderId="55" xfId="0" applyFont="1" applyBorder="1" applyAlignment="1">
      <alignment horizontal="center" vertical="center" wrapText="1"/>
    </xf>
    <xf numFmtId="0" fontId="3" fillId="0" borderId="56"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0" xfId="0" applyFont="1" applyBorder="1" applyAlignment="1">
      <alignment horizontal="center" vertical="center" wrapText="1"/>
    </xf>
    <xf numFmtId="0" fontId="11" fillId="0" borderId="50" xfId="0" applyFont="1" applyBorder="1" applyAlignment="1">
      <alignment horizontal="center" vertical="top" wrapText="1"/>
    </xf>
    <xf numFmtId="0" fontId="3" fillId="0" borderId="48" xfId="0" applyFont="1" applyBorder="1" applyAlignment="1">
      <alignment horizontal="center" vertical="top" wrapText="1"/>
    </xf>
    <xf numFmtId="0" fontId="0" fillId="0" borderId="17" xfId="0" applyFont="1" applyBorder="1" applyAlignment="1">
      <alignment horizontal="left"/>
    </xf>
    <xf numFmtId="0" fontId="1" fillId="4" borderId="8" xfId="0" applyFont="1" applyFill="1" applyBorder="1" applyAlignment="1">
      <alignment horizontal="center" vertical="center"/>
    </xf>
    <xf numFmtId="0" fontId="1" fillId="4" borderId="14" xfId="0" applyFont="1" applyFill="1" applyBorder="1"/>
    <xf numFmtId="0" fontId="1" fillId="4" borderId="24" xfId="0" applyFont="1" applyFill="1" applyBorder="1"/>
    <xf numFmtId="0" fontId="1" fillId="5" borderId="17" xfId="0" applyFont="1" applyFill="1" applyBorder="1" applyAlignment="1">
      <alignment horizontal="right"/>
    </xf>
    <xf numFmtId="0" fontId="1" fillId="4" borderId="46" xfId="0" applyFont="1" applyFill="1" applyBorder="1" applyAlignment="1">
      <alignment horizontal="right"/>
    </xf>
    <xf numFmtId="49" fontId="0" fillId="0" borderId="0" xfId="0" applyNumberFormat="1"/>
    <xf numFmtId="0" fontId="0" fillId="0" borderId="0" xfId="0" applyNumberFormat="1"/>
    <xf numFmtId="0" fontId="0" fillId="0" borderId="0" xfId="0" applyNumberFormat="1" applyBorder="1" applyAlignment="1">
      <alignment horizontal="left"/>
    </xf>
    <xf numFmtId="0" fontId="1" fillId="3" borderId="8" xfId="0" applyNumberFormat="1" applyFont="1" applyFill="1" applyBorder="1" applyAlignment="1">
      <alignment horizontal="center" vertical="top" wrapText="1"/>
    </xf>
    <xf numFmtId="0" fontId="1" fillId="3" borderId="8" xfId="0" applyNumberFormat="1" applyFont="1" applyFill="1" applyBorder="1" applyAlignment="1">
      <alignment horizontal="center"/>
    </xf>
    <xf numFmtId="0" fontId="1" fillId="4" borderId="26" xfId="0" applyFont="1" applyFill="1" applyBorder="1" applyAlignment="1">
      <alignment horizontal="center" vertical="center" wrapText="1"/>
    </xf>
    <xf numFmtId="0" fontId="1" fillId="4" borderId="28" xfId="0" applyFont="1" applyFill="1" applyBorder="1" applyAlignment="1">
      <alignment horizontal="center"/>
    </xf>
    <xf numFmtId="0" fontId="1" fillId="0" borderId="33" xfId="0" applyFont="1" applyBorder="1" applyAlignment="1">
      <alignment horizontal="center" vertical="center" wrapText="1"/>
    </xf>
    <xf numFmtId="0" fontId="0" fillId="4" borderId="28" xfId="0" applyFill="1" applyBorder="1" applyAlignment="1">
      <alignment horizontal="center"/>
    </xf>
    <xf numFmtId="0" fontId="0" fillId="4" borderId="28" xfId="0" applyFill="1" applyBorder="1" applyAlignment="1">
      <alignment horizontal="center" vertical="top"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1" fillId="0" borderId="27" xfId="0" applyFont="1" applyBorder="1" applyAlignment="1">
      <alignment horizontal="center" vertical="top" wrapText="1"/>
    </xf>
    <xf numFmtId="1" fontId="1" fillId="0" borderId="27" xfId="0" applyNumberFormat="1" applyFont="1" applyBorder="1" applyAlignment="1">
      <alignment horizontal="center"/>
    </xf>
    <xf numFmtId="1" fontId="1" fillId="4" borderId="28" xfId="0" applyNumberFormat="1" applyFont="1" applyFill="1" applyBorder="1" applyAlignment="1">
      <alignment horizontal="center"/>
    </xf>
    <xf numFmtId="0" fontId="6" fillId="0" borderId="0" xfId="0" applyFont="1" applyAlignment="1">
      <alignment horizontal="center"/>
    </xf>
    <xf numFmtId="0" fontId="1" fillId="0" borderId="14" xfId="0" applyFont="1" applyBorder="1" applyAlignment="1">
      <alignment horizontal="center" vertical="center"/>
    </xf>
    <xf numFmtId="0" fontId="1" fillId="0" borderId="33" xfId="0" applyFont="1" applyBorder="1" applyAlignment="1">
      <alignment horizontal="center" vertical="center"/>
    </xf>
    <xf numFmtId="1" fontId="1" fillId="0" borderId="24" xfId="0" applyNumberFormat="1" applyFont="1" applyBorder="1" applyAlignment="1">
      <alignment horizontal="center" vertical="center" wrapText="1"/>
    </xf>
    <xf numFmtId="1" fontId="1" fillId="0" borderId="33" xfId="0" applyNumberFormat="1" applyFont="1" applyBorder="1" applyAlignment="1">
      <alignment horizontal="center"/>
    </xf>
    <xf numFmtId="0" fontId="0" fillId="3" borderId="42" xfId="0" applyFont="1" applyFill="1" applyBorder="1" applyAlignment="1">
      <alignment horizontal="center" vertical="center" wrapText="1"/>
    </xf>
    <xf numFmtId="0" fontId="3" fillId="0" borderId="24" xfId="0" applyFont="1" applyBorder="1" applyAlignment="1">
      <alignment horizontal="right"/>
    </xf>
    <xf numFmtId="0" fontId="2" fillId="2" borderId="2" xfId="0" applyFont="1" applyFill="1" applyBorder="1" applyAlignment="1">
      <alignment horizontal="center" vertical="top"/>
    </xf>
    <xf numFmtId="0" fontId="1" fillId="0" borderId="24" xfId="0" applyFont="1" applyBorder="1" applyAlignment="1">
      <alignment horizontal="center" vertical="center"/>
    </xf>
    <xf numFmtId="0" fontId="0" fillId="0" borderId="37" xfId="0" applyFont="1" applyBorder="1" applyAlignment="1">
      <alignment horizontal="right"/>
    </xf>
    <xf numFmtId="0" fontId="3" fillId="0" borderId="24" xfId="0" applyFont="1" applyBorder="1" applyAlignment="1">
      <alignment horizontal="center" vertical="center"/>
    </xf>
    <xf numFmtId="0" fontId="7" fillId="0" borderId="24" xfId="0" applyFont="1" applyBorder="1" applyAlignment="1">
      <alignment horizontal="right"/>
    </xf>
    <xf numFmtId="0" fontId="1" fillId="3" borderId="8" xfId="0" applyNumberFormat="1" applyFont="1" applyFill="1" applyBorder="1" applyAlignment="1">
      <alignment horizontal="center" vertical="center"/>
    </xf>
    <xf numFmtId="0" fontId="3" fillId="0" borderId="1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1" xfId="0" applyFont="1" applyBorder="1" applyAlignment="1">
      <alignment horizontal="center" vertical="center"/>
    </xf>
    <xf numFmtId="0" fontId="16" fillId="0" borderId="23" xfId="0" applyFont="1" applyBorder="1"/>
    <xf numFmtId="0" fontId="16" fillId="0" borderId="38" xfId="0" applyFont="1" applyBorder="1"/>
    <xf numFmtId="0" fontId="1" fillId="0" borderId="0" xfId="0" applyFont="1" applyAlignment="1">
      <alignment horizontal="left" vertical="top"/>
    </xf>
    <xf numFmtId="0" fontId="1" fillId="3" borderId="30" xfId="0" applyFont="1" applyFill="1" applyBorder="1" applyAlignment="1">
      <alignment horizontal="center"/>
    </xf>
    <xf numFmtId="0" fontId="3" fillId="0" borderId="12" xfId="0" applyFont="1" applyBorder="1" applyAlignment="1">
      <alignment horizontal="center" vertical="center"/>
    </xf>
    <xf numFmtId="0" fontId="3" fillId="0" borderId="17" xfId="0" applyFont="1" applyBorder="1" applyAlignment="1">
      <alignment horizontal="center" vertical="center"/>
    </xf>
    <xf numFmtId="0" fontId="3" fillId="0" borderId="22" xfId="0" applyFont="1" applyBorder="1" applyAlignment="1">
      <alignment horizontal="center" vertical="center"/>
    </xf>
    <xf numFmtId="0" fontId="0" fillId="0" borderId="0" xfId="0" applyAlignment="1">
      <alignment horizontal="center" vertical="center"/>
    </xf>
    <xf numFmtId="0" fontId="1" fillId="0" borderId="35" xfId="0" applyFont="1" applyBorder="1" applyAlignment="1">
      <alignment horizontal="center" vertical="center" wrapText="1"/>
    </xf>
    <xf numFmtId="0" fontId="1" fillId="3" borderId="28" xfId="0" applyFont="1" applyFill="1" applyBorder="1" applyAlignment="1">
      <alignment horizontal="center" vertical="center" wrapText="1"/>
    </xf>
    <xf numFmtId="1" fontId="1" fillId="0" borderId="0" xfId="0" applyNumberFormat="1" applyFont="1"/>
    <xf numFmtId="0" fontId="9" fillId="0" borderId="23" xfId="0" applyFont="1" applyFill="1" applyBorder="1" applyAlignment="1">
      <alignment horizontal="right"/>
    </xf>
    <xf numFmtId="0" fontId="7" fillId="0" borderId="23" xfId="0" applyFont="1" applyBorder="1"/>
    <xf numFmtId="1" fontId="1" fillId="0" borderId="51" xfId="0" applyNumberFormat="1" applyFont="1" applyBorder="1"/>
    <xf numFmtId="0" fontId="1" fillId="0" borderId="25" xfId="0" applyFont="1" applyBorder="1" applyAlignment="1">
      <alignment horizontal="center"/>
    </xf>
    <xf numFmtId="1" fontId="1" fillId="0" borderId="25" xfId="0" applyNumberFormat="1" applyFont="1" applyBorder="1"/>
    <xf numFmtId="0" fontId="0" fillId="0" borderId="23" xfId="0" applyBorder="1" applyAlignment="1">
      <alignment horizontal="right"/>
    </xf>
    <xf numFmtId="0" fontId="1" fillId="3" borderId="30" xfId="0" applyFont="1" applyFill="1" applyBorder="1" applyAlignment="1">
      <alignment horizontal="center"/>
    </xf>
    <xf numFmtId="0" fontId="2" fillId="2" borderId="43" xfId="0" applyFont="1" applyFill="1" applyBorder="1" applyAlignment="1">
      <alignment horizontal="center" vertical="top"/>
    </xf>
    <xf numFmtId="0" fontId="0" fillId="3" borderId="16" xfId="0" applyFont="1" applyFill="1" applyBorder="1" applyAlignment="1">
      <alignment horizontal="center" vertical="center" wrapText="1"/>
    </xf>
    <xf numFmtId="0" fontId="1" fillId="3" borderId="5" xfId="0" applyNumberFormat="1" applyFont="1" applyFill="1" applyBorder="1" applyAlignment="1"/>
    <xf numFmtId="0" fontId="3" fillId="0" borderId="10" xfId="0" applyFont="1" applyBorder="1" applyAlignment="1">
      <alignment horizontal="center" vertical="top" wrapText="1"/>
    </xf>
    <xf numFmtId="0" fontId="0" fillId="0" borderId="13" xfId="0" applyBorder="1"/>
    <xf numFmtId="0" fontId="1" fillId="0" borderId="35" xfId="0" applyFont="1" applyBorder="1" applyAlignment="1">
      <alignment horizontal="center"/>
    </xf>
    <xf numFmtId="0" fontId="1" fillId="0" borderId="36" xfId="0" applyFont="1" applyBorder="1" applyAlignment="1">
      <alignment horizontal="center" vertical="top" wrapText="1"/>
    </xf>
    <xf numFmtId="0" fontId="9" fillId="0" borderId="21" xfId="0" applyFont="1" applyFill="1" applyBorder="1" applyAlignment="1">
      <alignment horizontal="right"/>
    </xf>
    <xf numFmtId="0" fontId="1" fillId="0" borderId="55" xfId="0" applyFont="1" applyBorder="1" applyAlignment="1">
      <alignment horizontal="center" vertical="top" wrapText="1"/>
    </xf>
    <xf numFmtId="0" fontId="3" fillId="0" borderId="59" xfId="0" applyFont="1" applyBorder="1"/>
    <xf numFmtId="0" fontId="3" fillId="0" borderId="60" xfId="0" applyFont="1" applyBorder="1"/>
    <xf numFmtId="0" fontId="3" fillId="0" borderId="48" xfId="0" applyFont="1" applyBorder="1" applyAlignment="1">
      <alignment horizontal="center" vertical="center" wrapText="1"/>
    </xf>
    <xf numFmtId="0" fontId="1" fillId="0" borderId="16" xfId="0" applyFont="1" applyBorder="1" applyAlignment="1">
      <alignment horizontal="center" vertical="top" wrapText="1"/>
    </xf>
    <xf numFmtId="0" fontId="1" fillId="4" borderId="30" xfId="0" applyFont="1" applyFill="1" applyBorder="1" applyAlignment="1">
      <alignment horizontal="center"/>
    </xf>
    <xf numFmtId="0" fontId="1" fillId="4" borderId="28" xfId="0" applyFont="1" applyFill="1" applyBorder="1" applyAlignment="1">
      <alignment horizontal="center" vertical="top" wrapText="1"/>
    </xf>
    <xf numFmtId="0" fontId="0" fillId="3" borderId="43" xfId="0" applyFont="1" applyFill="1" applyBorder="1" applyAlignment="1">
      <alignment horizontal="center" vertical="center" wrapText="1"/>
    </xf>
    <xf numFmtId="0" fontId="1" fillId="3" borderId="30" xfId="0" applyFont="1" applyFill="1" applyBorder="1" applyAlignment="1">
      <alignment horizontal="center" vertical="center"/>
    </xf>
    <xf numFmtId="0" fontId="0" fillId="0" borderId="0" xfId="0" applyBorder="1" applyAlignment="1">
      <alignment horizontal="center" vertical="center"/>
    </xf>
    <xf numFmtId="0" fontId="16" fillId="0" borderId="24" xfId="0" applyFont="1" applyBorder="1" applyAlignment="1">
      <alignment horizontal="center"/>
    </xf>
    <xf numFmtId="0" fontId="16" fillId="0" borderId="32" xfId="0" applyFont="1" applyBorder="1" applyAlignment="1">
      <alignment horizontal="center" vertical="center"/>
    </xf>
    <xf numFmtId="0" fontId="16" fillId="0" borderId="24" xfId="0" applyFont="1" applyBorder="1" applyAlignment="1">
      <alignment horizontal="center" vertical="center" wrapText="1"/>
    </xf>
    <xf numFmtId="1" fontId="16" fillId="0" borderId="27" xfId="0" applyNumberFormat="1" applyFont="1" applyBorder="1" applyAlignment="1">
      <alignment horizontal="center"/>
    </xf>
    <xf numFmtId="0" fontId="16" fillId="0" borderId="25" xfId="0" applyFont="1" applyBorder="1" applyAlignment="1">
      <alignment horizontal="center"/>
    </xf>
    <xf numFmtId="0" fontId="16" fillId="0" borderId="27" xfId="0" applyFont="1" applyBorder="1" applyAlignment="1">
      <alignment horizontal="center" vertical="top" wrapText="1"/>
    </xf>
    <xf numFmtId="0" fontId="16" fillId="0" borderId="27" xfId="0" applyFont="1" applyBorder="1" applyAlignment="1">
      <alignment horizontal="center"/>
    </xf>
    <xf numFmtId="0" fontId="16" fillId="0" borderId="27" xfId="0" applyFont="1" applyBorder="1" applyAlignment="1">
      <alignment horizontal="center" vertical="center"/>
    </xf>
    <xf numFmtId="0" fontId="16" fillId="0" borderId="27"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12" xfId="0" applyBorder="1" applyAlignment="1">
      <alignment horizontal="center" vertical="center"/>
    </xf>
    <xf numFmtId="0" fontId="1" fillId="0" borderId="21" xfId="0" applyFont="1" applyBorder="1" applyAlignment="1">
      <alignment horizontal="center" vertical="top" wrapText="1"/>
    </xf>
    <xf numFmtId="0" fontId="1" fillId="0" borderId="55" xfId="0" applyFont="1" applyBorder="1" applyAlignment="1">
      <alignment horizontal="center" vertical="center" wrapText="1"/>
    </xf>
    <xf numFmtId="0" fontId="3" fillId="0" borderId="32" xfId="0" applyFont="1" applyBorder="1" applyAlignment="1">
      <alignment horizontal="center" vertical="top" wrapText="1"/>
    </xf>
    <xf numFmtId="0" fontId="16" fillId="0" borderId="25" xfId="0" applyFont="1" applyBorder="1" applyAlignment="1">
      <alignment horizontal="center" vertical="center"/>
    </xf>
    <xf numFmtId="0" fontId="1" fillId="0" borderId="31" xfId="0" applyFont="1" applyBorder="1" applyAlignment="1">
      <alignment horizontal="center"/>
    </xf>
    <xf numFmtId="0" fontId="1" fillId="0" borderId="0" xfId="0" applyFont="1" applyAlignment="1">
      <alignment horizontal="center"/>
    </xf>
    <xf numFmtId="0" fontId="1" fillId="0" borderId="23" xfId="0" applyFont="1" applyBorder="1" applyAlignment="1">
      <alignment horizontal="center"/>
    </xf>
    <xf numFmtId="0" fontId="1" fillId="0" borderId="23" xfId="0" applyFont="1" applyBorder="1" applyAlignment="1">
      <alignment horizontal="center" vertical="top" wrapText="1"/>
    </xf>
    <xf numFmtId="1" fontId="1" fillId="0" borderId="23" xfId="0" applyNumberFormat="1" applyFont="1" applyBorder="1" applyAlignment="1">
      <alignment horizontal="center"/>
    </xf>
    <xf numFmtId="0" fontId="1" fillId="4" borderId="29" xfId="0" applyFont="1" applyFill="1" applyBorder="1" applyAlignment="1">
      <alignment horizontal="center"/>
    </xf>
    <xf numFmtId="0" fontId="18" fillId="0" borderId="12" xfId="0" applyFont="1" applyBorder="1" applyAlignment="1">
      <alignment horizontal="left" vertical="center"/>
    </xf>
    <xf numFmtId="0" fontId="18" fillId="0" borderId="64" xfId="0" applyFont="1" applyBorder="1" applyAlignment="1">
      <alignment horizontal="left" vertical="center"/>
    </xf>
    <xf numFmtId="0" fontId="17" fillId="9" borderId="35" xfId="0" applyFont="1" applyFill="1" applyBorder="1" applyAlignment="1">
      <alignment horizontal="left" vertical="center" wrapText="1"/>
    </xf>
    <xf numFmtId="0" fontId="18" fillId="9" borderId="41" xfId="0" applyFont="1" applyFill="1" applyBorder="1" applyAlignment="1">
      <alignment horizontal="left" vertical="center" wrapText="1"/>
    </xf>
    <xf numFmtId="0" fontId="18" fillId="9" borderId="41" xfId="0" applyFont="1" applyFill="1" applyBorder="1" applyAlignment="1">
      <alignment horizontal="left" vertical="center"/>
    </xf>
    <xf numFmtId="0" fontId="18" fillId="9" borderId="36" xfId="0" applyFont="1" applyFill="1" applyBorder="1" applyAlignment="1">
      <alignment horizontal="left" vertical="center"/>
    </xf>
    <xf numFmtId="0" fontId="18" fillId="6" borderId="12" xfId="0" applyFont="1" applyFill="1" applyBorder="1" applyAlignment="1">
      <alignment horizontal="left" vertical="center"/>
    </xf>
    <xf numFmtId="0" fontId="17" fillId="8" borderId="35" xfId="0" applyFont="1" applyFill="1" applyBorder="1" applyAlignment="1">
      <alignment horizontal="left" vertical="center" wrapText="1"/>
    </xf>
    <xf numFmtId="0" fontId="18" fillId="0" borderId="12" xfId="0" applyFont="1" applyFill="1" applyBorder="1" applyAlignment="1">
      <alignment horizontal="left" vertical="center"/>
    </xf>
    <xf numFmtId="1" fontId="18" fillId="0" borderId="12" xfId="0" applyNumberFormat="1" applyFont="1" applyFill="1" applyBorder="1" applyAlignment="1">
      <alignment horizontal="left" vertical="center"/>
    </xf>
    <xf numFmtId="0" fontId="18" fillId="0" borderId="64" xfId="0" applyNumberFormat="1" applyFont="1" applyFill="1" applyBorder="1" applyAlignment="1">
      <alignment horizontal="left" vertical="center"/>
    </xf>
    <xf numFmtId="1" fontId="18" fillId="0" borderId="12" xfId="0" applyNumberFormat="1" applyFont="1" applyBorder="1" applyAlignment="1">
      <alignment horizontal="left" vertical="center"/>
    </xf>
    <xf numFmtId="0" fontId="18" fillId="0" borderId="12" xfId="0" applyFont="1" applyBorder="1" applyAlignment="1">
      <alignment horizontal="left" vertical="center" wrapText="1"/>
    </xf>
    <xf numFmtId="9" fontId="18" fillId="0" borderId="12" xfId="0" applyNumberFormat="1" applyFont="1" applyBorder="1" applyAlignment="1">
      <alignment horizontal="left" vertical="center"/>
    </xf>
    <xf numFmtId="0" fontId="18" fillId="0" borderId="64" xfId="0" applyFont="1" applyBorder="1" applyAlignment="1">
      <alignment horizontal="left" vertical="center" wrapText="1"/>
    </xf>
    <xf numFmtId="0" fontId="18" fillId="0" borderId="0" xfId="0" applyFont="1" applyAlignment="1">
      <alignment horizontal="left" vertical="center"/>
    </xf>
    <xf numFmtId="0" fontId="18" fillId="8" borderId="41" xfId="0" applyFont="1" applyFill="1" applyBorder="1" applyAlignment="1">
      <alignment horizontal="left" vertical="center" wrapText="1"/>
    </xf>
    <xf numFmtId="0" fontId="18" fillId="8" borderId="41" xfId="0" applyFont="1" applyFill="1" applyBorder="1" applyAlignment="1">
      <alignment horizontal="left" vertical="center"/>
    </xf>
    <xf numFmtId="0" fontId="18" fillId="8" borderId="36" xfId="0" applyFont="1" applyFill="1" applyBorder="1" applyAlignment="1">
      <alignment horizontal="left" vertical="center"/>
    </xf>
    <xf numFmtId="0" fontId="19" fillId="0" borderId="0" xfId="0" applyFont="1"/>
    <xf numFmtId="0" fontId="2" fillId="2" borderId="43" xfId="0" applyFont="1" applyFill="1" applyBorder="1" applyAlignment="1">
      <alignment horizontal="center" vertical="top"/>
    </xf>
    <xf numFmtId="0" fontId="0" fillId="3" borderId="43" xfId="0" applyFont="1" applyFill="1" applyBorder="1" applyAlignment="1">
      <alignment horizontal="center" vertical="center" wrapText="1"/>
    </xf>
    <xf numFmtId="0" fontId="0" fillId="3" borderId="44" xfId="0" applyFont="1" applyFill="1" applyBorder="1" applyAlignment="1">
      <alignment horizontal="center" vertical="center" wrapText="1"/>
    </xf>
    <xf numFmtId="0" fontId="1" fillId="3" borderId="30" xfId="0" applyFont="1" applyFill="1" applyBorder="1" applyAlignment="1">
      <alignment horizontal="center" vertical="center"/>
    </xf>
    <xf numFmtId="0" fontId="3" fillId="0" borderId="50" xfId="0" applyFont="1" applyBorder="1" applyAlignment="1">
      <alignment horizontal="center" vertical="center" wrapText="1"/>
    </xf>
    <xf numFmtId="0" fontId="3" fillId="0" borderId="45"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2" xfId="0" applyFont="1" applyBorder="1" applyAlignment="1">
      <alignment horizontal="center" vertical="center"/>
    </xf>
    <xf numFmtId="0" fontId="1" fillId="0" borderId="49" xfId="0" applyFont="1" applyBorder="1" applyAlignment="1">
      <alignment horizontal="center" vertical="center"/>
    </xf>
    <xf numFmtId="0" fontId="3" fillId="0" borderId="48" xfId="0" applyFont="1" applyBorder="1" applyAlignment="1">
      <alignment vertical="center"/>
    </xf>
    <xf numFmtId="0" fontId="3" fillId="0" borderId="49" xfId="0" applyFont="1" applyBorder="1" applyAlignment="1">
      <alignment horizontal="center" vertical="top" wrapText="1"/>
    </xf>
    <xf numFmtId="0" fontId="3" fillId="0" borderId="56" xfId="0" applyFont="1" applyBorder="1" applyAlignment="1">
      <alignment horizontal="center" vertical="top" wrapText="1"/>
    </xf>
    <xf numFmtId="0" fontId="1" fillId="0" borderId="49"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23" xfId="0" applyBorder="1"/>
    <xf numFmtId="0" fontId="0" fillId="3" borderId="5" xfId="0" applyNumberFormat="1" applyFill="1" applyBorder="1" applyAlignment="1">
      <alignment horizontal="center" vertical="center" wrapText="1"/>
    </xf>
    <xf numFmtId="0" fontId="3" fillId="0" borderId="58" xfId="0" applyFont="1" applyBorder="1" applyAlignment="1">
      <alignment horizontal="center" vertical="top" wrapText="1"/>
    </xf>
    <xf numFmtId="0" fontId="3" fillId="0" borderId="67" xfId="0" applyFont="1" applyBorder="1" applyAlignment="1">
      <alignment horizontal="center" vertical="top" wrapText="1"/>
    </xf>
    <xf numFmtId="0" fontId="3" fillId="0" borderId="9" xfId="0" applyFont="1" applyBorder="1" applyAlignment="1">
      <alignment horizontal="center" vertical="top" wrapText="1"/>
    </xf>
    <xf numFmtId="0" fontId="1" fillId="0" borderId="56" xfId="0" applyFont="1" applyBorder="1" applyAlignment="1">
      <alignment horizontal="center" vertical="top" wrapText="1"/>
    </xf>
    <xf numFmtId="0" fontId="3" fillId="0" borderId="21" xfId="0" applyFont="1" applyBorder="1" applyAlignment="1">
      <alignment horizontal="center" vertical="top" wrapText="1"/>
    </xf>
    <xf numFmtId="0" fontId="7" fillId="0" borderId="45" xfId="0" applyFont="1" applyBorder="1" applyAlignment="1">
      <alignment horizontal="center" vertical="center" wrapText="1"/>
    </xf>
    <xf numFmtId="0" fontId="7" fillId="0" borderId="12" xfId="0" applyFont="1" applyBorder="1" applyAlignment="1">
      <alignment horizontal="center" vertical="center"/>
    </xf>
    <xf numFmtId="0" fontId="7" fillId="0" borderId="48" xfId="0" applyFont="1" applyBorder="1" applyAlignment="1">
      <alignment horizontal="center" vertical="center"/>
    </xf>
    <xf numFmtId="0" fontId="7" fillId="0" borderId="48" xfId="0" applyFont="1" applyBorder="1" applyAlignment="1">
      <alignment horizontal="center" vertical="center" wrapText="1"/>
    </xf>
    <xf numFmtId="0" fontId="7" fillId="0" borderId="17" xfId="0" applyFont="1" applyBorder="1" applyAlignment="1">
      <alignment horizontal="center" vertical="center"/>
    </xf>
    <xf numFmtId="0" fontId="7" fillId="0" borderId="13" xfId="0" applyFont="1" applyBorder="1" applyAlignment="1">
      <alignment horizontal="center" vertical="center"/>
    </xf>
    <xf numFmtId="0" fontId="7" fillId="0" borderId="25" xfId="0" applyFont="1" applyBorder="1" applyAlignment="1">
      <alignment horizontal="center" vertical="center"/>
    </xf>
    <xf numFmtId="0" fontId="1" fillId="0" borderId="56" xfId="0" applyFont="1" applyBorder="1" applyAlignment="1">
      <alignment horizontal="center" vertical="center"/>
    </xf>
    <xf numFmtId="1" fontId="3" fillId="0" borderId="21" xfId="0" applyNumberFormat="1" applyFont="1" applyBorder="1"/>
    <xf numFmtId="0" fontId="3" fillId="0" borderId="21" xfId="0" applyFont="1" applyBorder="1"/>
    <xf numFmtId="0" fontId="9" fillId="0" borderId="25" xfId="0" applyFont="1" applyFill="1" applyBorder="1" applyAlignment="1">
      <alignment horizontal="right"/>
    </xf>
    <xf numFmtId="0" fontId="1" fillId="0" borderId="49" xfId="0" applyFont="1" applyBorder="1" applyAlignment="1">
      <alignment horizontal="center"/>
    </xf>
    <xf numFmtId="0" fontId="1" fillId="0" borderId="56" xfId="0" applyFont="1" applyBorder="1" applyAlignment="1">
      <alignment horizontal="center"/>
    </xf>
    <xf numFmtId="0" fontId="1" fillId="0" borderId="45" xfId="0" applyFont="1" applyBorder="1" applyAlignment="1">
      <alignment horizontal="center"/>
    </xf>
    <xf numFmtId="0" fontId="1" fillId="0" borderId="34"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5" xfId="0" applyFont="1" applyBorder="1" applyAlignment="1">
      <alignment horizontal="right" vertical="top" wrapText="1"/>
    </xf>
    <xf numFmtId="0" fontId="3" fillId="0" borderId="48" xfId="0" applyFont="1" applyBorder="1" applyAlignment="1">
      <alignment horizontal="right" vertical="top" wrapText="1"/>
    </xf>
    <xf numFmtId="0" fontId="1" fillId="0" borderId="32" xfId="0" applyFont="1" applyBorder="1" applyAlignment="1">
      <alignment horizontal="center"/>
    </xf>
    <xf numFmtId="0" fontId="17" fillId="0" borderId="0" xfId="0" applyFont="1" applyAlignment="1">
      <alignment horizontal="left" vertical="center"/>
    </xf>
    <xf numFmtId="0" fontId="18" fillId="7" borderId="64" xfId="0" applyFont="1" applyFill="1" applyBorder="1" applyAlignment="1">
      <alignment horizontal="left" vertical="center"/>
    </xf>
    <xf numFmtId="0" fontId="18" fillId="7" borderId="65" xfId="0" applyFont="1" applyFill="1" applyBorder="1" applyAlignment="1">
      <alignment horizontal="left" vertical="center"/>
    </xf>
    <xf numFmtId="0" fontId="18" fillId="6" borderId="57" xfId="0" applyFont="1" applyFill="1" applyBorder="1" applyAlignment="1">
      <alignment horizontal="left" vertical="center" wrapText="1"/>
    </xf>
    <xf numFmtId="0" fontId="18" fillId="6" borderId="57" xfId="0" applyFont="1" applyFill="1" applyBorder="1" applyAlignment="1">
      <alignment horizontal="left" vertical="center"/>
    </xf>
    <xf numFmtId="0" fontId="18" fillId="0" borderId="41" xfId="0" applyFont="1" applyBorder="1" applyAlignment="1">
      <alignment horizontal="left" vertical="center" wrapText="1"/>
    </xf>
    <xf numFmtId="0" fontId="18" fillId="0" borderId="41" xfId="0" applyFont="1" applyBorder="1" applyAlignment="1">
      <alignment horizontal="left" vertical="center"/>
    </xf>
    <xf numFmtId="0" fontId="18" fillId="0" borderId="36" xfId="0" applyFont="1" applyBorder="1" applyAlignment="1">
      <alignment horizontal="left" vertical="center"/>
    </xf>
    <xf numFmtId="0" fontId="18" fillId="0" borderId="22" xfId="0" applyFont="1" applyBorder="1" applyAlignment="1">
      <alignment horizontal="left" vertical="center"/>
    </xf>
    <xf numFmtId="0" fontId="17" fillId="6" borderId="21" xfId="0" applyFont="1" applyFill="1" applyBorder="1" applyAlignment="1">
      <alignment horizontal="left" vertical="center" wrapText="1"/>
    </xf>
    <xf numFmtId="0" fontId="18" fillId="6" borderId="12" xfId="0" applyFont="1" applyFill="1" applyBorder="1" applyAlignment="1">
      <alignment horizontal="left" vertical="center" wrapText="1"/>
    </xf>
    <xf numFmtId="0" fontId="18" fillId="2" borderId="12" xfId="0" applyFont="1" applyFill="1" applyBorder="1" applyAlignment="1">
      <alignment horizontal="left" vertical="center"/>
    </xf>
    <xf numFmtId="0" fontId="18" fillId="6" borderId="22" xfId="0" applyFont="1" applyFill="1" applyBorder="1" applyAlignment="1">
      <alignment horizontal="left" vertical="center"/>
    </xf>
    <xf numFmtId="0" fontId="18" fillId="6" borderId="66" xfId="0" applyFont="1" applyFill="1" applyBorder="1" applyAlignment="1">
      <alignment horizontal="left" vertical="center" wrapText="1"/>
    </xf>
    <xf numFmtId="0" fontId="18" fillId="0" borderId="65" xfId="0" applyFont="1" applyBorder="1" applyAlignment="1">
      <alignment horizontal="left" vertical="center"/>
    </xf>
    <xf numFmtId="0" fontId="6" fillId="0" borderId="0" xfId="0" applyFont="1" applyAlignment="1">
      <alignment vertical="center"/>
    </xf>
    <xf numFmtId="0" fontId="18" fillId="9" borderId="21" xfId="0" applyFont="1" applyFill="1" applyBorder="1" applyAlignment="1">
      <alignment horizontal="left" vertical="center" wrapText="1"/>
    </xf>
    <xf numFmtId="0" fontId="17" fillId="9" borderId="49" xfId="0" applyFont="1" applyFill="1" applyBorder="1" applyAlignment="1">
      <alignment horizontal="left" vertical="center" wrapText="1"/>
    </xf>
    <xf numFmtId="0" fontId="18" fillId="9" borderId="45" xfId="0" applyFont="1" applyFill="1" applyBorder="1" applyAlignment="1">
      <alignment horizontal="left" vertical="center" wrapText="1"/>
    </xf>
    <xf numFmtId="0" fontId="18" fillId="9" borderId="45" xfId="0" applyFont="1" applyFill="1" applyBorder="1" applyAlignment="1">
      <alignment horizontal="left" vertical="center"/>
    </xf>
    <xf numFmtId="0" fontId="18" fillId="9" borderId="50" xfId="0" applyFont="1" applyFill="1" applyBorder="1" applyAlignment="1">
      <alignment horizontal="left" vertical="center"/>
    </xf>
    <xf numFmtId="0" fontId="18" fillId="9" borderId="66" xfId="0" applyFont="1" applyFill="1" applyBorder="1" applyAlignment="1">
      <alignment horizontal="left" vertical="center" wrapText="1"/>
    </xf>
    <xf numFmtId="0" fontId="18" fillId="0" borderId="0" xfId="0" applyFont="1" applyAlignment="1">
      <alignment horizontal="left" vertical="center" wrapText="1"/>
    </xf>
    <xf numFmtId="0" fontId="17" fillId="11" borderId="35" xfId="0" applyFont="1" applyFill="1" applyBorder="1" applyAlignment="1">
      <alignment horizontal="left" vertical="center" wrapText="1"/>
    </xf>
    <xf numFmtId="0" fontId="18" fillId="11" borderId="41" xfId="0" applyFont="1" applyFill="1" applyBorder="1" applyAlignment="1">
      <alignment horizontal="left" vertical="center" wrapText="1"/>
    </xf>
    <xf numFmtId="0" fontId="18" fillId="11" borderId="41" xfId="0" applyFont="1" applyFill="1" applyBorder="1" applyAlignment="1">
      <alignment horizontal="left" vertical="center"/>
    </xf>
    <xf numFmtId="0" fontId="18" fillId="11" borderId="36" xfId="0" applyFont="1" applyFill="1" applyBorder="1" applyAlignment="1">
      <alignment horizontal="left" vertical="center"/>
    </xf>
    <xf numFmtId="0" fontId="17" fillId="11" borderId="21" xfId="0" applyFont="1" applyFill="1" applyBorder="1" applyAlignment="1">
      <alignment horizontal="left" vertical="center" wrapText="1"/>
    </xf>
    <xf numFmtId="0" fontId="18" fillId="11" borderId="21" xfId="0" applyFont="1" applyFill="1" applyBorder="1" applyAlignment="1">
      <alignment horizontal="left" vertical="center" wrapText="1"/>
    </xf>
    <xf numFmtId="0" fontId="18" fillId="11" borderId="66" xfId="0" applyFont="1" applyFill="1" applyBorder="1" applyAlignment="1">
      <alignment horizontal="left" vertical="center" wrapText="1"/>
    </xf>
    <xf numFmtId="9" fontId="18" fillId="0" borderId="64" xfId="0" applyNumberFormat="1" applyFont="1" applyFill="1" applyBorder="1" applyAlignment="1">
      <alignment horizontal="left" vertical="center"/>
    </xf>
    <xf numFmtId="0" fontId="17" fillId="3" borderId="35"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8" fillId="3" borderId="41" xfId="0" applyFont="1" applyFill="1" applyBorder="1" applyAlignment="1">
      <alignment horizontal="left" vertical="center"/>
    </xf>
    <xf numFmtId="0" fontId="18" fillId="3" borderId="36" xfId="0" applyFont="1" applyFill="1" applyBorder="1" applyAlignment="1">
      <alignment horizontal="left" vertical="center"/>
    </xf>
    <xf numFmtId="0" fontId="18" fillId="3" borderId="21" xfId="0" applyFont="1" applyFill="1" applyBorder="1" applyAlignment="1">
      <alignment horizontal="left" vertical="center" wrapText="1"/>
    </xf>
    <xf numFmtId="0" fontId="17" fillId="3" borderId="49" xfId="0" applyFont="1" applyFill="1" applyBorder="1" applyAlignment="1">
      <alignment horizontal="left" vertical="center" wrapText="1"/>
    </xf>
    <xf numFmtId="0" fontId="18" fillId="3" borderId="45" xfId="0" applyFont="1" applyFill="1" applyBorder="1" applyAlignment="1">
      <alignment horizontal="left" vertical="center" wrapText="1"/>
    </xf>
    <xf numFmtId="0" fontId="18" fillId="3" borderId="45" xfId="0" applyFont="1" applyFill="1" applyBorder="1" applyAlignment="1">
      <alignment horizontal="left" vertical="center"/>
    </xf>
    <xf numFmtId="0" fontId="18" fillId="3" borderId="50" xfId="0" applyFont="1" applyFill="1" applyBorder="1" applyAlignment="1">
      <alignment horizontal="left" vertical="center"/>
    </xf>
    <xf numFmtId="0" fontId="18" fillId="3" borderId="66" xfId="0" applyFont="1" applyFill="1" applyBorder="1" applyAlignment="1">
      <alignment horizontal="left" vertical="center" wrapText="1"/>
    </xf>
    <xf numFmtId="0" fontId="17" fillId="10" borderId="35" xfId="0" applyFont="1" applyFill="1" applyBorder="1" applyAlignment="1">
      <alignment horizontal="left" vertical="center" wrapText="1"/>
    </xf>
    <xf numFmtId="0" fontId="18" fillId="10" borderId="41" xfId="0" applyFont="1" applyFill="1" applyBorder="1" applyAlignment="1">
      <alignment horizontal="left" vertical="center" wrapText="1"/>
    </xf>
    <xf numFmtId="0" fontId="18" fillId="10" borderId="41" xfId="0" applyFont="1" applyFill="1" applyBorder="1" applyAlignment="1">
      <alignment horizontal="left" vertical="center"/>
    </xf>
    <xf numFmtId="0" fontId="18" fillId="10" borderId="36" xfId="0" applyFont="1" applyFill="1" applyBorder="1" applyAlignment="1">
      <alignment horizontal="left" vertical="center"/>
    </xf>
    <xf numFmtId="0" fontId="18" fillId="10" borderId="21" xfId="0" applyFont="1" applyFill="1" applyBorder="1" applyAlignment="1">
      <alignment horizontal="left" vertical="center" wrapText="1"/>
    </xf>
    <xf numFmtId="0" fontId="17" fillId="10" borderId="49" xfId="0" applyFont="1" applyFill="1" applyBorder="1" applyAlignment="1">
      <alignment horizontal="left" vertical="center" wrapText="1"/>
    </xf>
    <xf numFmtId="0" fontId="18" fillId="10" borderId="45" xfId="0" applyFont="1" applyFill="1" applyBorder="1" applyAlignment="1">
      <alignment horizontal="left" vertical="center" wrapText="1"/>
    </xf>
    <xf numFmtId="0" fontId="18" fillId="10" borderId="45" xfId="0" applyFont="1" applyFill="1" applyBorder="1" applyAlignment="1">
      <alignment horizontal="left" vertical="center"/>
    </xf>
    <xf numFmtId="0" fontId="18" fillId="10" borderId="50" xfId="0" applyFont="1" applyFill="1" applyBorder="1" applyAlignment="1">
      <alignment horizontal="left" vertical="center"/>
    </xf>
    <xf numFmtId="0" fontId="18" fillId="10" borderId="66" xfId="0" applyFont="1" applyFill="1" applyBorder="1" applyAlignment="1">
      <alignment horizontal="left" vertical="center" wrapText="1"/>
    </xf>
    <xf numFmtId="9" fontId="18" fillId="0" borderId="64" xfId="0" applyNumberFormat="1" applyFont="1" applyBorder="1" applyAlignment="1">
      <alignment horizontal="left" vertical="center"/>
    </xf>
    <xf numFmtId="0" fontId="18" fillId="8" borderId="21" xfId="0" applyFont="1" applyFill="1" applyBorder="1" applyAlignment="1">
      <alignment horizontal="left" vertical="center" wrapText="1"/>
    </xf>
    <xf numFmtId="0" fontId="17" fillId="8" borderId="49" xfId="0" applyFont="1" applyFill="1" applyBorder="1" applyAlignment="1">
      <alignment horizontal="left" vertical="center" wrapText="1"/>
    </xf>
    <xf numFmtId="0" fontId="18" fillId="8" borderId="45" xfId="0" applyFont="1" applyFill="1" applyBorder="1" applyAlignment="1">
      <alignment horizontal="left" vertical="center" wrapText="1"/>
    </xf>
    <xf numFmtId="0" fontId="18" fillId="8" borderId="45" xfId="0" applyFont="1" applyFill="1" applyBorder="1" applyAlignment="1">
      <alignment horizontal="left" vertical="center"/>
    </xf>
    <xf numFmtId="0" fontId="18" fillId="8" borderId="50" xfId="0" applyFont="1" applyFill="1" applyBorder="1" applyAlignment="1">
      <alignment horizontal="left" vertical="center"/>
    </xf>
    <xf numFmtId="0" fontId="18" fillId="0" borderId="12" xfId="0" applyFont="1" applyFill="1" applyBorder="1" applyAlignment="1">
      <alignment horizontal="left" vertical="center" wrapText="1"/>
    </xf>
    <xf numFmtId="0" fontId="18" fillId="6" borderId="21" xfId="0" applyFont="1" applyFill="1" applyBorder="1" applyAlignment="1">
      <alignment horizontal="left" vertical="center" wrapText="1"/>
    </xf>
    <xf numFmtId="0" fontId="2" fillId="2" borderId="43" xfId="0" applyFont="1" applyFill="1" applyBorder="1" applyAlignment="1">
      <alignment horizontal="center" vertical="top"/>
    </xf>
    <xf numFmtId="0" fontId="1" fillId="0" borderId="32" xfId="0" applyFont="1" applyBorder="1" applyAlignment="1">
      <alignment horizontal="center" vertical="center" wrapText="1"/>
    </xf>
    <xf numFmtId="0" fontId="1" fillId="0" borderId="40" xfId="0" applyFont="1" applyBorder="1" applyAlignment="1">
      <alignment horizontal="center" vertical="center"/>
    </xf>
    <xf numFmtId="0" fontId="3" fillId="0" borderId="21" xfId="0" applyFont="1" applyBorder="1" applyAlignment="1">
      <alignment horizontal="center" vertical="center"/>
    </xf>
    <xf numFmtId="0" fontId="1" fillId="0" borderId="49" xfId="0" applyFont="1" applyBorder="1" applyAlignment="1">
      <alignment horizontal="center" vertical="center" wrapText="1"/>
    </xf>
    <xf numFmtId="1" fontId="18" fillId="0" borderId="64" xfId="0" applyNumberFormat="1" applyFont="1" applyBorder="1" applyAlignment="1">
      <alignment horizontal="left" vertical="center"/>
    </xf>
    <xf numFmtId="0" fontId="1" fillId="3" borderId="30" xfId="0" applyNumberFormat="1" applyFont="1" applyFill="1" applyBorder="1" applyAlignment="1">
      <alignment horizontal="center" vertical="top" wrapText="1"/>
    </xf>
    <xf numFmtId="0" fontId="17" fillId="6" borderId="58" xfId="0" applyFont="1" applyFill="1" applyBorder="1" applyAlignment="1">
      <alignment horizontal="left" vertical="center" wrapText="1"/>
    </xf>
    <xf numFmtId="0" fontId="18" fillId="6" borderId="0" xfId="0" applyFont="1" applyFill="1" applyBorder="1" applyAlignment="1">
      <alignment horizontal="left" vertical="center"/>
    </xf>
    <xf numFmtId="0" fontId="18" fillId="6" borderId="9" xfId="0" applyFont="1" applyFill="1" applyBorder="1" applyAlignment="1">
      <alignment horizontal="left" vertical="center"/>
    </xf>
    <xf numFmtId="0" fontId="1" fillId="0" borderId="21" xfId="0" applyFont="1" applyFill="1" applyBorder="1"/>
    <xf numFmtId="0" fontId="3" fillId="0" borderId="13" xfId="0" applyFont="1" applyFill="1" applyBorder="1"/>
    <xf numFmtId="0" fontId="3" fillId="0" borderId="25" xfId="0" applyFont="1" applyFill="1" applyBorder="1"/>
    <xf numFmtId="0" fontId="1" fillId="3" borderId="28" xfId="0" applyNumberFormat="1" applyFont="1" applyFill="1" applyBorder="1" applyAlignment="1">
      <alignment horizontal="center"/>
    </xf>
    <xf numFmtId="1" fontId="3" fillId="0" borderId="27" xfId="0" applyNumberFormat="1" applyFont="1" applyBorder="1"/>
    <xf numFmtId="1" fontId="1" fillId="3" borderId="28" xfId="0" applyNumberFormat="1" applyFont="1" applyFill="1" applyBorder="1" applyAlignment="1">
      <alignment horizontal="center"/>
    </xf>
    <xf numFmtId="0" fontId="14" fillId="0" borderId="27" xfId="0" applyFont="1" applyFill="1" applyBorder="1" applyAlignment="1">
      <alignment horizontal="right"/>
    </xf>
    <xf numFmtId="0" fontId="12" fillId="0" borderId="27" xfId="0" applyFont="1" applyBorder="1"/>
    <xf numFmtId="1" fontId="12" fillId="0" borderId="21" xfId="0" applyNumberFormat="1" applyFont="1" applyBorder="1"/>
    <xf numFmtId="0" fontId="21" fillId="0" borderId="12" xfId="0" applyFont="1" applyBorder="1"/>
    <xf numFmtId="0" fontId="3" fillId="0" borderId="54" xfId="0" applyFont="1" applyFill="1" applyBorder="1"/>
    <xf numFmtId="0" fontId="0" fillId="0" borderId="13" xfId="0" applyFill="1" applyBorder="1"/>
    <xf numFmtId="0" fontId="3" fillId="0" borderId="17" xfId="0" applyFont="1" applyBorder="1" applyAlignment="1">
      <alignment horizontal="center" vertical="top" wrapText="1"/>
    </xf>
    <xf numFmtId="0" fontId="1" fillId="0" borderId="32" xfId="0" applyFont="1" applyBorder="1" applyAlignment="1">
      <alignment vertical="center" wrapText="1"/>
    </xf>
    <xf numFmtId="0" fontId="3" fillId="0" borderId="21" xfId="0" applyFont="1" applyBorder="1" applyAlignment="1">
      <alignment horizontal="center" vertical="center"/>
    </xf>
    <xf numFmtId="0" fontId="3" fillId="0" borderId="12" xfId="0" applyFont="1" applyBorder="1" applyAlignment="1">
      <alignment horizontal="center" vertical="center"/>
    </xf>
    <xf numFmtId="0" fontId="3" fillId="0" borderId="22" xfId="0" applyFont="1" applyBorder="1" applyAlignment="1">
      <alignment horizontal="center" vertical="center"/>
    </xf>
    <xf numFmtId="0" fontId="1" fillId="0" borderId="21" xfId="0" applyFont="1" applyBorder="1" applyAlignment="1">
      <alignment horizontal="center" vertical="center"/>
    </xf>
    <xf numFmtId="0" fontId="0" fillId="0" borderId="17" xfId="0" applyBorder="1" applyAlignment="1">
      <alignment horizontal="center" vertical="center"/>
    </xf>
    <xf numFmtId="0" fontId="1" fillId="0" borderId="55" xfId="0" applyFont="1" applyBorder="1" applyAlignment="1">
      <alignment horizontal="center" vertical="center"/>
    </xf>
    <xf numFmtId="0" fontId="1" fillId="0" borderId="74" xfId="0" applyFont="1" applyBorder="1" applyAlignment="1">
      <alignment horizontal="center" vertical="center"/>
    </xf>
    <xf numFmtId="0" fontId="0" fillId="0" borderId="56" xfId="0" applyFont="1" applyBorder="1" applyAlignment="1">
      <alignment horizontal="center" vertical="center"/>
    </xf>
    <xf numFmtId="0" fontId="0" fillId="0" borderId="16" xfId="0" applyFont="1" applyBorder="1" applyAlignment="1">
      <alignment horizontal="center" vertical="center"/>
    </xf>
    <xf numFmtId="0" fontId="1" fillId="0" borderId="13" xfId="0" applyFont="1" applyBorder="1" applyAlignment="1">
      <alignment horizontal="center" vertical="center"/>
    </xf>
    <xf numFmtId="0" fontId="0" fillId="0" borderId="25" xfId="0" applyFont="1" applyBorder="1" applyAlignment="1">
      <alignment horizontal="center" vertical="center"/>
    </xf>
    <xf numFmtId="0" fontId="1" fillId="0" borderId="35" xfId="0" applyFont="1" applyBorder="1"/>
    <xf numFmtId="0" fontId="3" fillId="0" borderId="41" xfId="0" applyFont="1" applyBorder="1" applyAlignment="1">
      <alignment horizontal="center" vertical="center"/>
    </xf>
    <xf numFmtId="0" fontId="3" fillId="0" borderId="36" xfId="0" applyFont="1" applyBorder="1" applyAlignment="1">
      <alignment horizontal="center" vertical="center"/>
    </xf>
    <xf numFmtId="0" fontId="3" fillId="0" borderId="74" xfId="0" applyFont="1" applyBorder="1"/>
    <xf numFmtId="0" fontId="3" fillId="0" borderId="13" xfId="0" applyFont="1" applyBorder="1" applyAlignment="1">
      <alignment horizontal="center" vertical="center"/>
    </xf>
    <xf numFmtId="0" fontId="17" fillId="6" borderId="41" xfId="0" applyFont="1" applyFill="1" applyBorder="1" applyAlignment="1">
      <alignment horizontal="center" vertical="center"/>
    </xf>
    <xf numFmtId="0" fontId="17" fillId="6" borderId="36" xfId="0" applyFont="1" applyFill="1" applyBorder="1" applyAlignment="1">
      <alignment horizontal="center" vertical="center"/>
    </xf>
    <xf numFmtId="0" fontId="18" fillId="6" borderId="35" xfId="0" applyFont="1" applyFill="1" applyBorder="1" applyAlignment="1">
      <alignment horizontal="left" vertical="center" wrapText="1"/>
    </xf>
    <xf numFmtId="0" fontId="18" fillId="6" borderId="21" xfId="0" applyFont="1" applyFill="1" applyBorder="1" applyAlignment="1">
      <alignment horizontal="left" vertical="center" wrapText="1"/>
    </xf>
    <xf numFmtId="0" fontId="18" fillId="11" borderId="51" xfId="0" applyFont="1" applyFill="1" applyBorder="1" applyAlignment="1">
      <alignment horizontal="left" vertical="center" wrapText="1"/>
    </xf>
    <xf numFmtId="0" fontId="18" fillId="11" borderId="58" xfId="0" applyFont="1" applyFill="1" applyBorder="1" applyAlignment="1">
      <alignment horizontal="left" vertical="center" wrapText="1"/>
    </xf>
    <xf numFmtId="0" fontId="18" fillId="11" borderId="49" xfId="0" applyFont="1" applyFill="1" applyBorder="1" applyAlignment="1">
      <alignment horizontal="left" vertical="center" wrapText="1"/>
    </xf>
    <xf numFmtId="0" fontId="18" fillId="8" borderId="21" xfId="0" applyFont="1" applyFill="1" applyBorder="1" applyAlignment="1">
      <alignment horizontal="left" vertical="center" wrapText="1"/>
    </xf>
    <xf numFmtId="0" fontId="18" fillId="8" borderId="66" xfId="0" applyFont="1" applyFill="1" applyBorder="1" applyAlignment="1">
      <alignment horizontal="left" vertical="center" wrapText="1"/>
    </xf>
    <xf numFmtId="0" fontId="17" fillId="6" borderId="18" xfId="0" applyFont="1" applyFill="1" applyBorder="1" applyAlignment="1">
      <alignment horizontal="center" vertical="center" wrapText="1"/>
    </xf>
    <xf numFmtId="0" fontId="17" fillId="6" borderId="62" xfId="0" applyFont="1" applyFill="1" applyBorder="1" applyAlignment="1">
      <alignment horizontal="center" vertical="center" wrapText="1"/>
    </xf>
    <xf numFmtId="0" fontId="17" fillId="6" borderId="19" xfId="0" applyFont="1" applyFill="1" applyBorder="1" applyAlignment="1">
      <alignment horizontal="center" vertical="center" wrapText="1"/>
    </xf>
    <xf numFmtId="0" fontId="17" fillId="6" borderId="63" xfId="0" applyFont="1" applyFill="1" applyBorder="1" applyAlignment="1">
      <alignment horizontal="center" vertical="center" wrapText="1"/>
    </xf>
    <xf numFmtId="0" fontId="2" fillId="2" borderId="1" xfId="0" applyFont="1" applyFill="1" applyBorder="1" applyAlignment="1">
      <alignment horizontal="center" vertical="top"/>
    </xf>
    <xf numFmtId="0" fontId="2" fillId="2" borderId="43" xfId="0" applyFont="1" applyFill="1" applyBorder="1" applyAlignment="1">
      <alignment horizontal="center" vertical="top"/>
    </xf>
    <xf numFmtId="0" fontId="2" fillId="2" borderId="44" xfId="0" applyFont="1" applyFill="1" applyBorder="1" applyAlignment="1">
      <alignment horizontal="center" vertical="top"/>
    </xf>
    <xf numFmtId="0" fontId="1" fillId="2" borderId="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2" borderId="42" xfId="0" applyFont="1" applyFill="1" applyBorder="1" applyAlignment="1">
      <alignment horizontal="center" vertical="top"/>
    </xf>
    <xf numFmtId="0" fontId="2" fillId="2" borderId="18" xfId="0" applyFont="1" applyFill="1" applyBorder="1" applyAlignment="1">
      <alignment horizontal="center" vertical="top"/>
    </xf>
    <xf numFmtId="0" fontId="2" fillId="2" borderId="19" xfId="0" applyFont="1" applyFill="1" applyBorder="1" applyAlignment="1">
      <alignment horizontal="center" vertical="top"/>
    </xf>
    <xf numFmtId="0" fontId="2" fillId="2" borderId="20" xfId="0" applyFont="1" applyFill="1" applyBorder="1" applyAlignment="1">
      <alignment horizontal="center" vertical="top"/>
    </xf>
    <xf numFmtId="0" fontId="0" fillId="3" borderId="42" xfId="0" applyFont="1" applyFill="1" applyBorder="1" applyAlignment="1">
      <alignment horizontal="center" vertical="center" wrapText="1"/>
    </xf>
    <xf numFmtId="0" fontId="0" fillId="3" borderId="43" xfId="0" applyFont="1" applyFill="1" applyBorder="1" applyAlignment="1">
      <alignment horizontal="center" vertical="center" wrapText="1"/>
    </xf>
    <xf numFmtId="0" fontId="0" fillId="3" borderId="44" xfId="0" applyFont="1" applyFill="1" applyBorder="1" applyAlignment="1">
      <alignment horizontal="center" vertical="center" wrapText="1"/>
    </xf>
    <xf numFmtId="0" fontId="3" fillId="0" borderId="51" xfId="0" applyFont="1" applyBorder="1" applyAlignment="1">
      <alignment horizontal="center" vertical="center"/>
    </xf>
    <xf numFmtId="0" fontId="3" fillId="0" borderId="58" xfId="0" applyFont="1" applyBorder="1" applyAlignment="1">
      <alignment horizontal="center" vertical="center"/>
    </xf>
    <xf numFmtId="0" fontId="3" fillId="0" borderId="49" xfId="0" applyFont="1" applyBorder="1" applyAlignment="1">
      <alignment horizontal="center" vertical="center"/>
    </xf>
    <xf numFmtId="0" fontId="3" fillId="0" borderId="54" xfId="0" applyFont="1" applyBorder="1" applyAlignment="1">
      <alignment horizontal="center" vertical="center"/>
    </xf>
    <xf numFmtId="0" fontId="3" fillId="0" borderId="67" xfId="0" applyFont="1" applyBorder="1" applyAlignment="1">
      <alignment horizontal="center" vertical="center"/>
    </xf>
    <xf numFmtId="0" fontId="3" fillId="0" borderId="55" xfId="0" applyFont="1" applyBorder="1" applyAlignment="1">
      <alignment horizontal="center" vertical="center"/>
    </xf>
    <xf numFmtId="0" fontId="3" fillId="0" borderId="38"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pplyAlignment="1">
      <alignment horizontal="center" vertical="center"/>
    </xf>
    <xf numFmtId="0" fontId="1" fillId="0" borderId="52" xfId="0" applyFont="1" applyBorder="1" applyAlignment="1">
      <alignment horizontal="center" vertical="center"/>
    </xf>
    <xf numFmtId="0" fontId="1" fillId="0" borderId="57" xfId="0" applyFont="1" applyBorder="1" applyAlignment="1">
      <alignment horizontal="center" vertical="center"/>
    </xf>
    <xf numFmtId="0" fontId="1" fillId="0" borderId="45" xfId="0" applyFont="1" applyBorder="1" applyAlignment="1">
      <alignment horizontal="center" vertical="center"/>
    </xf>
    <xf numFmtId="0" fontId="3" fillId="0" borderId="52" xfId="0" applyFont="1" applyBorder="1" applyAlignment="1">
      <alignment horizontal="center" vertical="center"/>
    </xf>
    <xf numFmtId="0" fontId="0" fillId="0" borderId="57" xfId="0" applyBorder="1" applyAlignment="1">
      <alignment horizontal="center" vertical="center"/>
    </xf>
    <xf numFmtId="0" fontId="0" fillId="0" borderId="45" xfId="0" applyBorder="1" applyAlignment="1">
      <alignment horizontal="center" vertical="center"/>
    </xf>
    <xf numFmtId="0" fontId="3" fillId="0" borderId="57" xfId="0" applyFont="1" applyBorder="1" applyAlignment="1">
      <alignment horizontal="center" vertical="center"/>
    </xf>
    <xf numFmtId="0" fontId="3" fillId="0" borderId="45" xfId="0" applyFont="1" applyBorder="1" applyAlignment="1">
      <alignment horizontal="center" vertical="center"/>
    </xf>
    <xf numFmtId="0" fontId="1" fillId="3" borderId="26" xfId="0" applyFont="1" applyFill="1" applyBorder="1" applyAlignment="1">
      <alignment horizontal="center" vertical="center"/>
    </xf>
    <xf numFmtId="0" fontId="1" fillId="3" borderId="29" xfId="0" applyFont="1" applyFill="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1" fillId="12" borderId="29" xfId="0" applyFont="1" applyFill="1" applyBorder="1" applyAlignment="1">
      <alignment horizontal="center"/>
    </xf>
    <xf numFmtId="0" fontId="1" fillId="12" borderId="30" xfId="0" applyFont="1" applyFill="1" applyBorder="1" applyAlignment="1">
      <alignment horizontal="center"/>
    </xf>
    <xf numFmtId="0" fontId="1" fillId="3" borderId="26" xfId="0" applyFont="1" applyFill="1" applyBorder="1" applyAlignment="1">
      <alignment horizontal="center"/>
    </xf>
    <xf numFmtId="0" fontId="1" fillId="3" borderId="29" xfId="0" applyFont="1" applyFill="1" applyBorder="1" applyAlignment="1">
      <alignment horizontal="center"/>
    </xf>
    <xf numFmtId="0" fontId="1" fillId="3" borderId="30" xfId="0" applyFont="1" applyFill="1" applyBorder="1" applyAlignment="1">
      <alignment horizontal="center"/>
    </xf>
    <xf numFmtId="0" fontId="1" fillId="0" borderId="4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51" xfId="0" applyFont="1" applyBorder="1" applyAlignment="1">
      <alignment horizontal="center" vertical="center"/>
    </xf>
    <xf numFmtId="0" fontId="1" fillId="0" borderId="58" xfId="0" applyFont="1" applyBorder="1" applyAlignment="1">
      <alignment horizontal="center" vertical="center"/>
    </xf>
    <xf numFmtId="0" fontId="1" fillId="0" borderId="49" xfId="0" applyFont="1" applyBorder="1" applyAlignment="1">
      <alignment horizontal="center" vertical="center"/>
    </xf>
    <xf numFmtId="0" fontId="6" fillId="6" borderId="7" xfId="0" applyFont="1" applyFill="1" applyBorder="1" applyAlignment="1">
      <alignment horizontal="left" wrapText="1"/>
    </xf>
    <xf numFmtId="0" fontId="6" fillId="6" borderId="31" xfId="0" applyFont="1" applyFill="1" applyBorder="1" applyAlignment="1">
      <alignment horizontal="left" wrapText="1"/>
    </xf>
    <xf numFmtId="0" fontId="6" fillId="6" borderId="8" xfId="0" applyFont="1" applyFill="1" applyBorder="1" applyAlignment="1">
      <alignment horizontal="left" wrapText="1"/>
    </xf>
    <xf numFmtId="0" fontId="12" fillId="2" borderId="7"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34" xfId="0" applyFont="1" applyFill="1" applyBorder="1" applyAlignment="1">
      <alignment horizontal="center" vertical="center"/>
    </xf>
    <xf numFmtId="0" fontId="2" fillId="2" borderId="73" xfId="0" applyFont="1" applyFill="1" applyBorder="1" applyAlignment="1">
      <alignment horizontal="center" vertical="top"/>
    </xf>
    <xf numFmtId="0" fontId="0" fillId="3" borderId="1" xfId="0" applyFill="1" applyBorder="1" applyAlignment="1">
      <alignment horizontal="left" vertical="top"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11" xfId="0" applyFill="1" applyBorder="1" applyAlignment="1">
      <alignment horizontal="left" vertical="top"/>
    </xf>
    <xf numFmtId="0" fontId="0" fillId="3" borderId="0" xfId="0" applyFill="1" applyBorder="1" applyAlignment="1">
      <alignment horizontal="left" vertical="top"/>
    </xf>
    <xf numFmtId="0" fontId="0" fillId="3" borderId="9"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1" fillId="3" borderId="4" xfId="0" applyNumberFormat="1" applyFont="1" applyFill="1" applyBorder="1" applyAlignment="1">
      <alignment horizontal="center" vertical="top" wrapText="1"/>
    </xf>
    <xf numFmtId="0" fontId="1" fillId="3" borderId="5" xfId="0" applyNumberFormat="1" applyFont="1" applyFill="1" applyBorder="1" applyAlignment="1">
      <alignment horizontal="center" vertical="top" wrapText="1"/>
    </xf>
    <xf numFmtId="0" fontId="1" fillId="3" borderId="6" xfId="0" applyNumberFormat="1" applyFont="1" applyFill="1" applyBorder="1" applyAlignment="1">
      <alignment horizontal="center" vertical="top" wrapText="1"/>
    </xf>
    <xf numFmtId="0" fontId="1" fillId="3" borderId="26" xfId="0" applyNumberFormat="1" applyFont="1" applyFill="1" applyBorder="1" applyAlignment="1">
      <alignment horizontal="center"/>
    </xf>
    <xf numFmtId="0" fontId="1" fillId="3" borderId="29" xfId="0" applyNumberFormat="1" applyFont="1" applyFill="1" applyBorder="1" applyAlignment="1">
      <alignment horizontal="center"/>
    </xf>
    <xf numFmtId="0" fontId="1" fillId="3" borderId="30" xfId="0" applyNumberFormat="1" applyFont="1" applyFill="1" applyBorder="1" applyAlignment="1">
      <alignment horizontal="center"/>
    </xf>
    <xf numFmtId="0" fontId="6" fillId="3" borderId="1"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11"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164" fontId="1" fillId="3" borderId="26" xfId="0" applyNumberFormat="1" applyFont="1" applyFill="1" applyBorder="1" applyAlignment="1">
      <alignment horizontal="center"/>
    </xf>
    <xf numFmtId="164" fontId="1" fillId="3" borderId="30" xfId="0" applyNumberFormat="1" applyFont="1" applyFill="1" applyBorder="1" applyAlignment="1">
      <alignment horizontal="center"/>
    </xf>
    <xf numFmtId="0" fontId="0" fillId="3" borderId="1" xfId="0" applyFont="1" applyFill="1" applyBorder="1" applyAlignment="1">
      <alignment horizontal="left" vertical="top" wrapText="1"/>
    </xf>
    <xf numFmtId="0" fontId="0" fillId="3" borderId="3" xfId="0" applyFont="1" applyFill="1" applyBorder="1" applyAlignment="1">
      <alignment horizontal="left" vertical="top"/>
    </xf>
    <xf numFmtId="0" fontId="0" fillId="3" borderId="11" xfId="0" applyFont="1" applyFill="1" applyBorder="1" applyAlignment="1">
      <alignment horizontal="left" vertical="top"/>
    </xf>
    <xf numFmtId="0" fontId="0" fillId="3" borderId="9" xfId="0" applyFont="1" applyFill="1" applyBorder="1" applyAlignment="1">
      <alignment horizontal="left" vertical="top"/>
    </xf>
    <xf numFmtId="0" fontId="0" fillId="3" borderId="4" xfId="0" applyFont="1" applyFill="1" applyBorder="1" applyAlignment="1">
      <alignment horizontal="left" vertical="top"/>
    </xf>
    <xf numFmtId="0" fontId="0" fillId="3" borderId="6" xfId="0" applyFont="1" applyFill="1" applyBorder="1" applyAlignment="1">
      <alignment horizontal="left" vertical="top"/>
    </xf>
    <xf numFmtId="0" fontId="1" fillId="3" borderId="30" xfId="0" applyFont="1" applyFill="1" applyBorder="1" applyAlignment="1">
      <alignment horizontal="center" vertical="center"/>
    </xf>
    <xf numFmtId="0" fontId="16" fillId="0" borderId="7"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4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3" fillId="0" borderId="68" xfId="0" applyFont="1" applyBorder="1" applyAlignment="1">
      <alignment horizontal="center" vertical="center"/>
    </xf>
    <xf numFmtId="0" fontId="3" fillId="0" borderId="69" xfId="0" applyFont="1" applyBorder="1" applyAlignment="1">
      <alignment horizontal="center" vertical="center"/>
    </xf>
    <xf numFmtId="0" fontId="3" fillId="0" borderId="48" xfId="0" applyFont="1" applyBorder="1" applyAlignment="1">
      <alignment horizontal="center" vertical="center"/>
    </xf>
    <xf numFmtId="0" fontId="3" fillId="0" borderId="53" xfId="0" applyFont="1" applyBorder="1" applyAlignment="1">
      <alignment horizontal="center" vertical="center"/>
    </xf>
    <xf numFmtId="0" fontId="3" fillId="0" borderId="61" xfId="0" applyFont="1" applyBorder="1" applyAlignment="1">
      <alignment horizontal="center" vertical="center"/>
    </xf>
    <xf numFmtId="0" fontId="3" fillId="0" borderId="50" xfId="0" applyFont="1" applyBorder="1" applyAlignment="1">
      <alignment horizontal="center" vertical="center"/>
    </xf>
    <xf numFmtId="0" fontId="3" fillId="0" borderId="53" xfId="0" applyFont="1" applyBorder="1" applyAlignment="1">
      <alignment horizontal="center" vertical="center" wrapText="1"/>
    </xf>
    <xf numFmtId="0" fontId="3" fillId="0" borderId="61" xfId="0" applyFont="1" applyBorder="1" applyAlignment="1">
      <alignment horizontal="center" vertical="center" wrapText="1"/>
    </xf>
    <xf numFmtId="0" fontId="3" fillId="0" borderId="50" xfId="0" applyFont="1" applyBorder="1" applyAlignment="1">
      <alignment horizontal="center" vertical="center" wrapText="1"/>
    </xf>
    <xf numFmtId="0" fontId="1" fillId="0" borderId="53" xfId="0" applyFont="1" applyBorder="1" applyAlignment="1">
      <alignment horizontal="center" vertical="center"/>
    </xf>
    <xf numFmtId="0" fontId="1" fillId="0" borderId="61" xfId="0" applyFont="1" applyBorder="1" applyAlignment="1">
      <alignment horizontal="center" vertical="center"/>
    </xf>
    <xf numFmtId="0" fontId="1" fillId="0" borderId="50" xfId="0" applyFont="1" applyBorder="1" applyAlignment="1">
      <alignment horizontal="center" vertical="center"/>
    </xf>
    <xf numFmtId="0" fontId="3" fillId="0" borderId="52" xfId="0" applyFont="1" applyBorder="1" applyAlignment="1">
      <alignment horizontal="center" vertical="center" wrapText="1"/>
    </xf>
    <xf numFmtId="0" fontId="3" fillId="0" borderId="57" xfId="0" applyFont="1" applyBorder="1" applyAlignment="1">
      <alignment horizontal="center" vertical="center" wrapText="1"/>
    </xf>
    <xf numFmtId="0" fontId="3" fillId="0" borderId="45" xfId="0" applyFont="1" applyBorder="1" applyAlignment="1">
      <alignment horizontal="center" vertical="center" wrapText="1"/>
    </xf>
    <xf numFmtId="0" fontId="3" fillId="0" borderId="39" xfId="0" applyFont="1" applyBorder="1" applyAlignment="1">
      <alignment horizontal="center" vertical="center"/>
    </xf>
    <xf numFmtId="0" fontId="3" fillId="0" borderId="9" xfId="0" applyFont="1" applyBorder="1" applyAlignment="1">
      <alignment horizontal="center" vertical="center"/>
    </xf>
    <xf numFmtId="0" fontId="3" fillId="0" borderId="56" xfId="0" applyFont="1" applyBorder="1" applyAlignment="1">
      <alignment horizontal="center" vertical="center"/>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1" fontId="1" fillId="3" borderId="26" xfId="0" applyNumberFormat="1" applyFont="1" applyFill="1" applyBorder="1" applyAlignment="1">
      <alignment horizontal="center"/>
    </xf>
    <xf numFmtId="1" fontId="1" fillId="3" borderId="29" xfId="0" applyNumberFormat="1" applyFont="1" applyFill="1" applyBorder="1" applyAlignment="1">
      <alignment horizontal="center"/>
    </xf>
    <xf numFmtId="1" fontId="1" fillId="3" borderId="30" xfId="0" applyNumberFormat="1" applyFont="1" applyFill="1" applyBorder="1" applyAlignment="1">
      <alignment horizontal="center"/>
    </xf>
    <xf numFmtId="0" fontId="1" fillId="2" borderId="7"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32" xfId="0" applyFont="1" applyFill="1" applyBorder="1" applyAlignment="1">
      <alignment horizontal="center" vertical="center"/>
    </xf>
    <xf numFmtId="0" fontId="1" fillId="3" borderId="66" xfId="0" applyFont="1" applyFill="1" applyBorder="1" applyAlignment="1">
      <alignment horizontal="center" vertical="center"/>
    </xf>
    <xf numFmtId="0" fontId="1" fillId="3" borderId="64" xfId="0" applyFont="1" applyFill="1" applyBorder="1" applyAlignment="1">
      <alignment horizontal="center" vertical="center"/>
    </xf>
    <xf numFmtId="0" fontId="1" fillId="3" borderId="65" xfId="0" applyFont="1" applyFill="1" applyBorder="1" applyAlignment="1">
      <alignment horizontal="center" vertical="center"/>
    </xf>
    <xf numFmtId="0" fontId="3" fillId="0" borderId="12" xfId="0" applyFont="1" applyBorder="1" applyAlignment="1">
      <alignment horizontal="center" vertical="center"/>
    </xf>
    <xf numFmtId="0" fontId="3" fillId="0" borderId="22" xfId="0" applyFont="1" applyBorder="1" applyAlignment="1">
      <alignment horizontal="center" vertical="center"/>
    </xf>
    <xf numFmtId="0" fontId="3" fillId="0" borderId="21" xfId="0" applyFont="1" applyBorder="1" applyAlignment="1">
      <alignment horizontal="center" vertical="center"/>
    </xf>
    <xf numFmtId="0" fontId="1" fillId="3" borderId="5" xfId="0" applyNumberFormat="1" applyFont="1" applyFill="1" applyBorder="1" applyAlignment="1">
      <alignment horizontal="center"/>
    </xf>
    <xf numFmtId="0" fontId="1" fillId="0" borderId="21" xfId="0" applyFont="1" applyBorder="1" applyAlignment="1">
      <alignment horizontal="center" vertical="center"/>
    </xf>
    <xf numFmtId="0" fontId="0" fillId="0" borderId="52" xfId="0" applyFont="1" applyBorder="1" applyAlignment="1">
      <alignment horizontal="center" vertical="center"/>
    </xf>
    <xf numFmtId="0" fontId="0" fillId="0" borderId="57" xfId="0" applyFont="1" applyBorder="1" applyAlignment="1">
      <alignment horizontal="center" vertical="center"/>
    </xf>
    <xf numFmtId="0" fontId="0" fillId="0" borderId="45" xfId="0" applyFont="1" applyBorder="1" applyAlignment="1">
      <alignment horizontal="center" vertical="center"/>
    </xf>
    <xf numFmtId="0" fontId="0" fillId="0" borderId="39" xfId="0" applyBorder="1" applyAlignment="1">
      <alignment horizontal="center" vertical="center"/>
    </xf>
    <xf numFmtId="0" fontId="0" fillId="0" borderId="9" xfId="0" applyBorder="1" applyAlignment="1">
      <alignment horizontal="center" vertical="center"/>
    </xf>
    <xf numFmtId="0" fontId="0" fillId="0" borderId="56" xfId="0" applyBorder="1" applyAlignment="1">
      <alignment horizontal="center" vertical="center"/>
    </xf>
    <xf numFmtId="0" fontId="15" fillId="0" borderId="12" xfId="0" applyFont="1" applyBorder="1" applyAlignment="1">
      <alignment horizontal="center" vertical="center" textRotation="90"/>
    </xf>
    <xf numFmtId="0" fontId="1" fillId="3" borderId="26" xfId="0" applyNumberFormat="1" applyFont="1" applyFill="1" applyBorder="1" applyAlignment="1">
      <alignment horizontal="center" vertical="top" wrapText="1"/>
    </xf>
    <xf numFmtId="0" fontId="1" fillId="3" borderId="29" xfId="0" applyNumberFormat="1" applyFont="1" applyFill="1" applyBorder="1" applyAlignment="1">
      <alignment horizontal="center" vertical="top" wrapText="1"/>
    </xf>
    <xf numFmtId="0" fontId="1" fillId="3" borderId="30" xfId="0" applyNumberFormat="1" applyFont="1" applyFill="1" applyBorder="1" applyAlignment="1">
      <alignment horizontal="center" vertical="top" wrapText="1"/>
    </xf>
    <xf numFmtId="0" fontId="1" fillId="3" borderId="4" xfId="0" applyNumberFormat="1" applyFont="1" applyFill="1" applyBorder="1" applyAlignment="1">
      <alignment horizontal="center"/>
    </xf>
    <xf numFmtId="0" fontId="1" fillId="3" borderId="26" xfId="0" applyNumberFormat="1" applyFont="1" applyFill="1" applyBorder="1" applyAlignment="1">
      <alignment horizontal="center" vertical="center"/>
    </xf>
    <xf numFmtId="0" fontId="1" fillId="3" borderId="29" xfId="0" applyNumberFormat="1" applyFont="1" applyFill="1" applyBorder="1" applyAlignment="1">
      <alignment horizontal="center" vertical="center"/>
    </xf>
    <xf numFmtId="0" fontId="1" fillId="3" borderId="30" xfId="0" applyNumberFormat="1" applyFont="1" applyFill="1" applyBorder="1" applyAlignment="1">
      <alignment horizontal="center" vertical="center"/>
    </xf>
    <xf numFmtId="0" fontId="1" fillId="3" borderId="6" xfId="0" applyNumberFormat="1" applyFont="1" applyFill="1" applyBorder="1" applyAlignment="1">
      <alignment horizontal="center"/>
    </xf>
    <xf numFmtId="0" fontId="1" fillId="0" borderId="57" xfId="0" applyFont="1" applyBorder="1" applyAlignment="1">
      <alignment horizontal="center" vertical="center" wrapText="1"/>
    </xf>
    <xf numFmtId="0" fontId="1" fillId="0" borderId="45" xfId="0" applyFont="1" applyBorder="1" applyAlignment="1">
      <alignment horizontal="center" vertical="center" wrapText="1"/>
    </xf>
    <xf numFmtId="0" fontId="12" fillId="0" borderId="51" xfId="0" applyFont="1" applyBorder="1" applyAlignment="1">
      <alignment horizontal="center" vertical="center" wrapText="1"/>
    </xf>
    <xf numFmtId="0" fontId="12" fillId="0" borderId="58" xfId="0" applyFont="1" applyBorder="1" applyAlignment="1">
      <alignment horizontal="center" vertical="center" wrapText="1"/>
    </xf>
    <xf numFmtId="0" fontId="12" fillId="0" borderId="49" xfId="0" applyFont="1" applyBorder="1" applyAlignment="1">
      <alignment horizontal="center" vertical="center" wrapTex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16" xfId="0" applyFont="1" applyFill="1" applyBorder="1" applyAlignment="1">
      <alignment horizontal="center" vertical="center" wrapText="1"/>
    </xf>
    <xf numFmtId="0" fontId="2" fillId="2" borderId="2" xfId="0" applyFont="1" applyFill="1" applyBorder="1" applyAlignment="1">
      <alignment horizontal="center" vertical="top"/>
    </xf>
    <xf numFmtId="0" fontId="3" fillId="0" borderId="12"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68" xfId="0" applyFont="1" applyBorder="1" applyAlignment="1">
      <alignment horizontal="center" vertical="center"/>
    </xf>
    <xf numFmtId="0" fontId="0" fillId="0" borderId="69" xfId="0" applyFont="1" applyBorder="1" applyAlignment="1">
      <alignment horizontal="center" vertical="center"/>
    </xf>
    <xf numFmtId="0" fontId="0" fillId="0" borderId="48" xfId="0" applyFont="1" applyBorder="1" applyAlignment="1">
      <alignment horizontal="center" vertical="center"/>
    </xf>
    <xf numFmtId="0" fontId="1" fillId="0" borderId="52"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49" xfId="0" applyFont="1" applyBorder="1" applyAlignment="1">
      <alignment horizontal="center" vertical="center" wrapText="1"/>
    </xf>
    <xf numFmtId="0" fontId="0" fillId="3" borderId="70" xfId="0" applyFont="1" applyFill="1" applyBorder="1" applyAlignment="1">
      <alignment horizontal="center" vertical="center" wrapText="1"/>
    </xf>
    <xf numFmtId="0" fontId="0" fillId="3" borderId="71" xfId="0" applyFont="1" applyFill="1" applyBorder="1" applyAlignment="1">
      <alignment horizontal="center" vertical="center" wrapText="1"/>
    </xf>
    <xf numFmtId="0" fontId="0" fillId="3" borderId="72" xfId="0" applyFont="1" applyFill="1" applyBorder="1" applyAlignment="1">
      <alignment horizontal="center" vertical="center" wrapText="1"/>
    </xf>
    <xf numFmtId="0" fontId="0" fillId="0" borderId="4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61" xfId="0" applyBorder="1" applyAlignment="1">
      <alignment horizontal="center" vertical="center"/>
    </xf>
    <xf numFmtId="0" fontId="0" fillId="0" borderId="50" xfId="0" applyBorder="1" applyAlignment="1">
      <alignment horizontal="center" vertical="center"/>
    </xf>
    <xf numFmtId="0" fontId="0" fillId="0" borderId="22" xfId="0" applyBorder="1" applyAlignment="1">
      <alignment horizontal="center" vertical="center"/>
    </xf>
    <xf numFmtId="0" fontId="6" fillId="6" borderId="1"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6" borderId="3" xfId="0" applyFont="1" applyFill="1" applyBorder="1" applyAlignment="1">
      <alignment horizontal="left" vertical="top" wrapText="1"/>
    </xf>
    <xf numFmtId="0" fontId="6" fillId="6" borderId="11" xfId="0" applyFont="1" applyFill="1" applyBorder="1" applyAlignment="1">
      <alignment horizontal="left" vertical="top" wrapText="1"/>
    </xf>
    <xf numFmtId="0" fontId="6" fillId="6" borderId="0" xfId="0" applyFont="1" applyFill="1" applyBorder="1" applyAlignment="1">
      <alignment horizontal="left" vertical="top" wrapText="1"/>
    </xf>
    <xf numFmtId="0" fontId="6" fillId="6" borderId="9"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5" xfId="0" applyFont="1" applyFill="1" applyBorder="1" applyAlignment="1">
      <alignment horizontal="left" vertical="top" wrapText="1"/>
    </xf>
    <xf numFmtId="0" fontId="6" fillId="6" borderId="6" xfId="0" applyFont="1" applyFill="1" applyBorder="1" applyAlignment="1">
      <alignment horizontal="left" vertical="top"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1" fillId="3" borderId="4" xfId="0" applyFont="1" applyFill="1" applyBorder="1" applyAlignment="1">
      <alignment horizontal="center" vertical="top"/>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6" fillId="6" borderId="7" xfId="0" applyFont="1" applyFill="1" applyBorder="1" applyAlignment="1">
      <alignment horizontal="left" vertical="top" wrapText="1"/>
    </xf>
    <xf numFmtId="0" fontId="6" fillId="6" borderId="31" xfId="0" applyFont="1" applyFill="1" applyBorder="1" applyAlignment="1">
      <alignment horizontal="left" vertical="top" wrapText="1"/>
    </xf>
    <xf numFmtId="0" fontId="6" fillId="6" borderId="8" xfId="0" applyFont="1" applyFill="1" applyBorder="1" applyAlignment="1">
      <alignment horizontal="left" vertical="top" wrapText="1"/>
    </xf>
    <xf numFmtId="0" fontId="1" fillId="3" borderId="5" xfId="0" applyFont="1" applyFill="1" applyBorder="1" applyAlignment="1">
      <alignment horizontal="center" vertical="center"/>
    </xf>
    <xf numFmtId="0" fontId="0" fillId="0" borderId="17" xfId="0" applyBorder="1" applyAlignment="1">
      <alignment horizontal="center" vertical="center"/>
    </xf>
    <xf numFmtId="0" fontId="0" fillId="3" borderId="15" xfId="0" applyFont="1" applyFill="1" applyBorder="1" applyAlignment="1">
      <alignment horizontal="center" vertical="center" wrapText="1"/>
    </xf>
    <xf numFmtId="0" fontId="0" fillId="0" borderId="12" xfId="0" applyBorder="1" applyAlignment="1">
      <alignment horizontal="center" vertical="center"/>
    </xf>
    <xf numFmtId="0" fontId="18" fillId="0" borderId="45" xfId="0" applyFont="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zoomScale="80" zoomScaleNormal="80" workbookViewId="0">
      <pane ySplit="3" topLeftCell="A4" activePane="bottomLeft" state="frozen"/>
      <selection pane="bottomLeft" activeCell="K8" sqref="K8"/>
    </sheetView>
  </sheetViews>
  <sheetFormatPr defaultRowHeight="15" x14ac:dyDescent="0.25"/>
  <cols>
    <col min="1" max="1" width="39.85546875" style="194" customWidth="1"/>
    <col min="2" max="2" width="54.140625" style="194" customWidth="1"/>
    <col min="3" max="3" width="20.85546875" style="194" bestFit="1" customWidth="1"/>
    <col min="4" max="4" width="13.140625" style="194" customWidth="1"/>
    <col min="5" max="6" width="5.7109375" style="194" customWidth="1"/>
    <col min="7" max="7" width="7.28515625" style="194" customWidth="1"/>
    <col min="8" max="8" width="6.5703125" style="194" bestFit="1" customWidth="1"/>
    <col min="9" max="15" width="5.7109375" style="194" customWidth="1"/>
    <col min="16" max="256" width="9.140625" style="194"/>
    <col min="257" max="257" width="50.28515625" style="194" customWidth="1"/>
    <col min="258" max="258" width="45.5703125" style="194" customWidth="1"/>
    <col min="259" max="260" width="13.140625" style="194" customWidth="1"/>
    <col min="261" max="512" width="9.140625" style="194"/>
    <col min="513" max="513" width="50.28515625" style="194" customWidth="1"/>
    <col min="514" max="514" width="45.5703125" style="194" customWidth="1"/>
    <col min="515" max="516" width="13.140625" style="194" customWidth="1"/>
    <col min="517" max="768" width="9.140625" style="194"/>
    <col min="769" max="769" width="50.28515625" style="194" customWidth="1"/>
    <col min="770" max="770" width="45.5703125" style="194" customWidth="1"/>
    <col min="771" max="772" width="13.140625" style="194" customWidth="1"/>
    <col min="773" max="1024" width="9.140625" style="194"/>
    <col min="1025" max="1025" width="50.28515625" style="194" customWidth="1"/>
    <col min="1026" max="1026" width="45.5703125" style="194" customWidth="1"/>
    <col min="1027" max="1028" width="13.140625" style="194" customWidth="1"/>
    <col min="1029" max="1280" width="9.140625" style="194"/>
    <col min="1281" max="1281" width="50.28515625" style="194" customWidth="1"/>
    <col min="1282" max="1282" width="45.5703125" style="194" customWidth="1"/>
    <col min="1283" max="1284" width="13.140625" style="194" customWidth="1"/>
    <col min="1285" max="1536" width="9.140625" style="194"/>
    <col min="1537" max="1537" width="50.28515625" style="194" customWidth="1"/>
    <col min="1538" max="1538" width="45.5703125" style="194" customWidth="1"/>
    <col min="1539" max="1540" width="13.140625" style="194" customWidth="1"/>
    <col min="1541" max="1792" width="9.140625" style="194"/>
    <col min="1793" max="1793" width="50.28515625" style="194" customWidth="1"/>
    <col min="1794" max="1794" width="45.5703125" style="194" customWidth="1"/>
    <col min="1795" max="1796" width="13.140625" style="194" customWidth="1"/>
    <col min="1797" max="2048" width="9.140625" style="194"/>
    <col min="2049" max="2049" width="50.28515625" style="194" customWidth="1"/>
    <col min="2050" max="2050" width="45.5703125" style="194" customWidth="1"/>
    <col min="2051" max="2052" width="13.140625" style="194" customWidth="1"/>
    <col min="2053" max="2304" width="9.140625" style="194"/>
    <col min="2305" max="2305" width="50.28515625" style="194" customWidth="1"/>
    <col min="2306" max="2306" width="45.5703125" style="194" customWidth="1"/>
    <col min="2307" max="2308" width="13.140625" style="194" customWidth="1"/>
    <col min="2309" max="2560" width="9.140625" style="194"/>
    <col min="2561" max="2561" width="50.28515625" style="194" customWidth="1"/>
    <col min="2562" max="2562" width="45.5703125" style="194" customWidth="1"/>
    <col min="2563" max="2564" width="13.140625" style="194" customWidth="1"/>
    <col min="2565" max="2816" width="9.140625" style="194"/>
    <col min="2817" max="2817" width="50.28515625" style="194" customWidth="1"/>
    <col min="2818" max="2818" width="45.5703125" style="194" customWidth="1"/>
    <col min="2819" max="2820" width="13.140625" style="194" customWidth="1"/>
    <col min="2821" max="3072" width="9.140625" style="194"/>
    <col min="3073" max="3073" width="50.28515625" style="194" customWidth="1"/>
    <col min="3074" max="3074" width="45.5703125" style="194" customWidth="1"/>
    <col min="3075" max="3076" width="13.140625" style="194" customWidth="1"/>
    <col min="3077" max="3328" width="9.140625" style="194"/>
    <col min="3329" max="3329" width="50.28515625" style="194" customWidth="1"/>
    <col min="3330" max="3330" width="45.5703125" style="194" customWidth="1"/>
    <col min="3331" max="3332" width="13.140625" style="194" customWidth="1"/>
    <col min="3333" max="3584" width="9.140625" style="194"/>
    <col min="3585" max="3585" width="50.28515625" style="194" customWidth="1"/>
    <col min="3586" max="3586" width="45.5703125" style="194" customWidth="1"/>
    <col min="3587" max="3588" width="13.140625" style="194" customWidth="1"/>
    <col min="3589" max="3840" width="9.140625" style="194"/>
    <col min="3841" max="3841" width="50.28515625" style="194" customWidth="1"/>
    <col min="3842" max="3842" width="45.5703125" style="194" customWidth="1"/>
    <col min="3843" max="3844" width="13.140625" style="194" customWidth="1"/>
    <col min="3845" max="4096" width="9.140625" style="194"/>
    <col min="4097" max="4097" width="50.28515625" style="194" customWidth="1"/>
    <col min="4098" max="4098" width="45.5703125" style="194" customWidth="1"/>
    <col min="4099" max="4100" width="13.140625" style="194" customWidth="1"/>
    <col min="4101" max="4352" width="9.140625" style="194"/>
    <col min="4353" max="4353" width="50.28515625" style="194" customWidth="1"/>
    <col min="4354" max="4354" width="45.5703125" style="194" customWidth="1"/>
    <col min="4355" max="4356" width="13.140625" style="194" customWidth="1"/>
    <col min="4357" max="4608" width="9.140625" style="194"/>
    <col min="4609" max="4609" width="50.28515625" style="194" customWidth="1"/>
    <col min="4610" max="4610" width="45.5703125" style="194" customWidth="1"/>
    <col min="4611" max="4612" width="13.140625" style="194" customWidth="1"/>
    <col min="4613" max="4864" width="9.140625" style="194"/>
    <col min="4865" max="4865" width="50.28515625" style="194" customWidth="1"/>
    <col min="4866" max="4866" width="45.5703125" style="194" customWidth="1"/>
    <col min="4867" max="4868" width="13.140625" style="194" customWidth="1"/>
    <col min="4869" max="5120" width="9.140625" style="194"/>
    <col min="5121" max="5121" width="50.28515625" style="194" customWidth="1"/>
    <col min="5122" max="5122" width="45.5703125" style="194" customWidth="1"/>
    <col min="5123" max="5124" width="13.140625" style="194" customWidth="1"/>
    <col min="5125" max="5376" width="9.140625" style="194"/>
    <col min="5377" max="5377" width="50.28515625" style="194" customWidth="1"/>
    <col min="5378" max="5378" width="45.5703125" style="194" customWidth="1"/>
    <col min="5379" max="5380" width="13.140625" style="194" customWidth="1"/>
    <col min="5381" max="5632" width="9.140625" style="194"/>
    <col min="5633" max="5633" width="50.28515625" style="194" customWidth="1"/>
    <col min="5634" max="5634" width="45.5703125" style="194" customWidth="1"/>
    <col min="5635" max="5636" width="13.140625" style="194" customWidth="1"/>
    <col min="5637" max="5888" width="9.140625" style="194"/>
    <col min="5889" max="5889" width="50.28515625" style="194" customWidth="1"/>
    <col min="5890" max="5890" width="45.5703125" style="194" customWidth="1"/>
    <col min="5891" max="5892" width="13.140625" style="194" customWidth="1"/>
    <col min="5893" max="6144" width="9.140625" style="194"/>
    <col min="6145" max="6145" width="50.28515625" style="194" customWidth="1"/>
    <col min="6146" max="6146" width="45.5703125" style="194" customWidth="1"/>
    <col min="6147" max="6148" width="13.140625" style="194" customWidth="1"/>
    <col min="6149" max="6400" width="9.140625" style="194"/>
    <col min="6401" max="6401" width="50.28515625" style="194" customWidth="1"/>
    <col min="6402" max="6402" width="45.5703125" style="194" customWidth="1"/>
    <col min="6403" max="6404" width="13.140625" style="194" customWidth="1"/>
    <col min="6405" max="6656" width="9.140625" style="194"/>
    <col min="6657" max="6657" width="50.28515625" style="194" customWidth="1"/>
    <col min="6658" max="6658" width="45.5703125" style="194" customWidth="1"/>
    <col min="6659" max="6660" width="13.140625" style="194" customWidth="1"/>
    <col min="6661" max="6912" width="9.140625" style="194"/>
    <col min="6913" max="6913" width="50.28515625" style="194" customWidth="1"/>
    <col min="6914" max="6914" width="45.5703125" style="194" customWidth="1"/>
    <col min="6915" max="6916" width="13.140625" style="194" customWidth="1"/>
    <col min="6917" max="7168" width="9.140625" style="194"/>
    <col min="7169" max="7169" width="50.28515625" style="194" customWidth="1"/>
    <col min="7170" max="7170" width="45.5703125" style="194" customWidth="1"/>
    <col min="7171" max="7172" width="13.140625" style="194" customWidth="1"/>
    <col min="7173" max="7424" width="9.140625" style="194"/>
    <col min="7425" max="7425" width="50.28515625" style="194" customWidth="1"/>
    <col min="7426" max="7426" width="45.5703125" style="194" customWidth="1"/>
    <col min="7427" max="7428" width="13.140625" style="194" customWidth="1"/>
    <col min="7429" max="7680" width="9.140625" style="194"/>
    <col min="7681" max="7681" width="50.28515625" style="194" customWidth="1"/>
    <col min="7682" max="7682" width="45.5703125" style="194" customWidth="1"/>
    <col min="7683" max="7684" width="13.140625" style="194" customWidth="1"/>
    <col min="7685" max="7936" width="9.140625" style="194"/>
    <col min="7937" max="7937" width="50.28515625" style="194" customWidth="1"/>
    <col min="7938" max="7938" width="45.5703125" style="194" customWidth="1"/>
    <col min="7939" max="7940" width="13.140625" style="194" customWidth="1"/>
    <col min="7941" max="8192" width="9.140625" style="194"/>
    <col min="8193" max="8193" width="50.28515625" style="194" customWidth="1"/>
    <col min="8194" max="8194" width="45.5703125" style="194" customWidth="1"/>
    <col min="8195" max="8196" width="13.140625" style="194" customWidth="1"/>
    <col min="8197" max="8448" width="9.140625" style="194"/>
    <col min="8449" max="8449" width="50.28515625" style="194" customWidth="1"/>
    <col min="8450" max="8450" width="45.5703125" style="194" customWidth="1"/>
    <col min="8451" max="8452" width="13.140625" style="194" customWidth="1"/>
    <col min="8453" max="8704" width="9.140625" style="194"/>
    <col min="8705" max="8705" width="50.28515625" style="194" customWidth="1"/>
    <col min="8706" max="8706" width="45.5703125" style="194" customWidth="1"/>
    <col min="8707" max="8708" width="13.140625" style="194" customWidth="1"/>
    <col min="8709" max="8960" width="9.140625" style="194"/>
    <col min="8961" max="8961" width="50.28515625" style="194" customWidth="1"/>
    <col min="8962" max="8962" width="45.5703125" style="194" customWidth="1"/>
    <col min="8963" max="8964" width="13.140625" style="194" customWidth="1"/>
    <col min="8965" max="9216" width="9.140625" style="194"/>
    <col min="9217" max="9217" width="50.28515625" style="194" customWidth="1"/>
    <col min="9218" max="9218" width="45.5703125" style="194" customWidth="1"/>
    <col min="9219" max="9220" width="13.140625" style="194" customWidth="1"/>
    <col min="9221" max="9472" width="9.140625" style="194"/>
    <col min="9473" max="9473" width="50.28515625" style="194" customWidth="1"/>
    <col min="9474" max="9474" width="45.5703125" style="194" customWidth="1"/>
    <col min="9475" max="9476" width="13.140625" style="194" customWidth="1"/>
    <col min="9477" max="9728" width="9.140625" style="194"/>
    <col min="9729" max="9729" width="50.28515625" style="194" customWidth="1"/>
    <col min="9730" max="9730" width="45.5703125" style="194" customWidth="1"/>
    <col min="9731" max="9732" width="13.140625" style="194" customWidth="1"/>
    <col min="9733" max="9984" width="9.140625" style="194"/>
    <col min="9985" max="9985" width="50.28515625" style="194" customWidth="1"/>
    <col min="9986" max="9986" width="45.5703125" style="194" customWidth="1"/>
    <col min="9987" max="9988" width="13.140625" style="194" customWidth="1"/>
    <col min="9989" max="10240" width="9.140625" style="194"/>
    <col min="10241" max="10241" width="50.28515625" style="194" customWidth="1"/>
    <col min="10242" max="10242" width="45.5703125" style="194" customWidth="1"/>
    <col min="10243" max="10244" width="13.140625" style="194" customWidth="1"/>
    <col min="10245" max="10496" width="9.140625" style="194"/>
    <col min="10497" max="10497" width="50.28515625" style="194" customWidth="1"/>
    <col min="10498" max="10498" width="45.5703125" style="194" customWidth="1"/>
    <col min="10499" max="10500" width="13.140625" style="194" customWidth="1"/>
    <col min="10501" max="10752" width="9.140625" style="194"/>
    <col min="10753" max="10753" width="50.28515625" style="194" customWidth="1"/>
    <col min="10754" max="10754" width="45.5703125" style="194" customWidth="1"/>
    <col min="10755" max="10756" width="13.140625" style="194" customWidth="1"/>
    <col min="10757" max="11008" width="9.140625" style="194"/>
    <col min="11009" max="11009" width="50.28515625" style="194" customWidth="1"/>
    <col min="11010" max="11010" width="45.5703125" style="194" customWidth="1"/>
    <col min="11011" max="11012" width="13.140625" style="194" customWidth="1"/>
    <col min="11013" max="11264" width="9.140625" style="194"/>
    <col min="11265" max="11265" width="50.28515625" style="194" customWidth="1"/>
    <col min="11266" max="11266" width="45.5703125" style="194" customWidth="1"/>
    <col min="11267" max="11268" width="13.140625" style="194" customWidth="1"/>
    <col min="11269" max="11520" width="9.140625" style="194"/>
    <col min="11521" max="11521" width="50.28515625" style="194" customWidth="1"/>
    <col min="11522" max="11522" width="45.5703125" style="194" customWidth="1"/>
    <col min="11523" max="11524" width="13.140625" style="194" customWidth="1"/>
    <col min="11525" max="11776" width="9.140625" style="194"/>
    <col min="11777" max="11777" width="50.28515625" style="194" customWidth="1"/>
    <col min="11778" max="11778" width="45.5703125" style="194" customWidth="1"/>
    <col min="11779" max="11780" width="13.140625" style="194" customWidth="1"/>
    <col min="11781" max="12032" width="9.140625" style="194"/>
    <col min="12033" max="12033" width="50.28515625" style="194" customWidth="1"/>
    <col min="12034" max="12034" width="45.5703125" style="194" customWidth="1"/>
    <col min="12035" max="12036" width="13.140625" style="194" customWidth="1"/>
    <col min="12037" max="12288" width="9.140625" style="194"/>
    <col min="12289" max="12289" width="50.28515625" style="194" customWidth="1"/>
    <col min="12290" max="12290" width="45.5703125" style="194" customWidth="1"/>
    <col min="12291" max="12292" width="13.140625" style="194" customWidth="1"/>
    <col min="12293" max="12544" width="9.140625" style="194"/>
    <col min="12545" max="12545" width="50.28515625" style="194" customWidth="1"/>
    <col min="12546" max="12546" width="45.5703125" style="194" customWidth="1"/>
    <col min="12547" max="12548" width="13.140625" style="194" customWidth="1"/>
    <col min="12549" max="12800" width="9.140625" style="194"/>
    <col min="12801" max="12801" width="50.28515625" style="194" customWidth="1"/>
    <col min="12802" max="12802" width="45.5703125" style="194" customWidth="1"/>
    <col min="12803" max="12804" width="13.140625" style="194" customWidth="1"/>
    <col min="12805" max="13056" width="9.140625" style="194"/>
    <col min="13057" max="13057" width="50.28515625" style="194" customWidth="1"/>
    <col min="13058" max="13058" width="45.5703125" style="194" customWidth="1"/>
    <col min="13059" max="13060" width="13.140625" style="194" customWidth="1"/>
    <col min="13061" max="13312" width="9.140625" style="194"/>
    <col min="13313" max="13313" width="50.28515625" style="194" customWidth="1"/>
    <col min="13314" max="13314" width="45.5703125" style="194" customWidth="1"/>
    <col min="13315" max="13316" width="13.140625" style="194" customWidth="1"/>
    <col min="13317" max="13568" width="9.140625" style="194"/>
    <col min="13569" max="13569" width="50.28515625" style="194" customWidth="1"/>
    <col min="13570" max="13570" width="45.5703125" style="194" customWidth="1"/>
    <col min="13571" max="13572" width="13.140625" style="194" customWidth="1"/>
    <col min="13573" max="13824" width="9.140625" style="194"/>
    <col min="13825" max="13825" width="50.28515625" style="194" customWidth="1"/>
    <col min="13826" max="13826" width="45.5703125" style="194" customWidth="1"/>
    <col min="13827" max="13828" width="13.140625" style="194" customWidth="1"/>
    <col min="13829" max="14080" width="9.140625" style="194"/>
    <col min="14081" max="14081" width="50.28515625" style="194" customWidth="1"/>
    <col min="14082" max="14082" width="45.5703125" style="194" customWidth="1"/>
    <col min="14083" max="14084" width="13.140625" style="194" customWidth="1"/>
    <col min="14085" max="14336" width="9.140625" style="194"/>
    <col min="14337" max="14337" width="50.28515625" style="194" customWidth="1"/>
    <col min="14338" max="14338" width="45.5703125" style="194" customWidth="1"/>
    <col min="14339" max="14340" width="13.140625" style="194" customWidth="1"/>
    <col min="14341" max="14592" width="9.140625" style="194"/>
    <col min="14593" max="14593" width="50.28515625" style="194" customWidth="1"/>
    <col min="14594" max="14594" width="45.5703125" style="194" customWidth="1"/>
    <col min="14595" max="14596" width="13.140625" style="194" customWidth="1"/>
    <col min="14597" max="14848" width="9.140625" style="194"/>
    <col min="14849" max="14849" width="50.28515625" style="194" customWidth="1"/>
    <col min="14850" max="14850" width="45.5703125" style="194" customWidth="1"/>
    <col min="14851" max="14852" width="13.140625" style="194" customWidth="1"/>
    <col min="14853" max="15104" width="9.140625" style="194"/>
    <col min="15105" max="15105" width="50.28515625" style="194" customWidth="1"/>
    <col min="15106" max="15106" width="45.5703125" style="194" customWidth="1"/>
    <col min="15107" max="15108" width="13.140625" style="194" customWidth="1"/>
    <col min="15109" max="15360" width="9.140625" style="194"/>
    <col min="15361" max="15361" width="50.28515625" style="194" customWidth="1"/>
    <col min="15362" max="15362" width="45.5703125" style="194" customWidth="1"/>
    <col min="15363" max="15364" width="13.140625" style="194" customWidth="1"/>
    <col min="15365" max="15616" width="9.140625" style="194"/>
    <col min="15617" max="15617" width="50.28515625" style="194" customWidth="1"/>
    <col min="15618" max="15618" width="45.5703125" style="194" customWidth="1"/>
    <col min="15619" max="15620" width="13.140625" style="194" customWidth="1"/>
    <col min="15621" max="15872" width="9.140625" style="194"/>
    <col min="15873" max="15873" width="50.28515625" style="194" customWidth="1"/>
    <col min="15874" max="15874" width="45.5703125" style="194" customWidth="1"/>
    <col min="15875" max="15876" width="13.140625" style="194" customWidth="1"/>
    <col min="15877" max="16128" width="9.140625" style="194"/>
    <col min="16129" max="16129" width="50.28515625" style="194" customWidth="1"/>
    <col min="16130" max="16130" width="45.5703125" style="194" customWidth="1"/>
    <col min="16131" max="16132" width="13.140625" style="194" customWidth="1"/>
    <col min="16133" max="16384" width="9.140625" style="194"/>
  </cols>
  <sheetData>
    <row r="1" spans="1:15" ht="15.75" thickBot="1" x14ac:dyDescent="0.3">
      <c r="A1" s="242" t="str">
        <f>Overview!A1</f>
        <v>NERP file designed by Biju &amp; updated as of 07.10.2015</v>
      </c>
    </row>
    <row r="2" spans="1:15" ht="15" customHeight="1" x14ac:dyDescent="0.25">
      <c r="A2" s="350" t="s">
        <v>152</v>
      </c>
      <c r="B2" s="352" t="s">
        <v>153</v>
      </c>
      <c r="C2" s="352" t="s">
        <v>154</v>
      </c>
      <c r="D2" s="341" t="s">
        <v>155</v>
      </c>
      <c r="E2" s="341"/>
      <c r="F2" s="341"/>
      <c r="G2" s="341"/>
      <c r="H2" s="341"/>
      <c r="I2" s="341"/>
      <c r="J2" s="341"/>
      <c r="K2" s="341"/>
      <c r="L2" s="341"/>
      <c r="M2" s="341"/>
      <c r="N2" s="341"/>
      <c r="O2" s="342"/>
    </row>
    <row r="3" spans="1:15" ht="15.75" thickBot="1" x14ac:dyDescent="0.3">
      <c r="A3" s="351"/>
      <c r="B3" s="353"/>
      <c r="C3" s="353"/>
      <c r="D3" s="243" t="s">
        <v>156</v>
      </c>
      <c r="E3" s="243" t="s">
        <v>213</v>
      </c>
      <c r="F3" s="243" t="s">
        <v>214</v>
      </c>
      <c r="G3" s="243" t="s">
        <v>215</v>
      </c>
      <c r="H3" s="243" t="s">
        <v>216</v>
      </c>
      <c r="I3" s="243" t="s">
        <v>217</v>
      </c>
      <c r="J3" s="243" t="s">
        <v>218</v>
      </c>
      <c r="K3" s="243" t="s">
        <v>219</v>
      </c>
      <c r="L3" s="243" t="s">
        <v>220</v>
      </c>
      <c r="M3" s="243" t="s">
        <v>221</v>
      </c>
      <c r="N3" s="243" t="s">
        <v>222</v>
      </c>
      <c r="O3" s="244" t="s">
        <v>223</v>
      </c>
    </row>
    <row r="4" spans="1:15" ht="15.75" thickBot="1" x14ac:dyDescent="0.3">
      <c r="A4" s="308" t="s">
        <v>157</v>
      </c>
      <c r="B4" s="245"/>
      <c r="C4" s="246"/>
      <c r="D4" s="309"/>
      <c r="E4" s="309"/>
      <c r="F4" s="309"/>
      <c r="G4" s="309"/>
      <c r="H4" s="309"/>
      <c r="I4" s="309"/>
      <c r="J4" s="309"/>
      <c r="K4" s="309"/>
      <c r="L4" s="309"/>
      <c r="M4" s="309"/>
      <c r="N4" s="309"/>
      <c r="O4" s="310"/>
    </row>
    <row r="5" spans="1:15" ht="43.15" customHeight="1" x14ac:dyDescent="0.25">
      <c r="A5" s="343" t="s">
        <v>158</v>
      </c>
      <c r="B5" s="247" t="s">
        <v>159</v>
      </c>
      <c r="C5" s="248">
        <v>10000</v>
      </c>
      <c r="D5" s="248">
        <f>Overview!B9</f>
        <v>7312</v>
      </c>
      <c r="E5" s="248"/>
      <c r="F5" s="248"/>
      <c r="G5" s="248">
        <v>7305</v>
      </c>
      <c r="H5" s="248">
        <v>7305</v>
      </c>
      <c r="I5" s="248">
        <f>D5-H5</f>
        <v>7</v>
      </c>
      <c r="J5" s="248"/>
      <c r="K5" s="248"/>
      <c r="L5" s="248"/>
      <c r="M5" s="248"/>
      <c r="N5" s="248"/>
      <c r="O5" s="249"/>
    </row>
    <row r="6" spans="1:15" ht="30" x14ac:dyDescent="0.25">
      <c r="A6" s="344"/>
      <c r="B6" s="191" t="s">
        <v>160</v>
      </c>
      <c r="C6" s="179">
        <v>10000</v>
      </c>
      <c r="D6" s="179">
        <f>Overview!C9</f>
        <v>11016</v>
      </c>
      <c r="E6" s="179"/>
      <c r="F6" s="179"/>
      <c r="G6" s="179">
        <v>10516</v>
      </c>
      <c r="H6" s="553">
        <v>11016</v>
      </c>
      <c r="I6" s="553">
        <f>D6-H6</f>
        <v>0</v>
      </c>
      <c r="J6" s="179"/>
      <c r="K6" s="179"/>
      <c r="L6" s="179"/>
      <c r="M6" s="179"/>
      <c r="N6" s="179"/>
      <c r="O6" s="250"/>
    </row>
    <row r="7" spans="1:15" x14ac:dyDescent="0.25">
      <c r="A7" s="251" t="s">
        <v>161</v>
      </c>
      <c r="B7" s="252"/>
      <c r="C7" s="185"/>
      <c r="D7" s="185"/>
      <c r="E7" s="185"/>
      <c r="F7" s="185"/>
      <c r="G7" s="185"/>
      <c r="H7" s="253"/>
      <c r="I7" s="185"/>
      <c r="J7" s="253"/>
      <c r="K7" s="185"/>
      <c r="L7" s="185"/>
      <c r="M7" s="185"/>
      <c r="N7" s="185"/>
      <c r="O7" s="254"/>
    </row>
    <row r="8" spans="1:15" ht="60" x14ac:dyDescent="0.25">
      <c r="A8" s="300" t="s">
        <v>162</v>
      </c>
      <c r="B8" s="191" t="s">
        <v>163</v>
      </c>
      <c r="C8" s="179">
        <v>9000</v>
      </c>
      <c r="D8" s="179">
        <f>Overview!B9</f>
        <v>7312</v>
      </c>
      <c r="E8" s="179"/>
      <c r="F8" s="179"/>
      <c r="G8" s="179">
        <v>7305</v>
      </c>
      <c r="H8" s="179">
        <v>7305</v>
      </c>
      <c r="I8" s="179">
        <f>D8-H8</f>
        <v>7</v>
      </c>
      <c r="J8" s="179"/>
      <c r="K8" s="179"/>
      <c r="L8" s="179"/>
      <c r="M8" s="179"/>
      <c r="N8" s="179"/>
      <c r="O8" s="250"/>
    </row>
    <row r="9" spans="1:15" ht="45" x14ac:dyDescent="0.25">
      <c r="A9" s="300" t="s">
        <v>164</v>
      </c>
      <c r="B9" s="191" t="s">
        <v>165</v>
      </c>
      <c r="C9" s="179">
        <v>10000</v>
      </c>
      <c r="D9" s="179">
        <f>Overview!C9</f>
        <v>11016</v>
      </c>
      <c r="E9" s="179"/>
      <c r="F9" s="179"/>
      <c r="G9" s="179">
        <v>10516</v>
      </c>
      <c r="H9" s="179">
        <v>11016</v>
      </c>
      <c r="I9" s="179">
        <f t="shared" ref="I9:I10" si="0">D9-H9</f>
        <v>0</v>
      </c>
      <c r="J9" s="179"/>
      <c r="K9" s="179"/>
      <c r="L9" s="179"/>
      <c r="M9" s="179"/>
      <c r="N9" s="179"/>
      <c r="O9" s="250"/>
    </row>
    <row r="10" spans="1:15" ht="30.75" thickBot="1" x14ac:dyDescent="0.3">
      <c r="A10" s="255" t="s">
        <v>166</v>
      </c>
      <c r="B10" s="193" t="s">
        <v>167</v>
      </c>
      <c r="C10" s="180">
        <v>7000</v>
      </c>
      <c r="D10" s="180">
        <f>Overview!C9</f>
        <v>11016</v>
      </c>
      <c r="E10" s="180"/>
      <c r="F10" s="180"/>
      <c r="G10" s="180">
        <v>10516</v>
      </c>
      <c r="H10" s="180">
        <v>11016</v>
      </c>
      <c r="I10" s="180">
        <f t="shared" si="0"/>
        <v>0</v>
      </c>
      <c r="J10" s="180"/>
      <c r="K10" s="180"/>
      <c r="L10" s="180"/>
      <c r="M10" s="180"/>
      <c r="N10" s="180"/>
      <c r="O10" s="256"/>
    </row>
    <row r="11" spans="1:15" s="257" customFormat="1" ht="15.75" thickBot="1" x14ac:dyDescent="0.3"/>
    <row r="12" spans="1:15" x14ac:dyDescent="0.25">
      <c r="A12" s="181" t="s">
        <v>168</v>
      </c>
      <c r="B12" s="182"/>
      <c r="C12" s="183"/>
      <c r="D12" s="183"/>
      <c r="E12" s="183"/>
      <c r="F12" s="183"/>
      <c r="G12" s="183"/>
      <c r="H12" s="183"/>
      <c r="I12" s="183"/>
      <c r="J12" s="183"/>
      <c r="K12" s="183"/>
      <c r="L12" s="183"/>
      <c r="M12" s="183"/>
      <c r="N12" s="183"/>
      <c r="O12" s="184"/>
    </row>
    <row r="13" spans="1:15" ht="75" x14ac:dyDescent="0.25">
      <c r="A13" s="258" t="s">
        <v>309</v>
      </c>
      <c r="B13" s="191" t="s">
        <v>169</v>
      </c>
      <c r="C13" s="179">
        <v>12000</v>
      </c>
      <c r="D13" s="179">
        <f>Overview!D9</f>
        <v>5123</v>
      </c>
      <c r="E13" s="179"/>
      <c r="F13" s="179"/>
      <c r="G13" s="179">
        <v>2922</v>
      </c>
      <c r="H13" s="179">
        <v>5123</v>
      </c>
      <c r="I13" s="179">
        <f>D13-H13</f>
        <v>0</v>
      </c>
      <c r="J13" s="179"/>
      <c r="K13" s="179"/>
      <c r="L13" s="179"/>
      <c r="M13" s="179"/>
      <c r="N13" s="179"/>
      <c r="O13" s="250"/>
    </row>
    <row r="14" spans="1:15" x14ac:dyDescent="0.25">
      <c r="A14" s="259" t="s">
        <v>170</v>
      </c>
      <c r="B14" s="260"/>
      <c r="C14" s="261"/>
      <c r="D14" s="261"/>
      <c r="E14" s="261"/>
      <c r="F14" s="261"/>
      <c r="G14" s="261"/>
      <c r="H14" s="261"/>
      <c r="I14" s="261"/>
      <c r="J14" s="261"/>
      <c r="K14" s="261"/>
      <c r="L14" s="261"/>
      <c r="M14" s="261"/>
      <c r="N14" s="261"/>
      <c r="O14" s="262"/>
    </row>
    <row r="15" spans="1:15" ht="75" x14ac:dyDescent="0.25">
      <c r="A15" s="258" t="s">
        <v>171</v>
      </c>
      <c r="B15" s="191" t="s">
        <v>172</v>
      </c>
      <c r="C15" s="179">
        <v>12000</v>
      </c>
      <c r="D15" s="179">
        <f>Overview!D9</f>
        <v>5123</v>
      </c>
      <c r="E15" s="179"/>
      <c r="F15" s="179"/>
      <c r="G15" s="179">
        <v>2922</v>
      </c>
      <c r="H15" s="179">
        <v>5123</v>
      </c>
      <c r="I15" s="179">
        <f>D15-H15</f>
        <v>0</v>
      </c>
      <c r="J15" s="179"/>
      <c r="K15" s="179"/>
      <c r="L15" s="179"/>
      <c r="M15" s="179"/>
      <c r="N15" s="179"/>
      <c r="O15" s="250"/>
    </row>
    <row r="16" spans="1:15" ht="30" x14ac:dyDescent="0.25">
      <c r="A16" s="258" t="s">
        <v>173</v>
      </c>
      <c r="B16" s="191" t="s">
        <v>174</v>
      </c>
      <c r="C16" s="179" t="s">
        <v>81</v>
      </c>
      <c r="D16" s="190">
        <f>SUM('ECO-Nepal (Gorkha)'!H6:H22)+SUM('ECO-Nepal (Gorkha)'!I6:I22)+SUM('FAYA-Nepal (Dhading)'!H6:H8)+SUM('FAYA-Nepal (Dhading)'!I6:I8)+SUM('FSCN (LTP &amp; BKT)'!I5:I34)+SUM('FSCN (LTP &amp; BKT)'!J5:J34)</f>
        <v>74</v>
      </c>
      <c r="E16" s="179"/>
      <c r="F16" s="179"/>
      <c r="G16" s="179">
        <v>62</v>
      </c>
      <c r="H16" s="179">
        <v>74</v>
      </c>
      <c r="I16" s="179">
        <f t="shared" ref="I16:I20" si="1">D16-H16</f>
        <v>0</v>
      </c>
      <c r="J16" s="179"/>
      <c r="K16" s="179"/>
      <c r="L16" s="179"/>
      <c r="M16" s="179"/>
      <c r="N16" s="179"/>
      <c r="O16" s="250"/>
    </row>
    <row r="17" spans="1:15" ht="60" x14ac:dyDescent="0.25">
      <c r="A17" s="258" t="s">
        <v>175</v>
      </c>
      <c r="B17" s="191" t="s">
        <v>310</v>
      </c>
      <c r="C17" s="179" t="s">
        <v>81</v>
      </c>
      <c r="D17" s="190">
        <f>'Indicator Tracking'!D16</f>
        <v>74</v>
      </c>
      <c r="E17" s="179"/>
      <c r="F17" s="179"/>
      <c r="G17" s="179">
        <v>62</v>
      </c>
      <c r="H17" s="179">
        <v>74</v>
      </c>
      <c r="I17" s="179">
        <f t="shared" si="1"/>
        <v>0</v>
      </c>
      <c r="J17" s="179"/>
      <c r="K17" s="179"/>
      <c r="L17" s="179"/>
      <c r="M17" s="179"/>
      <c r="N17" s="179"/>
      <c r="O17" s="250"/>
    </row>
    <row r="18" spans="1:15" ht="45" x14ac:dyDescent="0.25">
      <c r="A18" s="258" t="s">
        <v>176</v>
      </c>
      <c r="B18" s="191" t="s">
        <v>177</v>
      </c>
      <c r="C18" s="179">
        <v>12000</v>
      </c>
      <c r="D18" s="190">
        <f>Overview!G9</f>
        <v>2894</v>
      </c>
      <c r="E18" s="179"/>
      <c r="F18" s="179"/>
      <c r="G18" s="179">
        <v>2894</v>
      </c>
      <c r="H18" s="179">
        <v>2894</v>
      </c>
      <c r="I18" s="179">
        <f t="shared" si="1"/>
        <v>0</v>
      </c>
      <c r="J18" s="179"/>
      <c r="K18" s="179"/>
      <c r="L18" s="179"/>
      <c r="M18" s="179"/>
      <c r="N18" s="179"/>
      <c r="O18" s="250"/>
    </row>
    <row r="19" spans="1:15" ht="30" x14ac:dyDescent="0.25">
      <c r="A19" s="258" t="s">
        <v>174</v>
      </c>
      <c r="B19" s="191"/>
      <c r="C19" s="179" t="s">
        <v>81</v>
      </c>
      <c r="D19" s="190">
        <f>D16</f>
        <v>74</v>
      </c>
      <c r="E19" s="179"/>
      <c r="F19" s="179"/>
      <c r="G19" s="179">
        <v>62</v>
      </c>
      <c r="H19" s="179">
        <v>74</v>
      </c>
      <c r="I19" s="179">
        <f t="shared" si="1"/>
        <v>0</v>
      </c>
      <c r="J19" s="179"/>
      <c r="K19" s="179"/>
      <c r="L19" s="179"/>
      <c r="M19" s="179"/>
      <c r="N19" s="179"/>
      <c r="O19" s="250"/>
    </row>
    <row r="20" spans="1:15" ht="30.75" thickBot="1" x14ac:dyDescent="0.3">
      <c r="A20" s="263" t="s">
        <v>310</v>
      </c>
      <c r="B20" s="193"/>
      <c r="C20" s="180" t="s">
        <v>81</v>
      </c>
      <c r="D20" s="306">
        <f>D17</f>
        <v>74</v>
      </c>
      <c r="E20" s="180"/>
      <c r="F20" s="180"/>
      <c r="G20" s="180">
        <v>62</v>
      </c>
      <c r="H20" s="180">
        <v>74</v>
      </c>
      <c r="I20" s="180">
        <f t="shared" si="1"/>
        <v>0</v>
      </c>
      <c r="J20" s="180"/>
      <c r="K20" s="180"/>
      <c r="L20" s="180"/>
      <c r="M20" s="180"/>
      <c r="N20" s="180"/>
      <c r="O20" s="256"/>
    </row>
    <row r="21" spans="1:15" ht="15.75" thickBot="1" x14ac:dyDescent="0.3">
      <c r="A21" s="264"/>
      <c r="B21" s="264"/>
    </row>
    <row r="22" spans="1:15" x14ac:dyDescent="0.25">
      <c r="A22" s="265" t="s">
        <v>178</v>
      </c>
      <c r="B22" s="266"/>
      <c r="C22" s="267"/>
      <c r="D22" s="267"/>
      <c r="E22" s="267"/>
      <c r="F22" s="267"/>
      <c r="G22" s="267"/>
      <c r="H22" s="267"/>
      <c r="I22" s="267"/>
      <c r="J22" s="267"/>
      <c r="K22" s="267"/>
      <c r="L22" s="267"/>
      <c r="M22" s="267"/>
      <c r="N22" s="267"/>
      <c r="O22" s="268"/>
    </row>
    <row r="23" spans="1:15" ht="60" x14ac:dyDescent="0.25">
      <c r="A23" s="269" t="s">
        <v>303</v>
      </c>
      <c r="B23" s="191" t="s">
        <v>225</v>
      </c>
      <c r="C23" s="187">
        <v>12000</v>
      </c>
      <c r="D23" s="188">
        <f>Overview!G9</f>
        <v>2894</v>
      </c>
      <c r="E23" s="179"/>
      <c r="F23" s="179"/>
      <c r="G23" s="179">
        <v>2894</v>
      </c>
      <c r="H23" s="179">
        <v>2894</v>
      </c>
      <c r="I23" s="190">
        <f>D23-H23</f>
        <v>0</v>
      </c>
      <c r="J23" s="179"/>
      <c r="K23" s="179"/>
      <c r="L23" s="179"/>
      <c r="M23" s="179"/>
      <c r="N23" s="179"/>
      <c r="O23" s="250"/>
    </row>
    <row r="24" spans="1:15" ht="72" customHeight="1" x14ac:dyDescent="0.25">
      <c r="A24" s="345" t="s">
        <v>311</v>
      </c>
      <c r="B24" s="191" t="s">
        <v>179</v>
      </c>
      <c r="C24" s="187">
        <v>12000</v>
      </c>
      <c r="D24" s="188">
        <f>Overview!G9</f>
        <v>2894</v>
      </c>
      <c r="E24" s="179"/>
      <c r="F24" s="179"/>
      <c r="G24" s="179">
        <v>2894</v>
      </c>
      <c r="H24" s="179">
        <v>2894</v>
      </c>
      <c r="I24" s="190">
        <f t="shared" ref="I24:I29" si="2">D24-H24</f>
        <v>0</v>
      </c>
      <c r="J24" s="179"/>
      <c r="K24" s="179"/>
      <c r="L24" s="179"/>
      <c r="M24" s="179"/>
      <c r="N24" s="179"/>
      <c r="O24" s="250"/>
    </row>
    <row r="25" spans="1:15" x14ac:dyDescent="0.25">
      <c r="A25" s="346"/>
      <c r="B25" s="191" t="s">
        <v>180</v>
      </c>
      <c r="C25" s="187"/>
      <c r="D25" s="187">
        <f>Overview!H9</f>
        <v>435</v>
      </c>
      <c r="E25" s="179"/>
      <c r="F25" s="179"/>
      <c r="G25" s="179">
        <v>192</v>
      </c>
      <c r="H25" s="179">
        <v>435</v>
      </c>
      <c r="I25" s="190">
        <f t="shared" si="2"/>
        <v>0</v>
      </c>
      <c r="J25" s="179"/>
      <c r="K25" s="179"/>
      <c r="L25" s="179"/>
      <c r="M25" s="179"/>
      <c r="N25" s="179"/>
      <c r="O25" s="250"/>
    </row>
    <row r="26" spans="1:15" x14ac:dyDescent="0.25">
      <c r="A26" s="346"/>
      <c r="B26" s="191" t="s">
        <v>227</v>
      </c>
      <c r="C26" s="187"/>
      <c r="D26" s="187">
        <f>Overview!E9</f>
        <v>154</v>
      </c>
      <c r="E26" s="179"/>
      <c r="F26" s="179"/>
      <c r="G26" s="179"/>
      <c r="H26" s="179">
        <v>154</v>
      </c>
      <c r="I26" s="190">
        <f t="shared" si="2"/>
        <v>0</v>
      </c>
      <c r="J26" s="179"/>
      <c r="K26" s="179"/>
      <c r="L26" s="179"/>
      <c r="M26" s="179"/>
      <c r="N26" s="179"/>
      <c r="O26" s="250"/>
    </row>
    <row r="27" spans="1:15" x14ac:dyDescent="0.25">
      <c r="A27" s="347"/>
      <c r="B27" s="191" t="s">
        <v>181</v>
      </c>
      <c r="C27" s="187"/>
      <c r="D27" s="187">
        <f>Overview!I9</f>
        <v>77</v>
      </c>
      <c r="E27" s="179"/>
      <c r="F27" s="179"/>
      <c r="G27" s="179">
        <v>77</v>
      </c>
      <c r="H27" s="179">
        <v>77</v>
      </c>
      <c r="I27" s="190">
        <f t="shared" si="2"/>
        <v>0</v>
      </c>
      <c r="J27" s="179"/>
      <c r="K27" s="179"/>
      <c r="L27" s="179"/>
      <c r="M27" s="179"/>
      <c r="N27" s="179"/>
      <c r="O27" s="250"/>
    </row>
    <row r="28" spans="1:15" ht="30" x14ac:dyDescent="0.25">
      <c r="A28" s="270" t="s">
        <v>312</v>
      </c>
      <c r="B28" s="191" t="s">
        <v>182</v>
      </c>
      <c r="C28" s="187"/>
      <c r="D28" s="187">
        <f>Overview!J9</f>
        <v>1</v>
      </c>
      <c r="E28" s="179"/>
      <c r="F28" s="179"/>
      <c r="G28" s="179">
        <v>1</v>
      </c>
      <c r="H28" s="179">
        <v>1</v>
      </c>
      <c r="I28" s="190">
        <f t="shared" si="2"/>
        <v>0</v>
      </c>
      <c r="J28" s="179"/>
      <c r="K28" s="179"/>
      <c r="L28" s="179"/>
      <c r="M28" s="179"/>
      <c r="N28" s="179"/>
      <c r="O28" s="250"/>
    </row>
    <row r="29" spans="1:15" ht="45.75" thickBot="1" x14ac:dyDescent="0.3">
      <c r="A29" s="271" t="s">
        <v>183</v>
      </c>
      <c r="B29" s="193" t="s">
        <v>184</v>
      </c>
      <c r="C29" s="272">
        <v>0.9</v>
      </c>
      <c r="D29" s="189">
        <f>Overview!K9</f>
        <v>10619</v>
      </c>
      <c r="E29" s="180"/>
      <c r="F29" s="180"/>
      <c r="G29" s="180">
        <v>10170</v>
      </c>
      <c r="H29" s="180">
        <v>10619</v>
      </c>
      <c r="I29" s="190">
        <f t="shared" si="2"/>
        <v>0</v>
      </c>
      <c r="J29" s="180"/>
      <c r="K29" s="180"/>
      <c r="L29" s="180"/>
      <c r="M29" s="180"/>
      <c r="N29" s="180"/>
      <c r="O29" s="256"/>
    </row>
    <row r="30" spans="1:15" ht="15.75" thickBot="1" x14ac:dyDescent="0.3">
      <c r="A30" s="257"/>
      <c r="B30" s="264"/>
    </row>
    <row r="31" spans="1:15" x14ac:dyDescent="0.25">
      <c r="A31" s="273" t="s">
        <v>186</v>
      </c>
      <c r="B31" s="274"/>
      <c r="C31" s="275"/>
      <c r="D31" s="275"/>
      <c r="E31" s="275"/>
      <c r="F31" s="275"/>
      <c r="G31" s="275"/>
      <c r="H31" s="275"/>
      <c r="I31" s="275"/>
      <c r="J31" s="275"/>
      <c r="K31" s="275"/>
      <c r="L31" s="275"/>
      <c r="M31" s="275"/>
      <c r="N31" s="275"/>
      <c r="O31" s="276"/>
    </row>
    <row r="32" spans="1:15" ht="45" x14ac:dyDescent="0.25">
      <c r="A32" s="277" t="s">
        <v>187</v>
      </c>
      <c r="B32" s="191" t="s">
        <v>177</v>
      </c>
      <c r="C32" s="179">
        <v>12000</v>
      </c>
      <c r="D32" s="191"/>
      <c r="E32" s="179"/>
      <c r="F32" s="179"/>
      <c r="G32" s="179"/>
      <c r="H32" s="179"/>
      <c r="I32" s="179"/>
      <c r="J32" s="179"/>
      <c r="K32" s="179"/>
      <c r="L32" s="179"/>
      <c r="M32" s="179"/>
      <c r="N32" s="179"/>
      <c r="O32" s="250"/>
    </row>
    <row r="33" spans="1:15" ht="60" x14ac:dyDescent="0.25">
      <c r="A33" s="277" t="s">
        <v>188</v>
      </c>
      <c r="B33" s="191" t="s">
        <v>189</v>
      </c>
      <c r="C33" s="192" t="s">
        <v>82</v>
      </c>
      <c r="D33" s="192"/>
      <c r="E33" s="179"/>
      <c r="F33" s="179"/>
      <c r="G33" s="179"/>
      <c r="H33" s="179"/>
      <c r="I33" s="179"/>
      <c r="J33" s="179"/>
      <c r="K33" s="179"/>
      <c r="L33" s="179"/>
      <c r="M33" s="179"/>
      <c r="N33" s="179"/>
      <c r="O33" s="250"/>
    </row>
    <row r="34" spans="1:15" x14ac:dyDescent="0.25">
      <c r="A34" s="278" t="s">
        <v>190</v>
      </c>
      <c r="B34" s="279"/>
      <c r="C34" s="280"/>
      <c r="D34" s="280"/>
      <c r="E34" s="280"/>
      <c r="F34" s="280"/>
      <c r="G34" s="280"/>
      <c r="H34" s="280"/>
      <c r="I34" s="280"/>
      <c r="J34" s="280"/>
      <c r="K34" s="280"/>
      <c r="L34" s="280"/>
      <c r="M34" s="280"/>
      <c r="N34" s="280"/>
      <c r="O34" s="281"/>
    </row>
    <row r="35" spans="1:15" ht="30" x14ac:dyDescent="0.25">
      <c r="A35" s="277" t="s">
        <v>313</v>
      </c>
      <c r="B35" s="191" t="s">
        <v>314</v>
      </c>
      <c r="C35" s="179" t="s">
        <v>81</v>
      </c>
      <c r="D35" s="179">
        <f>Overview!M9</f>
        <v>10619</v>
      </c>
      <c r="E35" s="179"/>
      <c r="F35" s="179"/>
      <c r="G35" s="179">
        <v>10170</v>
      </c>
      <c r="H35" s="179">
        <v>10619</v>
      </c>
      <c r="I35" s="179">
        <f>D35-H35</f>
        <v>0</v>
      </c>
      <c r="J35" s="179"/>
      <c r="K35" s="179"/>
      <c r="L35" s="179"/>
      <c r="M35" s="179"/>
      <c r="N35" s="179"/>
      <c r="O35" s="250"/>
    </row>
    <row r="36" spans="1:15" ht="30" x14ac:dyDescent="0.25">
      <c r="A36" s="277" t="s">
        <v>224</v>
      </c>
      <c r="B36" s="191" t="s">
        <v>315</v>
      </c>
      <c r="C36" s="179" t="s">
        <v>81</v>
      </c>
      <c r="D36" s="179">
        <f>Overview!N9</f>
        <v>169</v>
      </c>
      <c r="E36" s="179"/>
      <c r="F36" s="179"/>
      <c r="G36" s="179">
        <v>41</v>
      </c>
      <c r="H36" s="179">
        <v>169</v>
      </c>
      <c r="I36" s="179">
        <f t="shared" ref="I36:I37" si="3">D36-H36</f>
        <v>0</v>
      </c>
      <c r="J36" s="179"/>
      <c r="K36" s="179"/>
      <c r="L36" s="179"/>
      <c r="M36" s="179"/>
      <c r="N36" s="179"/>
      <c r="O36" s="250"/>
    </row>
    <row r="37" spans="1:15" ht="82.5" customHeight="1" thickBot="1" x14ac:dyDescent="0.3">
      <c r="A37" s="282" t="s">
        <v>316</v>
      </c>
      <c r="B37" s="193" t="s">
        <v>317</v>
      </c>
      <c r="C37" s="180" t="s">
        <v>81</v>
      </c>
      <c r="D37" s="193">
        <f>Overview!O9</f>
        <v>493</v>
      </c>
      <c r="E37" s="180"/>
      <c r="F37" s="180"/>
      <c r="G37" s="180">
        <v>60</v>
      </c>
      <c r="H37" s="179">
        <v>493</v>
      </c>
      <c r="I37" s="179">
        <f t="shared" si="3"/>
        <v>0</v>
      </c>
      <c r="J37" s="180"/>
      <c r="K37" s="180"/>
      <c r="L37" s="180"/>
      <c r="M37" s="180"/>
      <c r="N37" s="180"/>
      <c r="O37" s="256"/>
    </row>
    <row r="38" spans="1:15" ht="15.75" thickBot="1" x14ac:dyDescent="0.3">
      <c r="A38" s="257"/>
      <c r="B38" s="264"/>
    </row>
    <row r="39" spans="1:15" x14ac:dyDescent="0.25">
      <c r="A39" s="283" t="s">
        <v>191</v>
      </c>
      <c r="B39" s="284"/>
      <c r="C39" s="285"/>
      <c r="D39" s="285"/>
      <c r="E39" s="285"/>
      <c r="F39" s="285"/>
      <c r="G39" s="285"/>
      <c r="H39" s="285"/>
      <c r="I39" s="285"/>
      <c r="J39" s="285"/>
      <c r="K39" s="285"/>
      <c r="L39" s="285"/>
      <c r="M39" s="285"/>
      <c r="N39" s="285"/>
      <c r="O39" s="286"/>
    </row>
    <row r="40" spans="1:15" ht="60" x14ac:dyDescent="0.25">
      <c r="A40" s="287" t="s">
        <v>192</v>
      </c>
      <c r="B40" s="191" t="s">
        <v>193</v>
      </c>
      <c r="C40" s="179">
        <v>10000</v>
      </c>
      <c r="D40" s="179">
        <f>Overview!P9+D44</f>
        <v>10498</v>
      </c>
      <c r="E40" s="179"/>
      <c r="F40" s="179"/>
      <c r="G40" s="179">
        <v>10055</v>
      </c>
      <c r="H40" s="179">
        <v>10055</v>
      </c>
      <c r="I40" s="179">
        <f>D40-H40</f>
        <v>443</v>
      </c>
      <c r="J40" s="179"/>
      <c r="K40" s="179"/>
      <c r="L40" s="179"/>
      <c r="M40" s="179"/>
      <c r="N40" s="179"/>
      <c r="O40" s="250"/>
    </row>
    <row r="41" spans="1:15" x14ac:dyDescent="0.25">
      <c r="A41" s="288" t="s">
        <v>194</v>
      </c>
      <c r="B41" s="289"/>
      <c r="C41" s="290"/>
      <c r="D41" s="290"/>
      <c r="E41" s="290"/>
      <c r="F41" s="290"/>
      <c r="G41" s="290"/>
      <c r="H41" s="290"/>
      <c r="I41" s="290"/>
      <c r="J41" s="290"/>
      <c r="K41" s="290"/>
      <c r="L41" s="290"/>
      <c r="M41" s="290"/>
      <c r="N41" s="290"/>
      <c r="O41" s="291"/>
    </row>
    <row r="42" spans="1:15" ht="45" x14ac:dyDescent="0.25">
      <c r="A42" s="287" t="s">
        <v>195</v>
      </c>
      <c r="B42" s="191" t="s">
        <v>318</v>
      </c>
      <c r="C42" s="179" t="s">
        <v>196</v>
      </c>
      <c r="D42" s="179"/>
      <c r="E42" s="179"/>
      <c r="F42" s="179"/>
      <c r="G42" s="179"/>
      <c r="H42" s="179"/>
      <c r="I42" s="179"/>
      <c r="J42" s="179"/>
      <c r="K42" s="179"/>
      <c r="L42" s="179"/>
      <c r="M42" s="179"/>
      <c r="N42" s="179"/>
      <c r="O42" s="250"/>
    </row>
    <row r="43" spans="1:15" ht="30" x14ac:dyDescent="0.25">
      <c r="A43" s="287"/>
      <c r="B43" s="191" t="s">
        <v>319</v>
      </c>
      <c r="C43" s="179">
        <v>10000</v>
      </c>
      <c r="D43" s="179">
        <f>Overview!P9</f>
        <v>10101</v>
      </c>
      <c r="E43" s="179"/>
      <c r="F43" s="179"/>
      <c r="G43" s="179">
        <v>9658</v>
      </c>
      <c r="H43" s="179">
        <v>9658</v>
      </c>
      <c r="I43" s="179">
        <f>D43-H43</f>
        <v>443</v>
      </c>
      <c r="J43" s="179"/>
      <c r="K43" s="179"/>
      <c r="L43" s="179"/>
      <c r="M43" s="179"/>
      <c r="N43" s="179"/>
      <c r="O43" s="250"/>
    </row>
    <row r="44" spans="1:15" ht="30" x14ac:dyDescent="0.25">
      <c r="A44" s="287"/>
      <c r="B44" s="191" t="s">
        <v>197</v>
      </c>
      <c r="C44" s="179" t="s">
        <v>185</v>
      </c>
      <c r="D44" s="179">
        <f>Overview!Q9</f>
        <v>397</v>
      </c>
      <c r="E44" s="179"/>
      <c r="F44" s="179"/>
      <c r="G44" s="179">
        <v>397</v>
      </c>
      <c r="H44" s="179">
        <v>397</v>
      </c>
      <c r="I44" s="179">
        <f>D44-H44</f>
        <v>0</v>
      </c>
      <c r="J44" s="179"/>
      <c r="K44" s="179"/>
      <c r="L44" s="179"/>
      <c r="M44" s="179"/>
      <c r="N44" s="179"/>
      <c r="O44" s="250"/>
    </row>
    <row r="45" spans="1:15" ht="30.6" customHeight="1" thickBot="1" x14ac:dyDescent="0.3">
      <c r="A45" s="292" t="s">
        <v>198</v>
      </c>
      <c r="B45" s="193" t="s">
        <v>199</v>
      </c>
      <c r="C45" s="293" t="s">
        <v>82</v>
      </c>
      <c r="D45" s="293"/>
      <c r="E45" s="180"/>
      <c r="F45" s="180"/>
      <c r="G45" s="180"/>
      <c r="H45" s="180"/>
      <c r="I45" s="180"/>
      <c r="J45" s="180"/>
      <c r="K45" s="180"/>
      <c r="L45" s="180"/>
      <c r="M45" s="180"/>
      <c r="N45" s="180"/>
      <c r="O45" s="256"/>
    </row>
    <row r="46" spans="1:15" ht="15.75" thickBot="1" x14ac:dyDescent="0.3">
      <c r="A46" s="264"/>
      <c r="B46" s="264"/>
    </row>
    <row r="47" spans="1:15" x14ac:dyDescent="0.25">
      <c r="A47" s="186" t="s">
        <v>200</v>
      </c>
      <c r="B47" s="195"/>
      <c r="C47" s="196"/>
      <c r="D47" s="196"/>
      <c r="E47" s="196"/>
      <c r="F47" s="196"/>
      <c r="G47" s="196"/>
      <c r="H47" s="196"/>
      <c r="I47" s="196"/>
      <c r="J47" s="196"/>
      <c r="K47" s="196"/>
      <c r="L47" s="196"/>
      <c r="M47" s="196"/>
      <c r="N47" s="196"/>
      <c r="O47" s="197"/>
    </row>
    <row r="48" spans="1:15" ht="45" x14ac:dyDescent="0.25">
      <c r="A48" s="294" t="s">
        <v>201</v>
      </c>
      <c r="B48" s="191" t="s">
        <v>202</v>
      </c>
      <c r="C48" s="179" t="s">
        <v>226</v>
      </c>
      <c r="D48" s="190">
        <f>SUM(D50,D52,D55,D57,D59)</f>
        <v>20433</v>
      </c>
      <c r="E48" s="179"/>
      <c r="F48" s="179"/>
      <c r="G48" s="179">
        <v>10636</v>
      </c>
      <c r="H48" s="190">
        <v>20433</v>
      </c>
      <c r="I48" s="190">
        <f>D48-H48</f>
        <v>0</v>
      </c>
      <c r="J48" s="179"/>
      <c r="K48" s="179"/>
      <c r="L48" s="179"/>
      <c r="M48" s="179"/>
      <c r="N48" s="179"/>
      <c r="O48" s="250"/>
    </row>
    <row r="49" spans="1:15" x14ac:dyDescent="0.25">
      <c r="A49" s="295" t="s">
        <v>203</v>
      </c>
      <c r="B49" s="296"/>
      <c r="C49" s="297"/>
      <c r="D49" s="297"/>
      <c r="E49" s="297"/>
      <c r="F49" s="297"/>
      <c r="G49" s="297"/>
      <c r="H49" s="297"/>
      <c r="I49" s="297"/>
      <c r="J49" s="297"/>
      <c r="K49" s="297"/>
      <c r="L49" s="297"/>
      <c r="M49" s="297"/>
      <c r="N49" s="297"/>
      <c r="O49" s="298"/>
    </row>
    <row r="50" spans="1:15" ht="45" x14ac:dyDescent="0.25">
      <c r="A50" s="294" t="s">
        <v>320</v>
      </c>
      <c r="B50" s="191" t="s">
        <v>321</v>
      </c>
      <c r="C50" s="179" t="s">
        <v>226</v>
      </c>
      <c r="D50" s="179">
        <f>Overview!S9</f>
        <v>10625</v>
      </c>
      <c r="E50" s="179"/>
      <c r="F50" s="179"/>
      <c r="G50" s="179">
        <v>8217</v>
      </c>
      <c r="H50" s="179">
        <v>10625</v>
      </c>
      <c r="I50" s="179">
        <f>D50-H50</f>
        <v>0</v>
      </c>
      <c r="J50" s="179"/>
      <c r="K50" s="179"/>
      <c r="L50" s="179"/>
      <c r="M50" s="179"/>
      <c r="N50" s="179"/>
      <c r="O50" s="250"/>
    </row>
    <row r="51" spans="1:15" ht="90" x14ac:dyDescent="0.25">
      <c r="A51" s="294" t="s">
        <v>322</v>
      </c>
      <c r="B51" s="191" t="s">
        <v>323</v>
      </c>
      <c r="C51" s="179">
        <v>25</v>
      </c>
      <c r="D51" s="190">
        <f>Overview!T9</f>
        <v>12</v>
      </c>
      <c r="E51" s="179"/>
      <c r="F51" s="179"/>
      <c r="G51" s="179">
        <v>3</v>
      </c>
      <c r="H51" s="179">
        <v>12</v>
      </c>
      <c r="I51" s="179">
        <f t="shared" ref="I51:I53" si="4">D51-H51</f>
        <v>0</v>
      </c>
      <c r="J51" s="179"/>
      <c r="K51" s="179"/>
      <c r="L51" s="179"/>
      <c r="M51" s="179"/>
      <c r="N51" s="179"/>
      <c r="O51" s="250"/>
    </row>
    <row r="52" spans="1:15" x14ac:dyDescent="0.25">
      <c r="A52" s="294"/>
      <c r="B52" s="299" t="s">
        <v>229</v>
      </c>
      <c r="C52" s="179"/>
      <c r="D52" s="190">
        <f>Overview!U9</f>
        <v>5419</v>
      </c>
      <c r="E52" s="179"/>
      <c r="F52" s="179"/>
      <c r="G52" s="179">
        <v>556</v>
      </c>
      <c r="H52" s="179">
        <v>5419</v>
      </c>
      <c r="I52" s="179">
        <f t="shared" si="4"/>
        <v>0</v>
      </c>
      <c r="J52" s="179"/>
      <c r="K52" s="179"/>
      <c r="L52" s="179"/>
      <c r="M52" s="179"/>
      <c r="N52" s="179"/>
      <c r="O52" s="250"/>
    </row>
    <row r="53" spans="1:15" ht="30" x14ac:dyDescent="0.25">
      <c r="A53" s="294" t="s">
        <v>204</v>
      </c>
      <c r="B53" s="299" t="s">
        <v>324</v>
      </c>
      <c r="C53" s="179" t="s">
        <v>81</v>
      </c>
      <c r="D53" s="190">
        <f>Overview!V9</f>
        <v>15</v>
      </c>
      <c r="E53" s="179"/>
      <c r="F53" s="179"/>
      <c r="G53" s="179">
        <v>14</v>
      </c>
      <c r="H53" s="179">
        <v>15</v>
      </c>
      <c r="I53" s="179">
        <f t="shared" si="4"/>
        <v>0</v>
      </c>
      <c r="J53" s="179"/>
      <c r="K53" s="179"/>
      <c r="L53" s="179"/>
      <c r="M53" s="179"/>
      <c r="N53" s="179"/>
      <c r="O53" s="250"/>
    </row>
    <row r="54" spans="1:15" ht="45" x14ac:dyDescent="0.25">
      <c r="A54" s="294" t="s">
        <v>205</v>
      </c>
      <c r="B54" s="299" t="s">
        <v>325</v>
      </c>
      <c r="C54" s="179" t="s">
        <v>81</v>
      </c>
      <c r="D54" s="179"/>
      <c r="E54" s="179"/>
      <c r="F54" s="179"/>
      <c r="G54" s="179"/>
      <c r="H54" s="179"/>
      <c r="I54" s="179"/>
      <c r="J54" s="179"/>
      <c r="K54" s="179"/>
      <c r="L54" s="179"/>
      <c r="M54" s="179"/>
      <c r="N54" s="179"/>
      <c r="O54" s="250"/>
    </row>
    <row r="55" spans="1:15" x14ac:dyDescent="0.25">
      <c r="A55" s="294"/>
      <c r="B55" s="299" t="s">
        <v>228</v>
      </c>
      <c r="C55" s="179"/>
      <c r="D55" s="190">
        <f>Overview!X9</f>
        <v>4111</v>
      </c>
      <c r="E55" s="179"/>
      <c r="F55" s="179"/>
      <c r="G55" s="179">
        <v>1809</v>
      </c>
      <c r="H55" s="179">
        <v>4111</v>
      </c>
      <c r="I55" s="190">
        <f>D55-H55</f>
        <v>0</v>
      </c>
      <c r="J55" s="179"/>
      <c r="K55" s="179"/>
      <c r="L55" s="179"/>
      <c r="M55" s="179"/>
      <c r="N55" s="179"/>
      <c r="O55" s="250"/>
    </row>
    <row r="56" spans="1:15" ht="60" x14ac:dyDescent="0.25">
      <c r="A56" s="294" t="s">
        <v>206</v>
      </c>
      <c r="B56" s="299" t="s">
        <v>207</v>
      </c>
      <c r="C56" s="179" t="s">
        <v>82</v>
      </c>
      <c r="D56" s="179"/>
      <c r="E56" s="179"/>
      <c r="F56" s="179"/>
      <c r="G56" s="179"/>
      <c r="H56" s="179"/>
      <c r="I56" s="179"/>
      <c r="J56" s="179"/>
      <c r="K56" s="179"/>
      <c r="L56" s="179"/>
      <c r="M56" s="179"/>
      <c r="N56" s="179"/>
      <c r="O56" s="250"/>
    </row>
    <row r="57" spans="1:15" x14ac:dyDescent="0.25">
      <c r="A57" s="294"/>
      <c r="B57" s="299" t="s">
        <v>230</v>
      </c>
      <c r="C57" s="179"/>
      <c r="D57" s="190">
        <f>Overview!Z9</f>
        <v>271</v>
      </c>
      <c r="E57" s="179"/>
      <c r="F57" s="179"/>
      <c r="G57" s="179">
        <v>23</v>
      </c>
      <c r="H57" s="179">
        <v>271</v>
      </c>
      <c r="I57" s="190">
        <f>D57-H57</f>
        <v>0</v>
      </c>
      <c r="J57" s="179"/>
      <c r="K57" s="179"/>
      <c r="L57" s="179"/>
      <c r="M57" s="179"/>
      <c r="N57" s="179"/>
      <c r="O57" s="250"/>
    </row>
    <row r="58" spans="1:15" ht="45" x14ac:dyDescent="0.25">
      <c r="A58" s="294" t="s">
        <v>208</v>
      </c>
      <c r="B58" s="299" t="s">
        <v>209</v>
      </c>
      <c r="C58" s="179" t="s">
        <v>196</v>
      </c>
      <c r="D58" s="179"/>
      <c r="E58" s="179"/>
      <c r="F58" s="179"/>
      <c r="G58" s="179"/>
      <c r="H58" s="179"/>
      <c r="I58" s="179"/>
      <c r="J58" s="179"/>
      <c r="K58" s="179"/>
      <c r="L58" s="179"/>
      <c r="M58" s="179"/>
      <c r="N58" s="179"/>
      <c r="O58" s="250"/>
    </row>
    <row r="59" spans="1:15" x14ac:dyDescent="0.25">
      <c r="A59" s="294"/>
      <c r="B59" s="299" t="s">
        <v>231</v>
      </c>
      <c r="C59" s="179"/>
      <c r="D59" s="190">
        <f>Overview!AA9</f>
        <v>7</v>
      </c>
      <c r="E59" s="179"/>
      <c r="F59" s="179"/>
      <c r="G59" s="179">
        <v>0</v>
      </c>
      <c r="H59" s="179">
        <v>7</v>
      </c>
      <c r="I59" s="190">
        <f>D59-H59</f>
        <v>0</v>
      </c>
      <c r="J59" s="179"/>
      <c r="K59" s="179"/>
      <c r="L59" s="179"/>
      <c r="M59" s="179"/>
      <c r="N59" s="179"/>
      <c r="O59" s="250"/>
    </row>
    <row r="60" spans="1:15" ht="43.15" customHeight="1" x14ac:dyDescent="0.25">
      <c r="A60" s="348" t="s">
        <v>208</v>
      </c>
      <c r="B60" s="191" t="s">
        <v>209</v>
      </c>
      <c r="C60" s="179" t="s">
        <v>196</v>
      </c>
      <c r="D60" s="179" t="s">
        <v>307</v>
      </c>
      <c r="E60" s="179"/>
      <c r="F60" s="179"/>
      <c r="G60" s="179" t="s">
        <v>307</v>
      </c>
      <c r="H60" s="179" t="s">
        <v>307</v>
      </c>
      <c r="I60" s="179" t="s">
        <v>308</v>
      </c>
      <c r="J60" s="179"/>
      <c r="K60" s="179"/>
      <c r="L60" s="179"/>
      <c r="M60" s="179"/>
      <c r="N60" s="179"/>
      <c r="O60" s="250"/>
    </row>
    <row r="61" spans="1:15" ht="43.15" customHeight="1" x14ac:dyDescent="0.25">
      <c r="A61" s="348"/>
      <c r="B61" s="191" t="s">
        <v>210</v>
      </c>
      <c r="C61" s="179" t="s">
        <v>196</v>
      </c>
      <c r="D61" s="179" t="s">
        <v>308</v>
      </c>
      <c r="E61" s="179"/>
      <c r="F61" s="179"/>
      <c r="G61" s="179" t="s">
        <v>308</v>
      </c>
      <c r="H61" s="179" t="s">
        <v>308</v>
      </c>
      <c r="I61" s="179" t="s">
        <v>308</v>
      </c>
      <c r="J61" s="179"/>
      <c r="K61" s="179"/>
      <c r="L61" s="179"/>
      <c r="M61" s="179"/>
      <c r="N61" s="179"/>
      <c r="O61" s="250"/>
    </row>
    <row r="62" spans="1:15" ht="43.15" customHeight="1" x14ac:dyDescent="0.25">
      <c r="A62" s="348"/>
      <c r="B62" s="191" t="s">
        <v>145</v>
      </c>
      <c r="C62" s="179" t="s">
        <v>196</v>
      </c>
      <c r="D62" s="179" t="s">
        <v>307</v>
      </c>
      <c r="E62" s="179"/>
      <c r="F62" s="179"/>
      <c r="G62" s="179" t="s">
        <v>307</v>
      </c>
      <c r="H62" s="179" t="s">
        <v>307</v>
      </c>
      <c r="I62" s="179" t="s">
        <v>308</v>
      </c>
      <c r="J62" s="179"/>
      <c r="K62" s="179"/>
      <c r="L62" s="179"/>
      <c r="M62" s="179"/>
      <c r="N62" s="179"/>
      <c r="O62" s="250"/>
    </row>
    <row r="63" spans="1:15" ht="43.15" customHeight="1" x14ac:dyDescent="0.25">
      <c r="A63" s="348"/>
      <c r="B63" s="191" t="s">
        <v>211</v>
      </c>
      <c r="C63" s="179" t="s">
        <v>196</v>
      </c>
      <c r="D63" s="179" t="s">
        <v>308</v>
      </c>
      <c r="E63" s="179"/>
      <c r="F63" s="179"/>
      <c r="G63" s="179" t="s">
        <v>308</v>
      </c>
      <c r="H63" s="179" t="s">
        <v>308</v>
      </c>
      <c r="I63" s="179" t="s">
        <v>308</v>
      </c>
      <c r="J63" s="179"/>
      <c r="K63" s="179"/>
      <c r="L63" s="179"/>
      <c r="M63" s="179"/>
      <c r="N63" s="179"/>
      <c r="O63" s="250"/>
    </row>
    <row r="64" spans="1:15" ht="43.15" customHeight="1" thickBot="1" x14ac:dyDescent="0.3">
      <c r="A64" s="349"/>
      <c r="B64" s="193" t="s">
        <v>1</v>
      </c>
      <c r="C64" s="180" t="s">
        <v>196</v>
      </c>
      <c r="D64" s="180" t="s">
        <v>308</v>
      </c>
      <c r="E64" s="180"/>
      <c r="F64" s="180"/>
      <c r="G64" s="180" t="s">
        <v>308</v>
      </c>
      <c r="H64" s="180" t="s">
        <v>308</v>
      </c>
      <c r="I64" s="180" t="s">
        <v>308</v>
      </c>
      <c r="J64" s="180"/>
      <c r="K64" s="180"/>
      <c r="L64" s="180"/>
      <c r="M64" s="180"/>
      <c r="N64" s="180"/>
      <c r="O64" s="256"/>
    </row>
  </sheetData>
  <mergeCells count="7">
    <mergeCell ref="D2:O2"/>
    <mergeCell ref="A5:A6"/>
    <mergeCell ref="A24:A27"/>
    <mergeCell ref="A60:A64"/>
    <mergeCell ref="A2:A3"/>
    <mergeCell ref="B2:B3"/>
    <mergeCell ref="C2:C3"/>
  </mergeCells>
  <dataValidations count="1">
    <dataValidation type="list" allowBlank="1" showInputMessage="1" showErrorMessage="1" sqref="D42 IZ42 SV42 ACR42 AMN42 AWJ42 BGF42 BQB42 BZX42 CJT42 CTP42 DDL42 DNH42 DXD42 EGZ42 EQV42 FAR42 FKN42 FUJ42 GEF42 GOB42 GXX42 HHT42 HRP42 IBL42 ILH42 IVD42 JEZ42 JOV42 JYR42 KIN42 KSJ42 LCF42 LMB42 LVX42 MFT42 MPP42 MZL42 NJH42 NTD42 OCZ42 OMV42 OWR42 PGN42 PQJ42 QAF42 QKB42 QTX42 RDT42 RNP42 RXL42 SHH42 SRD42 TAZ42 TKV42 TUR42 UEN42 UOJ42 UYF42 VIB42 VRX42 WBT42 WLP42 WVL42 D65580 IZ65580 SV65580 ACR65580 AMN65580 AWJ65580 BGF65580 BQB65580 BZX65580 CJT65580 CTP65580 DDL65580 DNH65580 DXD65580 EGZ65580 EQV65580 FAR65580 FKN65580 FUJ65580 GEF65580 GOB65580 GXX65580 HHT65580 HRP65580 IBL65580 ILH65580 IVD65580 JEZ65580 JOV65580 JYR65580 KIN65580 KSJ65580 LCF65580 LMB65580 LVX65580 MFT65580 MPP65580 MZL65580 NJH65580 NTD65580 OCZ65580 OMV65580 OWR65580 PGN65580 PQJ65580 QAF65580 QKB65580 QTX65580 RDT65580 RNP65580 RXL65580 SHH65580 SRD65580 TAZ65580 TKV65580 TUR65580 UEN65580 UOJ65580 UYF65580 VIB65580 VRX65580 WBT65580 WLP65580 WVL65580 D131116 IZ131116 SV131116 ACR131116 AMN131116 AWJ131116 BGF131116 BQB131116 BZX131116 CJT131116 CTP131116 DDL131116 DNH131116 DXD131116 EGZ131116 EQV131116 FAR131116 FKN131116 FUJ131116 GEF131116 GOB131116 GXX131116 HHT131116 HRP131116 IBL131116 ILH131116 IVD131116 JEZ131116 JOV131116 JYR131116 KIN131116 KSJ131116 LCF131116 LMB131116 LVX131116 MFT131116 MPP131116 MZL131116 NJH131116 NTD131116 OCZ131116 OMV131116 OWR131116 PGN131116 PQJ131116 QAF131116 QKB131116 QTX131116 RDT131116 RNP131116 RXL131116 SHH131116 SRD131116 TAZ131116 TKV131116 TUR131116 UEN131116 UOJ131116 UYF131116 VIB131116 VRX131116 WBT131116 WLP131116 WVL131116 D196652 IZ196652 SV196652 ACR196652 AMN196652 AWJ196652 BGF196652 BQB196652 BZX196652 CJT196652 CTP196652 DDL196652 DNH196652 DXD196652 EGZ196652 EQV196652 FAR196652 FKN196652 FUJ196652 GEF196652 GOB196652 GXX196652 HHT196652 HRP196652 IBL196652 ILH196652 IVD196652 JEZ196652 JOV196652 JYR196652 KIN196652 KSJ196652 LCF196652 LMB196652 LVX196652 MFT196652 MPP196652 MZL196652 NJH196652 NTD196652 OCZ196652 OMV196652 OWR196652 PGN196652 PQJ196652 QAF196652 QKB196652 QTX196652 RDT196652 RNP196652 RXL196652 SHH196652 SRD196652 TAZ196652 TKV196652 TUR196652 UEN196652 UOJ196652 UYF196652 VIB196652 VRX196652 WBT196652 WLP196652 WVL196652 D262188 IZ262188 SV262188 ACR262188 AMN262188 AWJ262188 BGF262188 BQB262188 BZX262188 CJT262188 CTP262188 DDL262188 DNH262188 DXD262188 EGZ262188 EQV262188 FAR262188 FKN262188 FUJ262188 GEF262188 GOB262188 GXX262188 HHT262188 HRP262188 IBL262188 ILH262188 IVD262188 JEZ262188 JOV262188 JYR262188 KIN262188 KSJ262188 LCF262188 LMB262188 LVX262188 MFT262188 MPP262188 MZL262188 NJH262188 NTD262188 OCZ262188 OMV262188 OWR262188 PGN262188 PQJ262188 QAF262188 QKB262188 QTX262188 RDT262188 RNP262188 RXL262188 SHH262188 SRD262188 TAZ262188 TKV262188 TUR262188 UEN262188 UOJ262188 UYF262188 VIB262188 VRX262188 WBT262188 WLP262188 WVL262188 D327724 IZ327724 SV327724 ACR327724 AMN327724 AWJ327724 BGF327724 BQB327724 BZX327724 CJT327724 CTP327724 DDL327724 DNH327724 DXD327724 EGZ327724 EQV327724 FAR327724 FKN327724 FUJ327724 GEF327724 GOB327724 GXX327724 HHT327724 HRP327724 IBL327724 ILH327724 IVD327724 JEZ327724 JOV327724 JYR327724 KIN327724 KSJ327724 LCF327724 LMB327724 LVX327724 MFT327724 MPP327724 MZL327724 NJH327724 NTD327724 OCZ327724 OMV327724 OWR327724 PGN327724 PQJ327724 QAF327724 QKB327724 QTX327724 RDT327724 RNP327724 RXL327724 SHH327724 SRD327724 TAZ327724 TKV327724 TUR327724 UEN327724 UOJ327724 UYF327724 VIB327724 VRX327724 WBT327724 WLP327724 WVL327724 D393260 IZ393260 SV393260 ACR393260 AMN393260 AWJ393260 BGF393260 BQB393260 BZX393260 CJT393260 CTP393260 DDL393260 DNH393260 DXD393260 EGZ393260 EQV393260 FAR393260 FKN393260 FUJ393260 GEF393260 GOB393260 GXX393260 HHT393260 HRP393260 IBL393260 ILH393260 IVD393260 JEZ393260 JOV393260 JYR393260 KIN393260 KSJ393260 LCF393260 LMB393260 LVX393260 MFT393260 MPP393260 MZL393260 NJH393260 NTD393260 OCZ393260 OMV393260 OWR393260 PGN393260 PQJ393260 QAF393260 QKB393260 QTX393260 RDT393260 RNP393260 RXL393260 SHH393260 SRD393260 TAZ393260 TKV393260 TUR393260 UEN393260 UOJ393260 UYF393260 VIB393260 VRX393260 WBT393260 WLP393260 WVL393260 D458796 IZ458796 SV458796 ACR458796 AMN458796 AWJ458796 BGF458796 BQB458796 BZX458796 CJT458796 CTP458796 DDL458796 DNH458796 DXD458796 EGZ458796 EQV458796 FAR458796 FKN458796 FUJ458796 GEF458796 GOB458796 GXX458796 HHT458796 HRP458796 IBL458796 ILH458796 IVD458796 JEZ458796 JOV458796 JYR458796 KIN458796 KSJ458796 LCF458796 LMB458796 LVX458796 MFT458796 MPP458796 MZL458796 NJH458796 NTD458796 OCZ458796 OMV458796 OWR458796 PGN458796 PQJ458796 QAF458796 QKB458796 QTX458796 RDT458796 RNP458796 RXL458796 SHH458796 SRD458796 TAZ458796 TKV458796 TUR458796 UEN458796 UOJ458796 UYF458796 VIB458796 VRX458796 WBT458796 WLP458796 WVL458796 D524332 IZ524332 SV524332 ACR524332 AMN524332 AWJ524332 BGF524332 BQB524332 BZX524332 CJT524332 CTP524332 DDL524332 DNH524332 DXD524332 EGZ524332 EQV524332 FAR524332 FKN524332 FUJ524332 GEF524332 GOB524332 GXX524332 HHT524332 HRP524332 IBL524332 ILH524332 IVD524332 JEZ524332 JOV524332 JYR524332 KIN524332 KSJ524332 LCF524332 LMB524332 LVX524332 MFT524332 MPP524332 MZL524332 NJH524332 NTD524332 OCZ524332 OMV524332 OWR524332 PGN524332 PQJ524332 QAF524332 QKB524332 QTX524332 RDT524332 RNP524332 RXL524332 SHH524332 SRD524332 TAZ524332 TKV524332 TUR524332 UEN524332 UOJ524332 UYF524332 VIB524332 VRX524332 WBT524332 WLP524332 WVL524332 D589868 IZ589868 SV589868 ACR589868 AMN589868 AWJ589868 BGF589868 BQB589868 BZX589868 CJT589868 CTP589868 DDL589868 DNH589868 DXD589868 EGZ589868 EQV589868 FAR589868 FKN589868 FUJ589868 GEF589868 GOB589868 GXX589868 HHT589868 HRP589868 IBL589868 ILH589868 IVD589868 JEZ589868 JOV589868 JYR589868 KIN589868 KSJ589868 LCF589868 LMB589868 LVX589868 MFT589868 MPP589868 MZL589868 NJH589868 NTD589868 OCZ589868 OMV589868 OWR589868 PGN589868 PQJ589868 QAF589868 QKB589868 QTX589868 RDT589868 RNP589868 RXL589868 SHH589868 SRD589868 TAZ589868 TKV589868 TUR589868 UEN589868 UOJ589868 UYF589868 VIB589868 VRX589868 WBT589868 WLP589868 WVL589868 D655404 IZ655404 SV655404 ACR655404 AMN655404 AWJ655404 BGF655404 BQB655404 BZX655404 CJT655404 CTP655404 DDL655404 DNH655404 DXD655404 EGZ655404 EQV655404 FAR655404 FKN655404 FUJ655404 GEF655404 GOB655404 GXX655404 HHT655404 HRP655404 IBL655404 ILH655404 IVD655404 JEZ655404 JOV655404 JYR655404 KIN655404 KSJ655404 LCF655404 LMB655404 LVX655404 MFT655404 MPP655404 MZL655404 NJH655404 NTD655404 OCZ655404 OMV655404 OWR655404 PGN655404 PQJ655404 QAF655404 QKB655404 QTX655404 RDT655404 RNP655404 RXL655404 SHH655404 SRD655404 TAZ655404 TKV655404 TUR655404 UEN655404 UOJ655404 UYF655404 VIB655404 VRX655404 WBT655404 WLP655404 WVL655404 D720940 IZ720940 SV720940 ACR720940 AMN720940 AWJ720940 BGF720940 BQB720940 BZX720940 CJT720940 CTP720940 DDL720940 DNH720940 DXD720940 EGZ720940 EQV720940 FAR720940 FKN720940 FUJ720940 GEF720940 GOB720940 GXX720940 HHT720940 HRP720940 IBL720940 ILH720940 IVD720940 JEZ720940 JOV720940 JYR720940 KIN720940 KSJ720940 LCF720940 LMB720940 LVX720940 MFT720940 MPP720940 MZL720940 NJH720940 NTD720940 OCZ720940 OMV720940 OWR720940 PGN720940 PQJ720940 QAF720940 QKB720940 QTX720940 RDT720940 RNP720940 RXL720940 SHH720940 SRD720940 TAZ720940 TKV720940 TUR720940 UEN720940 UOJ720940 UYF720940 VIB720940 VRX720940 WBT720940 WLP720940 WVL720940 D786476 IZ786476 SV786476 ACR786476 AMN786476 AWJ786476 BGF786476 BQB786476 BZX786476 CJT786476 CTP786476 DDL786476 DNH786476 DXD786476 EGZ786476 EQV786476 FAR786476 FKN786476 FUJ786476 GEF786476 GOB786476 GXX786476 HHT786476 HRP786476 IBL786476 ILH786476 IVD786476 JEZ786476 JOV786476 JYR786476 KIN786476 KSJ786476 LCF786476 LMB786476 LVX786476 MFT786476 MPP786476 MZL786476 NJH786476 NTD786476 OCZ786476 OMV786476 OWR786476 PGN786476 PQJ786476 QAF786476 QKB786476 QTX786476 RDT786476 RNP786476 RXL786476 SHH786476 SRD786476 TAZ786476 TKV786476 TUR786476 UEN786476 UOJ786476 UYF786476 VIB786476 VRX786476 WBT786476 WLP786476 WVL786476 D852012 IZ852012 SV852012 ACR852012 AMN852012 AWJ852012 BGF852012 BQB852012 BZX852012 CJT852012 CTP852012 DDL852012 DNH852012 DXD852012 EGZ852012 EQV852012 FAR852012 FKN852012 FUJ852012 GEF852012 GOB852012 GXX852012 HHT852012 HRP852012 IBL852012 ILH852012 IVD852012 JEZ852012 JOV852012 JYR852012 KIN852012 KSJ852012 LCF852012 LMB852012 LVX852012 MFT852012 MPP852012 MZL852012 NJH852012 NTD852012 OCZ852012 OMV852012 OWR852012 PGN852012 PQJ852012 QAF852012 QKB852012 QTX852012 RDT852012 RNP852012 RXL852012 SHH852012 SRD852012 TAZ852012 TKV852012 TUR852012 UEN852012 UOJ852012 UYF852012 VIB852012 VRX852012 WBT852012 WLP852012 WVL852012 D917548 IZ917548 SV917548 ACR917548 AMN917548 AWJ917548 BGF917548 BQB917548 BZX917548 CJT917548 CTP917548 DDL917548 DNH917548 DXD917548 EGZ917548 EQV917548 FAR917548 FKN917548 FUJ917548 GEF917548 GOB917548 GXX917548 HHT917548 HRP917548 IBL917548 ILH917548 IVD917548 JEZ917548 JOV917548 JYR917548 KIN917548 KSJ917548 LCF917548 LMB917548 LVX917548 MFT917548 MPP917548 MZL917548 NJH917548 NTD917548 OCZ917548 OMV917548 OWR917548 PGN917548 PQJ917548 QAF917548 QKB917548 QTX917548 RDT917548 RNP917548 RXL917548 SHH917548 SRD917548 TAZ917548 TKV917548 TUR917548 UEN917548 UOJ917548 UYF917548 VIB917548 VRX917548 WBT917548 WLP917548 WVL917548 D983084 IZ983084 SV983084 ACR983084 AMN983084 AWJ983084 BGF983084 BQB983084 BZX983084 CJT983084 CTP983084 DDL983084 DNH983084 DXD983084 EGZ983084 EQV983084 FAR983084 FKN983084 FUJ983084 GEF983084 GOB983084 GXX983084 HHT983084 HRP983084 IBL983084 ILH983084 IVD983084 JEZ983084 JOV983084 JYR983084 KIN983084 KSJ983084 LCF983084 LMB983084 LVX983084 MFT983084 MPP983084 MZL983084 NJH983084 NTD983084 OCZ983084 OMV983084 OWR983084 PGN983084 PQJ983084 QAF983084 QKB983084 QTX983084 RDT983084 RNP983084 RXL983084 SHH983084 SRD983084 TAZ983084 TKV983084 TUR983084 UEN983084 UOJ983084 UYF983084 VIB983084 VRX983084 WBT983084 WLP983084 WVL983084 WVL983098:WVL983103 IZ58:IZ64 SV58:SV64 ACR58:ACR64 AMN58:AMN64 AWJ58:AWJ64 BGF58:BGF64 BQB58:BQB64 BZX58:BZX64 CJT58:CJT64 CTP58:CTP64 DDL58:DDL64 DNH58:DNH64 DXD58:DXD64 EGZ58:EGZ64 EQV58:EQV64 FAR58:FAR64 FKN58:FKN64 FUJ58:FUJ64 GEF58:GEF64 GOB58:GOB64 GXX58:GXX64 HHT58:HHT64 HRP58:HRP64 IBL58:IBL64 ILH58:ILH64 IVD58:IVD64 JEZ58:JEZ64 JOV58:JOV64 JYR58:JYR64 KIN58:KIN64 KSJ58:KSJ64 LCF58:LCF64 LMB58:LMB64 LVX58:LVX64 MFT58:MFT64 MPP58:MPP64 MZL58:MZL64 NJH58:NJH64 NTD58:NTD64 OCZ58:OCZ64 OMV58:OMV64 OWR58:OWR64 PGN58:PGN64 PQJ58:PQJ64 QAF58:QAF64 QKB58:QKB64 QTX58:QTX64 RDT58:RDT64 RNP58:RNP64 RXL58:RXL64 SHH58:SHH64 SRD58:SRD64 TAZ58:TAZ64 TKV58:TKV64 TUR58:TUR64 UEN58:UEN64 UOJ58:UOJ64 UYF58:UYF64 VIB58:VIB64 VRX58:VRX64 WBT58:WBT64 WLP58:WLP64 WVL58:WVL64 D65594:D65599 IZ65594:IZ65599 SV65594:SV65599 ACR65594:ACR65599 AMN65594:AMN65599 AWJ65594:AWJ65599 BGF65594:BGF65599 BQB65594:BQB65599 BZX65594:BZX65599 CJT65594:CJT65599 CTP65594:CTP65599 DDL65594:DDL65599 DNH65594:DNH65599 DXD65594:DXD65599 EGZ65594:EGZ65599 EQV65594:EQV65599 FAR65594:FAR65599 FKN65594:FKN65599 FUJ65594:FUJ65599 GEF65594:GEF65599 GOB65594:GOB65599 GXX65594:GXX65599 HHT65594:HHT65599 HRP65594:HRP65599 IBL65594:IBL65599 ILH65594:ILH65599 IVD65594:IVD65599 JEZ65594:JEZ65599 JOV65594:JOV65599 JYR65594:JYR65599 KIN65594:KIN65599 KSJ65594:KSJ65599 LCF65594:LCF65599 LMB65594:LMB65599 LVX65594:LVX65599 MFT65594:MFT65599 MPP65594:MPP65599 MZL65594:MZL65599 NJH65594:NJH65599 NTD65594:NTD65599 OCZ65594:OCZ65599 OMV65594:OMV65599 OWR65594:OWR65599 PGN65594:PGN65599 PQJ65594:PQJ65599 QAF65594:QAF65599 QKB65594:QKB65599 QTX65594:QTX65599 RDT65594:RDT65599 RNP65594:RNP65599 RXL65594:RXL65599 SHH65594:SHH65599 SRD65594:SRD65599 TAZ65594:TAZ65599 TKV65594:TKV65599 TUR65594:TUR65599 UEN65594:UEN65599 UOJ65594:UOJ65599 UYF65594:UYF65599 VIB65594:VIB65599 VRX65594:VRX65599 WBT65594:WBT65599 WLP65594:WLP65599 WVL65594:WVL65599 D131130:D131135 IZ131130:IZ131135 SV131130:SV131135 ACR131130:ACR131135 AMN131130:AMN131135 AWJ131130:AWJ131135 BGF131130:BGF131135 BQB131130:BQB131135 BZX131130:BZX131135 CJT131130:CJT131135 CTP131130:CTP131135 DDL131130:DDL131135 DNH131130:DNH131135 DXD131130:DXD131135 EGZ131130:EGZ131135 EQV131130:EQV131135 FAR131130:FAR131135 FKN131130:FKN131135 FUJ131130:FUJ131135 GEF131130:GEF131135 GOB131130:GOB131135 GXX131130:GXX131135 HHT131130:HHT131135 HRP131130:HRP131135 IBL131130:IBL131135 ILH131130:ILH131135 IVD131130:IVD131135 JEZ131130:JEZ131135 JOV131130:JOV131135 JYR131130:JYR131135 KIN131130:KIN131135 KSJ131130:KSJ131135 LCF131130:LCF131135 LMB131130:LMB131135 LVX131130:LVX131135 MFT131130:MFT131135 MPP131130:MPP131135 MZL131130:MZL131135 NJH131130:NJH131135 NTD131130:NTD131135 OCZ131130:OCZ131135 OMV131130:OMV131135 OWR131130:OWR131135 PGN131130:PGN131135 PQJ131130:PQJ131135 QAF131130:QAF131135 QKB131130:QKB131135 QTX131130:QTX131135 RDT131130:RDT131135 RNP131130:RNP131135 RXL131130:RXL131135 SHH131130:SHH131135 SRD131130:SRD131135 TAZ131130:TAZ131135 TKV131130:TKV131135 TUR131130:TUR131135 UEN131130:UEN131135 UOJ131130:UOJ131135 UYF131130:UYF131135 VIB131130:VIB131135 VRX131130:VRX131135 WBT131130:WBT131135 WLP131130:WLP131135 WVL131130:WVL131135 D196666:D196671 IZ196666:IZ196671 SV196666:SV196671 ACR196666:ACR196671 AMN196666:AMN196671 AWJ196666:AWJ196671 BGF196666:BGF196671 BQB196666:BQB196671 BZX196666:BZX196671 CJT196666:CJT196671 CTP196666:CTP196671 DDL196666:DDL196671 DNH196666:DNH196671 DXD196666:DXD196671 EGZ196666:EGZ196671 EQV196666:EQV196671 FAR196666:FAR196671 FKN196666:FKN196671 FUJ196666:FUJ196671 GEF196666:GEF196671 GOB196666:GOB196671 GXX196666:GXX196671 HHT196666:HHT196671 HRP196666:HRP196671 IBL196666:IBL196671 ILH196666:ILH196671 IVD196666:IVD196671 JEZ196666:JEZ196671 JOV196666:JOV196671 JYR196666:JYR196671 KIN196666:KIN196671 KSJ196666:KSJ196671 LCF196666:LCF196671 LMB196666:LMB196671 LVX196666:LVX196671 MFT196666:MFT196671 MPP196666:MPP196671 MZL196666:MZL196671 NJH196666:NJH196671 NTD196666:NTD196671 OCZ196666:OCZ196671 OMV196666:OMV196671 OWR196666:OWR196671 PGN196666:PGN196671 PQJ196666:PQJ196671 QAF196666:QAF196671 QKB196666:QKB196671 QTX196666:QTX196671 RDT196666:RDT196671 RNP196666:RNP196671 RXL196666:RXL196671 SHH196666:SHH196671 SRD196666:SRD196671 TAZ196666:TAZ196671 TKV196666:TKV196671 TUR196666:TUR196671 UEN196666:UEN196671 UOJ196666:UOJ196671 UYF196666:UYF196671 VIB196666:VIB196671 VRX196666:VRX196671 WBT196666:WBT196671 WLP196666:WLP196671 WVL196666:WVL196671 D262202:D262207 IZ262202:IZ262207 SV262202:SV262207 ACR262202:ACR262207 AMN262202:AMN262207 AWJ262202:AWJ262207 BGF262202:BGF262207 BQB262202:BQB262207 BZX262202:BZX262207 CJT262202:CJT262207 CTP262202:CTP262207 DDL262202:DDL262207 DNH262202:DNH262207 DXD262202:DXD262207 EGZ262202:EGZ262207 EQV262202:EQV262207 FAR262202:FAR262207 FKN262202:FKN262207 FUJ262202:FUJ262207 GEF262202:GEF262207 GOB262202:GOB262207 GXX262202:GXX262207 HHT262202:HHT262207 HRP262202:HRP262207 IBL262202:IBL262207 ILH262202:ILH262207 IVD262202:IVD262207 JEZ262202:JEZ262207 JOV262202:JOV262207 JYR262202:JYR262207 KIN262202:KIN262207 KSJ262202:KSJ262207 LCF262202:LCF262207 LMB262202:LMB262207 LVX262202:LVX262207 MFT262202:MFT262207 MPP262202:MPP262207 MZL262202:MZL262207 NJH262202:NJH262207 NTD262202:NTD262207 OCZ262202:OCZ262207 OMV262202:OMV262207 OWR262202:OWR262207 PGN262202:PGN262207 PQJ262202:PQJ262207 QAF262202:QAF262207 QKB262202:QKB262207 QTX262202:QTX262207 RDT262202:RDT262207 RNP262202:RNP262207 RXL262202:RXL262207 SHH262202:SHH262207 SRD262202:SRD262207 TAZ262202:TAZ262207 TKV262202:TKV262207 TUR262202:TUR262207 UEN262202:UEN262207 UOJ262202:UOJ262207 UYF262202:UYF262207 VIB262202:VIB262207 VRX262202:VRX262207 WBT262202:WBT262207 WLP262202:WLP262207 WVL262202:WVL262207 D327738:D327743 IZ327738:IZ327743 SV327738:SV327743 ACR327738:ACR327743 AMN327738:AMN327743 AWJ327738:AWJ327743 BGF327738:BGF327743 BQB327738:BQB327743 BZX327738:BZX327743 CJT327738:CJT327743 CTP327738:CTP327743 DDL327738:DDL327743 DNH327738:DNH327743 DXD327738:DXD327743 EGZ327738:EGZ327743 EQV327738:EQV327743 FAR327738:FAR327743 FKN327738:FKN327743 FUJ327738:FUJ327743 GEF327738:GEF327743 GOB327738:GOB327743 GXX327738:GXX327743 HHT327738:HHT327743 HRP327738:HRP327743 IBL327738:IBL327743 ILH327738:ILH327743 IVD327738:IVD327743 JEZ327738:JEZ327743 JOV327738:JOV327743 JYR327738:JYR327743 KIN327738:KIN327743 KSJ327738:KSJ327743 LCF327738:LCF327743 LMB327738:LMB327743 LVX327738:LVX327743 MFT327738:MFT327743 MPP327738:MPP327743 MZL327738:MZL327743 NJH327738:NJH327743 NTD327738:NTD327743 OCZ327738:OCZ327743 OMV327738:OMV327743 OWR327738:OWR327743 PGN327738:PGN327743 PQJ327738:PQJ327743 QAF327738:QAF327743 QKB327738:QKB327743 QTX327738:QTX327743 RDT327738:RDT327743 RNP327738:RNP327743 RXL327738:RXL327743 SHH327738:SHH327743 SRD327738:SRD327743 TAZ327738:TAZ327743 TKV327738:TKV327743 TUR327738:TUR327743 UEN327738:UEN327743 UOJ327738:UOJ327743 UYF327738:UYF327743 VIB327738:VIB327743 VRX327738:VRX327743 WBT327738:WBT327743 WLP327738:WLP327743 WVL327738:WVL327743 D393274:D393279 IZ393274:IZ393279 SV393274:SV393279 ACR393274:ACR393279 AMN393274:AMN393279 AWJ393274:AWJ393279 BGF393274:BGF393279 BQB393274:BQB393279 BZX393274:BZX393279 CJT393274:CJT393279 CTP393274:CTP393279 DDL393274:DDL393279 DNH393274:DNH393279 DXD393274:DXD393279 EGZ393274:EGZ393279 EQV393274:EQV393279 FAR393274:FAR393279 FKN393274:FKN393279 FUJ393274:FUJ393279 GEF393274:GEF393279 GOB393274:GOB393279 GXX393274:GXX393279 HHT393274:HHT393279 HRP393274:HRP393279 IBL393274:IBL393279 ILH393274:ILH393279 IVD393274:IVD393279 JEZ393274:JEZ393279 JOV393274:JOV393279 JYR393274:JYR393279 KIN393274:KIN393279 KSJ393274:KSJ393279 LCF393274:LCF393279 LMB393274:LMB393279 LVX393274:LVX393279 MFT393274:MFT393279 MPP393274:MPP393279 MZL393274:MZL393279 NJH393274:NJH393279 NTD393274:NTD393279 OCZ393274:OCZ393279 OMV393274:OMV393279 OWR393274:OWR393279 PGN393274:PGN393279 PQJ393274:PQJ393279 QAF393274:QAF393279 QKB393274:QKB393279 QTX393274:QTX393279 RDT393274:RDT393279 RNP393274:RNP393279 RXL393274:RXL393279 SHH393274:SHH393279 SRD393274:SRD393279 TAZ393274:TAZ393279 TKV393274:TKV393279 TUR393274:TUR393279 UEN393274:UEN393279 UOJ393274:UOJ393279 UYF393274:UYF393279 VIB393274:VIB393279 VRX393274:VRX393279 WBT393274:WBT393279 WLP393274:WLP393279 WVL393274:WVL393279 D458810:D458815 IZ458810:IZ458815 SV458810:SV458815 ACR458810:ACR458815 AMN458810:AMN458815 AWJ458810:AWJ458815 BGF458810:BGF458815 BQB458810:BQB458815 BZX458810:BZX458815 CJT458810:CJT458815 CTP458810:CTP458815 DDL458810:DDL458815 DNH458810:DNH458815 DXD458810:DXD458815 EGZ458810:EGZ458815 EQV458810:EQV458815 FAR458810:FAR458815 FKN458810:FKN458815 FUJ458810:FUJ458815 GEF458810:GEF458815 GOB458810:GOB458815 GXX458810:GXX458815 HHT458810:HHT458815 HRP458810:HRP458815 IBL458810:IBL458815 ILH458810:ILH458815 IVD458810:IVD458815 JEZ458810:JEZ458815 JOV458810:JOV458815 JYR458810:JYR458815 KIN458810:KIN458815 KSJ458810:KSJ458815 LCF458810:LCF458815 LMB458810:LMB458815 LVX458810:LVX458815 MFT458810:MFT458815 MPP458810:MPP458815 MZL458810:MZL458815 NJH458810:NJH458815 NTD458810:NTD458815 OCZ458810:OCZ458815 OMV458810:OMV458815 OWR458810:OWR458815 PGN458810:PGN458815 PQJ458810:PQJ458815 QAF458810:QAF458815 QKB458810:QKB458815 QTX458810:QTX458815 RDT458810:RDT458815 RNP458810:RNP458815 RXL458810:RXL458815 SHH458810:SHH458815 SRD458810:SRD458815 TAZ458810:TAZ458815 TKV458810:TKV458815 TUR458810:TUR458815 UEN458810:UEN458815 UOJ458810:UOJ458815 UYF458810:UYF458815 VIB458810:VIB458815 VRX458810:VRX458815 WBT458810:WBT458815 WLP458810:WLP458815 WVL458810:WVL458815 D524346:D524351 IZ524346:IZ524351 SV524346:SV524351 ACR524346:ACR524351 AMN524346:AMN524351 AWJ524346:AWJ524351 BGF524346:BGF524351 BQB524346:BQB524351 BZX524346:BZX524351 CJT524346:CJT524351 CTP524346:CTP524351 DDL524346:DDL524351 DNH524346:DNH524351 DXD524346:DXD524351 EGZ524346:EGZ524351 EQV524346:EQV524351 FAR524346:FAR524351 FKN524346:FKN524351 FUJ524346:FUJ524351 GEF524346:GEF524351 GOB524346:GOB524351 GXX524346:GXX524351 HHT524346:HHT524351 HRP524346:HRP524351 IBL524346:IBL524351 ILH524346:ILH524351 IVD524346:IVD524351 JEZ524346:JEZ524351 JOV524346:JOV524351 JYR524346:JYR524351 KIN524346:KIN524351 KSJ524346:KSJ524351 LCF524346:LCF524351 LMB524346:LMB524351 LVX524346:LVX524351 MFT524346:MFT524351 MPP524346:MPP524351 MZL524346:MZL524351 NJH524346:NJH524351 NTD524346:NTD524351 OCZ524346:OCZ524351 OMV524346:OMV524351 OWR524346:OWR524351 PGN524346:PGN524351 PQJ524346:PQJ524351 QAF524346:QAF524351 QKB524346:QKB524351 QTX524346:QTX524351 RDT524346:RDT524351 RNP524346:RNP524351 RXL524346:RXL524351 SHH524346:SHH524351 SRD524346:SRD524351 TAZ524346:TAZ524351 TKV524346:TKV524351 TUR524346:TUR524351 UEN524346:UEN524351 UOJ524346:UOJ524351 UYF524346:UYF524351 VIB524346:VIB524351 VRX524346:VRX524351 WBT524346:WBT524351 WLP524346:WLP524351 WVL524346:WVL524351 D589882:D589887 IZ589882:IZ589887 SV589882:SV589887 ACR589882:ACR589887 AMN589882:AMN589887 AWJ589882:AWJ589887 BGF589882:BGF589887 BQB589882:BQB589887 BZX589882:BZX589887 CJT589882:CJT589887 CTP589882:CTP589887 DDL589882:DDL589887 DNH589882:DNH589887 DXD589882:DXD589887 EGZ589882:EGZ589887 EQV589882:EQV589887 FAR589882:FAR589887 FKN589882:FKN589887 FUJ589882:FUJ589887 GEF589882:GEF589887 GOB589882:GOB589887 GXX589882:GXX589887 HHT589882:HHT589887 HRP589882:HRP589887 IBL589882:IBL589887 ILH589882:ILH589887 IVD589882:IVD589887 JEZ589882:JEZ589887 JOV589882:JOV589887 JYR589882:JYR589887 KIN589882:KIN589887 KSJ589882:KSJ589887 LCF589882:LCF589887 LMB589882:LMB589887 LVX589882:LVX589887 MFT589882:MFT589887 MPP589882:MPP589887 MZL589882:MZL589887 NJH589882:NJH589887 NTD589882:NTD589887 OCZ589882:OCZ589887 OMV589882:OMV589887 OWR589882:OWR589887 PGN589882:PGN589887 PQJ589882:PQJ589887 QAF589882:QAF589887 QKB589882:QKB589887 QTX589882:QTX589887 RDT589882:RDT589887 RNP589882:RNP589887 RXL589882:RXL589887 SHH589882:SHH589887 SRD589882:SRD589887 TAZ589882:TAZ589887 TKV589882:TKV589887 TUR589882:TUR589887 UEN589882:UEN589887 UOJ589882:UOJ589887 UYF589882:UYF589887 VIB589882:VIB589887 VRX589882:VRX589887 WBT589882:WBT589887 WLP589882:WLP589887 WVL589882:WVL589887 D655418:D655423 IZ655418:IZ655423 SV655418:SV655423 ACR655418:ACR655423 AMN655418:AMN655423 AWJ655418:AWJ655423 BGF655418:BGF655423 BQB655418:BQB655423 BZX655418:BZX655423 CJT655418:CJT655423 CTP655418:CTP655423 DDL655418:DDL655423 DNH655418:DNH655423 DXD655418:DXD655423 EGZ655418:EGZ655423 EQV655418:EQV655423 FAR655418:FAR655423 FKN655418:FKN655423 FUJ655418:FUJ655423 GEF655418:GEF655423 GOB655418:GOB655423 GXX655418:GXX655423 HHT655418:HHT655423 HRP655418:HRP655423 IBL655418:IBL655423 ILH655418:ILH655423 IVD655418:IVD655423 JEZ655418:JEZ655423 JOV655418:JOV655423 JYR655418:JYR655423 KIN655418:KIN655423 KSJ655418:KSJ655423 LCF655418:LCF655423 LMB655418:LMB655423 LVX655418:LVX655423 MFT655418:MFT655423 MPP655418:MPP655423 MZL655418:MZL655423 NJH655418:NJH655423 NTD655418:NTD655423 OCZ655418:OCZ655423 OMV655418:OMV655423 OWR655418:OWR655423 PGN655418:PGN655423 PQJ655418:PQJ655423 QAF655418:QAF655423 QKB655418:QKB655423 QTX655418:QTX655423 RDT655418:RDT655423 RNP655418:RNP655423 RXL655418:RXL655423 SHH655418:SHH655423 SRD655418:SRD655423 TAZ655418:TAZ655423 TKV655418:TKV655423 TUR655418:TUR655423 UEN655418:UEN655423 UOJ655418:UOJ655423 UYF655418:UYF655423 VIB655418:VIB655423 VRX655418:VRX655423 WBT655418:WBT655423 WLP655418:WLP655423 WVL655418:WVL655423 D720954:D720959 IZ720954:IZ720959 SV720954:SV720959 ACR720954:ACR720959 AMN720954:AMN720959 AWJ720954:AWJ720959 BGF720954:BGF720959 BQB720954:BQB720959 BZX720954:BZX720959 CJT720954:CJT720959 CTP720954:CTP720959 DDL720954:DDL720959 DNH720954:DNH720959 DXD720954:DXD720959 EGZ720954:EGZ720959 EQV720954:EQV720959 FAR720954:FAR720959 FKN720954:FKN720959 FUJ720954:FUJ720959 GEF720954:GEF720959 GOB720954:GOB720959 GXX720954:GXX720959 HHT720954:HHT720959 HRP720954:HRP720959 IBL720954:IBL720959 ILH720954:ILH720959 IVD720954:IVD720959 JEZ720954:JEZ720959 JOV720954:JOV720959 JYR720954:JYR720959 KIN720954:KIN720959 KSJ720954:KSJ720959 LCF720954:LCF720959 LMB720954:LMB720959 LVX720954:LVX720959 MFT720954:MFT720959 MPP720954:MPP720959 MZL720954:MZL720959 NJH720954:NJH720959 NTD720954:NTD720959 OCZ720954:OCZ720959 OMV720954:OMV720959 OWR720954:OWR720959 PGN720954:PGN720959 PQJ720954:PQJ720959 QAF720954:QAF720959 QKB720954:QKB720959 QTX720954:QTX720959 RDT720954:RDT720959 RNP720954:RNP720959 RXL720954:RXL720959 SHH720954:SHH720959 SRD720954:SRD720959 TAZ720954:TAZ720959 TKV720954:TKV720959 TUR720954:TUR720959 UEN720954:UEN720959 UOJ720954:UOJ720959 UYF720954:UYF720959 VIB720954:VIB720959 VRX720954:VRX720959 WBT720954:WBT720959 WLP720954:WLP720959 WVL720954:WVL720959 D786490:D786495 IZ786490:IZ786495 SV786490:SV786495 ACR786490:ACR786495 AMN786490:AMN786495 AWJ786490:AWJ786495 BGF786490:BGF786495 BQB786490:BQB786495 BZX786490:BZX786495 CJT786490:CJT786495 CTP786490:CTP786495 DDL786490:DDL786495 DNH786490:DNH786495 DXD786490:DXD786495 EGZ786490:EGZ786495 EQV786490:EQV786495 FAR786490:FAR786495 FKN786490:FKN786495 FUJ786490:FUJ786495 GEF786490:GEF786495 GOB786490:GOB786495 GXX786490:GXX786495 HHT786490:HHT786495 HRP786490:HRP786495 IBL786490:IBL786495 ILH786490:ILH786495 IVD786490:IVD786495 JEZ786490:JEZ786495 JOV786490:JOV786495 JYR786490:JYR786495 KIN786490:KIN786495 KSJ786490:KSJ786495 LCF786490:LCF786495 LMB786490:LMB786495 LVX786490:LVX786495 MFT786490:MFT786495 MPP786490:MPP786495 MZL786490:MZL786495 NJH786490:NJH786495 NTD786490:NTD786495 OCZ786490:OCZ786495 OMV786490:OMV786495 OWR786490:OWR786495 PGN786490:PGN786495 PQJ786490:PQJ786495 QAF786490:QAF786495 QKB786490:QKB786495 QTX786490:QTX786495 RDT786490:RDT786495 RNP786490:RNP786495 RXL786490:RXL786495 SHH786490:SHH786495 SRD786490:SRD786495 TAZ786490:TAZ786495 TKV786490:TKV786495 TUR786490:TUR786495 UEN786490:UEN786495 UOJ786490:UOJ786495 UYF786490:UYF786495 VIB786490:VIB786495 VRX786490:VRX786495 WBT786490:WBT786495 WLP786490:WLP786495 WVL786490:WVL786495 D852026:D852031 IZ852026:IZ852031 SV852026:SV852031 ACR852026:ACR852031 AMN852026:AMN852031 AWJ852026:AWJ852031 BGF852026:BGF852031 BQB852026:BQB852031 BZX852026:BZX852031 CJT852026:CJT852031 CTP852026:CTP852031 DDL852026:DDL852031 DNH852026:DNH852031 DXD852026:DXD852031 EGZ852026:EGZ852031 EQV852026:EQV852031 FAR852026:FAR852031 FKN852026:FKN852031 FUJ852026:FUJ852031 GEF852026:GEF852031 GOB852026:GOB852031 GXX852026:GXX852031 HHT852026:HHT852031 HRP852026:HRP852031 IBL852026:IBL852031 ILH852026:ILH852031 IVD852026:IVD852031 JEZ852026:JEZ852031 JOV852026:JOV852031 JYR852026:JYR852031 KIN852026:KIN852031 KSJ852026:KSJ852031 LCF852026:LCF852031 LMB852026:LMB852031 LVX852026:LVX852031 MFT852026:MFT852031 MPP852026:MPP852031 MZL852026:MZL852031 NJH852026:NJH852031 NTD852026:NTD852031 OCZ852026:OCZ852031 OMV852026:OMV852031 OWR852026:OWR852031 PGN852026:PGN852031 PQJ852026:PQJ852031 QAF852026:QAF852031 QKB852026:QKB852031 QTX852026:QTX852031 RDT852026:RDT852031 RNP852026:RNP852031 RXL852026:RXL852031 SHH852026:SHH852031 SRD852026:SRD852031 TAZ852026:TAZ852031 TKV852026:TKV852031 TUR852026:TUR852031 UEN852026:UEN852031 UOJ852026:UOJ852031 UYF852026:UYF852031 VIB852026:VIB852031 VRX852026:VRX852031 WBT852026:WBT852031 WLP852026:WLP852031 WVL852026:WVL852031 D917562:D917567 IZ917562:IZ917567 SV917562:SV917567 ACR917562:ACR917567 AMN917562:AMN917567 AWJ917562:AWJ917567 BGF917562:BGF917567 BQB917562:BQB917567 BZX917562:BZX917567 CJT917562:CJT917567 CTP917562:CTP917567 DDL917562:DDL917567 DNH917562:DNH917567 DXD917562:DXD917567 EGZ917562:EGZ917567 EQV917562:EQV917567 FAR917562:FAR917567 FKN917562:FKN917567 FUJ917562:FUJ917567 GEF917562:GEF917567 GOB917562:GOB917567 GXX917562:GXX917567 HHT917562:HHT917567 HRP917562:HRP917567 IBL917562:IBL917567 ILH917562:ILH917567 IVD917562:IVD917567 JEZ917562:JEZ917567 JOV917562:JOV917567 JYR917562:JYR917567 KIN917562:KIN917567 KSJ917562:KSJ917567 LCF917562:LCF917567 LMB917562:LMB917567 LVX917562:LVX917567 MFT917562:MFT917567 MPP917562:MPP917567 MZL917562:MZL917567 NJH917562:NJH917567 NTD917562:NTD917567 OCZ917562:OCZ917567 OMV917562:OMV917567 OWR917562:OWR917567 PGN917562:PGN917567 PQJ917562:PQJ917567 QAF917562:QAF917567 QKB917562:QKB917567 QTX917562:QTX917567 RDT917562:RDT917567 RNP917562:RNP917567 RXL917562:RXL917567 SHH917562:SHH917567 SRD917562:SRD917567 TAZ917562:TAZ917567 TKV917562:TKV917567 TUR917562:TUR917567 UEN917562:UEN917567 UOJ917562:UOJ917567 UYF917562:UYF917567 VIB917562:VIB917567 VRX917562:VRX917567 WBT917562:WBT917567 WLP917562:WLP917567 WVL917562:WVL917567 D983098:D983103 IZ983098:IZ983103 SV983098:SV983103 ACR983098:ACR983103 AMN983098:AMN983103 AWJ983098:AWJ983103 BGF983098:BGF983103 BQB983098:BQB983103 BZX983098:BZX983103 CJT983098:CJT983103 CTP983098:CTP983103 DDL983098:DDL983103 DNH983098:DNH983103 DXD983098:DXD983103 EGZ983098:EGZ983103 EQV983098:EQV983103 FAR983098:FAR983103 FKN983098:FKN983103 FUJ983098:FUJ983103 GEF983098:GEF983103 GOB983098:GOB983103 GXX983098:GXX983103 HHT983098:HHT983103 HRP983098:HRP983103 IBL983098:IBL983103 ILH983098:ILH983103 IVD983098:IVD983103 JEZ983098:JEZ983103 JOV983098:JOV983103 JYR983098:JYR983103 KIN983098:KIN983103 KSJ983098:KSJ983103 LCF983098:LCF983103 LMB983098:LMB983103 LVX983098:LVX983103 MFT983098:MFT983103 MPP983098:MPP983103 MZL983098:MZL983103 NJH983098:NJH983103 NTD983098:NTD983103 OCZ983098:OCZ983103 OMV983098:OMV983103 OWR983098:OWR983103 PGN983098:PGN983103 PQJ983098:PQJ983103 QAF983098:QAF983103 QKB983098:QKB983103 QTX983098:QTX983103 RDT983098:RDT983103 RNP983098:RNP983103 RXL983098:RXL983103 SHH983098:SHH983103 SRD983098:SRD983103 TAZ983098:TAZ983103 TKV983098:TKV983103 TUR983098:TUR983103 UEN983098:UEN983103 UOJ983098:UOJ983103 UYF983098:UYF983103 VIB983098:VIB983103 VRX983098:VRX983103 WBT983098:WBT983103 WLP983098:WLP983103 D58 D60:O64">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A135"/>
  <sheetViews>
    <sheetView topLeftCell="A14" zoomScale="80" zoomScaleNormal="80" workbookViewId="0">
      <pane xSplit="1" topLeftCell="B1" activePane="topRight" state="frozen"/>
      <selection pane="topRight" activeCell="D45" sqref="D45"/>
    </sheetView>
  </sheetViews>
  <sheetFormatPr defaultRowHeight="15" x14ac:dyDescent="0.25"/>
  <cols>
    <col min="1" max="1" width="22.28515625" customWidth="1"/>
    <col min="2" max="2" width="30.7109375" style="29" customWidth="1"/>
    <col min="3" max="3" width="34" style="29" customWidth="1"/>
    <col min="4" max="4" width="43.85546875" style="29" customWidth="1"/>
    <col min="5" max="5" width="49.140625" style="29" customWidth="1"/>
    <col min="6" max="6" width="49.28515625" style="29" customWidth="1"/>
    <col min="7" max="7" width="74.42578125" style="29" bestFit="1" customWidth="1"/>
    <col min="8" max="10" width="30.7109375" style="29" customWidth="1"/>
    <col min="11" max="11" width="38" style="29" bestFit="1" customWidth="1"/>
    <col min="12" max="12" width="45.7109375" style="29" customWidth="1"/>
    <col min="13" max="15" width="30.7109375" style="29" customWidth="1"/>
    <col min="16" max="16" width="55.7109375" style="29" customWidth="1"/>
    <col min="17" max="18" width="30.7109375" style="29" customWidth="1"/>
    <col min="19" max="19" width="29.85546875" style="29" customWidth="1"/>
    <col min="20" max="20" width="42.85546875" style="29" customWidth="1"/>
    <col min="21" max="21" width="37.7109375" style="29" customWidth="1"/>
    <col min="22" max="27" width="30.7109375" style="29" customWidth="1"/>
  </cols>
  <sheetData>
    <row r="1" spans="1:27" ht="15.75" thickBot="1" x14ac:dyDescent="0.3">
      <c r="A1" s="123" t="s">
        <v>354</v>
      </c>
    </row>
    <row r="2" spans="1:27" s="2" customFormat="1" ht="17.25" customHeight="1" thickBot="1" x14ac:dyDescent="0.3">
      <c r="A2" s="357" t="s">
        <v>76</v>
      </c>
      <c r="B2" s="359" t="s">
        <v>98</v>
      </c>
      <c r="C2" s="356"/>
      <c r="D2" s="359" t="s">
        <v>99</v>
      </c>
      <c r="E2" s="355"/>
      <c r="F2" s="356"/>
      <c r="G2" s="359" t="s">
        <v>100</v>
      </c>
      <c r="H2" s="355"/>
      <c r="I2" s="356"/>
      <c r="J2" s="112"/>
      <c r="K2" s="112"/>
      <c r="L2" s="360" t="s">
        <v>101</v>
      </c>
      <c r="M2" s="361"/>
      <c r="N2" s="361"/>
      <c r="O2" s="362"/>
      <c r="P2" s="360" t="s">
        <v>115</v>
      </c>
      <c r="Q2" s="361"/>
      <c r="R2" s="362"/>
      <c r="S2" s="354" t="s">
        <v>137</v>
      </c>
      <c r="T2" s="355"/>
      <c r="U2" s="355"/>
      <c r="V2" s="355"/>
      <c r="W2" s="355"/>
      <c r="X2" s="355"/>
      <c r="Y2" s="355"/>
      <c r="Z2" s="355"/>
      <c r="AA2" s="356"/>
    </row>
    <row r="3" spans="1:27" s="22" customFormat="1" ht="120.75" customHeight="1" thickBot="1" x14ac:dyDescent="0.3">
      <c r="A3" s="358"/>
      <c r="B3" s="70" t="s">
        <v>56</v>
      </c>
      <c r="C3" s="68" t="s">
        <v>57</v>
      </c>
      <c r="D3" s="63" t="s">
        <v>304</v>
      </c>
      <c r="E3" s="7" t="s">
        <v>336</v>
      </c>
      <c r="F3" s="7" t="s">
        <v>305</v>
      </c>
      <c r="G3" s="20" t="s">
        <v>327</v>
      </c>
      <c r="H3" s="140" t="s">
        <v>96</v>
      </c>
      <c r="I3" s="63" t="s">
        <v>149</v>
      </c>
      <c r="J3" s="140" t="s">
        <v>134</v>
      </c>
      <c r="K3" s="20" t="s">
        <v>135</v>
      </c>
      <c r="L3" s="63" t="s">
        <v>85</v>
      </c>
      <c r="M3" s="68" t="s">
        <v>62</v>
      </c>
      <c r="N3" s="63" t="s">
        <v>63</v>
      </c>
      <c r="O3" s="68" t="s">
        <v>326</v>
      </c>
      <c r="P3" s="110" t="s">
        <v>93</v>
      </c>
      <c r="Q3" s="68" t="s">
        <v>150</v>
      </c>
      <c r="R3" s="68" t="s">
        <v>151</v>
      </c>
      <c r="S3" s="63" t="s">
        <v>148</v>
      </c>
      <c r="T3" s="63" t="s">
        <v>142</v>
      </c>
      <c r="U3" s="63" t="s">
        <v>300</v>
      </c>
      <c r="V3" s="154" t="s">
        <v>143</v>
      </c>
      <c r="W3" s="63" t="s">
        <v>144</v>
      </c>
      <c r="X3" s="63" t="s">
        <v>301</v>
      </c>
      <c r="Y3" s="63" t="s">
        <v>265</v>
      </c>
      <c r="Z3" s="63" t="s">
        <v>345</v>
      </c>
      <c r="AA3" s="63" t="s">
        <v>302</v>
      </c>
    </row>
    <row r="4" spans="1:27" x14ac:dyDescent="0.25">
      <c r="A4" s="86" t="s">
        <v>66</v>
      </c>
      <c r="B4" s="106" t="str">
        <f>TRIM(MID('ECO-Nepal (Gorkha)'!B23, (FIND(":",'ECO-Nepal (Gorkha)'!B23,1))+1, 100))</f>
        <v>2825</v>
      </c>
      <c r="C4" s="107" t="str">
        <f>TRIM(MID('ECO-Nepal (Gorkha)'!F23,FIND(":",'ECO-Nepal (Gorkha)'!F23,1)+1,100))</f>
        <v>2448</v>
      </c>
      <c r="D4" s="107" t="str">
        <f>TRIM(MID('ECO-Nepal (Gorkha)'!G23,FIND(":",'ECO-Nepal (Gorkha)'!G23,1)+1,100))</f>
        <v>617</v>
      </c>
      <c r="E4" s="107" t="str">
        <f>TRIM(MID('ECO-Nepal (Gorkha)'!J23,FIND(":",'ECO-Nepal (Gorkha)'!J23,1)+1,100))</f>
        <v>154</v>
      </c>
      <c r="F4" s="107" t="str">
        <f>TRIM(MID('ECO-Nepal (Gorkha)'!K23,FIND(":",'ECO-Nepal (Gorkha)'!K23,1)+1,100))</f>
        <v>13</v>
      </c>
      <c r="G4" s="109" t="str">
        <f>TRIM(MID('ECO-Nepal (Gorkha)'!M23,FIND(":",'ECO-Nepal (Gorkha)'!M23,1)+1,100))</f>
        <v>2820</v>
      </c>
      <c r="H4" s="151" t="str">
        <f>TRIM(MID('ECO-Nepal (Gorkha)'!O23,FIND(":",'ECO-Nepal (Gorkha)'!O23,1)+1,100))</f>
        <v>0</v>
      </c>
      <c r="I4" s="61" t="str">
        <f>TRIM(MID('ECO-Nepal (Gorkha)'!P23,FIND(":",'ECO-Nepal (Gorkha)'!P23,1)+1,100))</f>
        <v>11</v>
      </c>
      <c r="J4" s="61" t="str">
        <f>TRIM(MID('ECO-Nepal (Gorkha)'!R23,FIND(":",'ECO-Nepal (Gorkha)'!R23,1)+1,100))</f>
        <v>1</v>
      </c>
      <c r="K4" s="61" t="str">
        <f>TRIM(MID('ECO-Nepal (Gorkha)'!S23,FIND(":",'ECO-Nepal (Gorkha)'!S23,1)+1,100))</f>
        <v>3843</v>
      </c>
      <c r="L4" s="61" t="s">
        <v>82</v>
      </c>
      <c r="M4" s="97" t="str">
        <f>TRIM(MID('ECO-Nepal (Gorkha)'!S23,FIND(":",'ECO-Nepal (Gorkha)'!S23,1)+1,100))</f>
        <v>3843</v>
      </c>
      <c r="N4" s="97" t="str">
        <f>TRIM(MID('ECO-Nepal (Gorkha)'!X23,FIND(":",'ECO-Nepal (Gorkha)'!X23,1)+1,100))</f>
        <v>56</v>
      </c>
      <c r="O4" s="97" t="str">
        <f>TRIM(MID('ECO-Nepal (Gorkha)'!AB23,FIND(":",'ECO-Nepal (Gorkha)'!AB23,1)+1,100))</f>
        <v>7</v>
      </c>
      <c r="P4" s="97" t="str">
        <f>TRIM(MID('ECO-Nepal (Gorkha)'!AC23,FIND(":",'ECO-Nepal (Gorkha)'!AC23,1)+1,100))</f>
        <v>2552</v>
      </c>
      <c r="Q4" s="61" t="str">
        <f>TRIM(MID('ECO-Nepal (Gorkha)'!AF23,FIND(":",'ECO-Nepal (Gorkha)'!AF23,1)+1,100))</f>
        <v>397</v>
      </c>
      <c r="R4" s="97">
        <v>0</v>
      </c>
      <c r="S4" s="11" t="str">
        <f>TRIM(MID('ECO-Nepal (Gorkha)'!AI23,FIND(":",'ECO-Nepal (Gorkha)'!AI23,1)+1,100))</f>
        <v>0</v>
      </c>
      <c r="T4" s="11" t="str">
        <f>TRIM(MID('ECO-Nepal (Gorkha)'!AS23,FIND(":",'ECO-Nepal (Gorkha)'!AS23,1)+1,100))</f>
        <v>0</v>
      </c>
      <c r="U4" s="11" t="str">
        <f>TRIM(MID('ECO-Nepal (Gorkha)'!AX23,FIND(":",'ECO-Nepal (Gorkha)'!AX23,1)+1,100))</f>
        <v>175</v>
      </c>
      <c r="V4" s="175" t="str">
        <f>TRIM(MID('ECO-Nepal (Gorkha)'!BB23,FIND(":",'ECO-Nepal (Gorkha)'!BB23,1)+1,100))</f>
        <v>0</v>
      </c>
      <c r="W4" s="11" t="str">
        <f>TRIM(MID('ECO-Nepal (Gorkha)'!BC23,FIND(":",'ECO-Nepal (Gorkha)'!BC23,1)+1,100))</f>
        <v>4</v>
      </c>
      <c r="X4" s="11" t="str">
        <f>TRIM(MID('ECO-Nepal (Gorkha)'!BF23,FIND(":",'ECO-Nepal (Gorkha)'!BF23,1)+1,100))</f>
        <v>69</v>
      </c>
      <c r="Y4" s="11" t="s">
        <v>82</v>
      </c>
      <c r="Z4" s="11" t="str">
        <f>TRIM(MID('ECO-Nepal (Gorkha)'!BJ23,FIND(":",'ECO-Nepal (Gorkha)'!BJ23,1)+1,100))</f>
        <v>8</v>
      </c>
      <c r="AA4" s="11" t="str">
        <f>TRIM(MID('ECO-Nepal (Gorkha)'!BK23,FIND(":",'ECO-Nepal (Gorkha)'!BK23,1)+1,100))</f>
        <v>0</v>
      </c>
    </row>
    <row r="5" spans="1:27" x14ac:dyDescent="0.25">
      <c r="A5" s="87" t="s">
        <v>67</v>
      </c>
      <c r="B5" s="69" t="str">
        <f>TRIM(MID('FAYA-Nepal (Dhading)'!B9,FIND(":",'FAYA-Nepal (Dhading)'!B9,1)+1,100))</f>
        <v>4480</v>
      </c>
      <c r="C5" s="74" t="str">
        <f>TRIM(MID('FAYA-Nepal (Dhading)'!F9,FIND(":",'FAYA-Nepal (Dhading)'!F9,1)+1,100))</f>
        <v>4874</v>
      </c>
      <c r="D5" s="53" t="str">
        <f>TRIM(MID('FAYA-Nepal (Dhading)'!G9,FIND(":",'FAYA-Nepal (Dhading)'!G9,1)+1,100))</f>
        <v>1893</v>
      </c>
      <c r="E5" s="53" t="str">
        <f>TRIM(MID('FAYA-Nepal (Dhading)'!J9, FIND(":",'FAYA-Nepal (Dhading)'!J9,1)+1,100))</f>
        <v>0</v>
      </c>
      <c r="F5" s="53" t="str">
        <f>TRIM(MID('FAYA-Nepal (Dhading)'!K9,FIND(":",'FAYA-Nepal (Dhading)'!K9,1)+1,100))</f>
        <v>53</v>
      </c>
      <c r="G5" s="103" t="str">
        <f>TRIM(MID('FAYA-Nepal (Dhading)'!M9,FIND(":",'FAYA-Nepal (Dhading)'!M9,1)+1,100))</f>
        <v>0</v>
      </c>
      <c r="H5" s="135" t="str">
        <f>TRIM(MID('FAYA-Nepal (Dhading)'!O9,FIND(":",'FAYA-Nepal (Dhading)'!O9,1)+1,100))</f>
        <v>0</v>
      </c>
      <c r="I5" s="135" t="str">
        <f>TRIM(MID('FAYA-Nepal (Dhading)'!P9,FIND(":",'FAYA-Nepal (Dhading)'!P9,1)+1,100))</f>
        <v>48</v>
      </c>
      <c r="J5" s="135" t="str">
        <f>TRIM(MID('FAYA-Nepal (Dhading)'!R9,FIND(":",'FAYA-Nepal (Dhading)'!R9,1)+1,100))</f>
        <v>0</v>
      </c>
      <c r="K5" s="135" t="str">
        <f>TRIM(MID('FAYA-Nepal (Dhading)'!S9,FIND(":",'FAYA-Nepal (Dhading)'!S9,1)+1,100))</f>
        <v>5079</v>
      </c>
      <c r="L5" s="102" t="s">
        <v>82</v>
      </c>
      <c r="M5" s="11" t="str">
        <f>TRIM(MID('FAYA-Nepal (Dhading)'!S9,FIND(":",'FAYA-Nepal (Dhading)'!S9,1)+1,100))</f>
        <v>5079</v>
      </c>
      <c r="N5" s="11" t="str">
        <f>TRIM(MID('FAYA-Nepal (Dhading)'!X9,FIND(":",'FAYA-Nepal (Dhading)'!X9,1)+1,100))</f>
        <v>82</v>
      </c>
      <c r="O5" s="9" t="str">
        <f>TRIM(MID('FAYA-Nepal (Dhading)'!AB9,FIND(":",'FAYA-Nepal (Dhading)'!AB9,1)+1,100))</f>
        <v>378</v>
      </c>
      <c r="P5" s="11" t="str">
        <f>TRIM(MID('FAYA-Nepal (Dhading)'!AC9,FIND(":",'FAYA-Nepal (Dhading)'!AC9,1)+1,100))</f>
        <v>4480</v>
      </c>
      <c r="Q5" s="11">
        <v>0</v>
      </c>
      <c r="R5" s="24">
        <v>0</v>
      </c>
      <c r="S5" s="173" t="str">
        <f>TRIM(MID('FAYA-Nepal (Dhading)'!AI9,FIND(":",'FAYA-Nepal (Dhading)'!AI9,1)+1,100))</f>
        <v>0</v>
      </c>
      <c r="T5" s="173" t="str">
        <f>TRIM(MID('FAYA-Nepal (Dhading)'!AS9,FIND(":",'FAYA-Nepal (Dhading)'!AS9,1)+1,100))</f>
        <v>0</v>
      </c>
      <c r="U5" s="173" t="str">
        <f>TRIM(MID('FAYA-Nepal (Dhading)'!AX9, FIND(":",'FAYA-Nepal (Dhading)'!AX9,1)+1,100))</f>
        <v>0</v>
      </c>
      <c r="V5" s="174" t="str">
        <f>TRIM(MID('FAYA-Nepal (Dhading)'!BB9,FIND(":",'FAYA-Nepal (Dhading)'!BB9,1)+1,100))</f>
        <v>0</v>
      </c>
      <c r="W5" s="173" t="str">
        <f>TRIM(MID('FAYA-Nepal (Dhading)'!BC9,FIND(":",'FAYA-Nepal (Dhading)'!BC9,1)+1,100))</f>
        <v>0</v>
      </c>
      <c r="X5" s="173" t="str">
        <f>TRIM(MID('FAYA-Nepal (Dhading)'!BF9,FIND(":",'FAYA-Nepal (Dhading)'!BF9,1)+1,100))</f>
        <v>0</v>
      </c>
      <c r="Y5" s="173" t="s">
        <v>82</v>
      </c>
      <c r="Z5" s="173" t="str">
        <f>TRIM(MID('FAYA-Nepal (Dhading)'!BK9,FIND(":",'FAYA-Nepal (Dhading)'!BK9,1)+1,100))</f>
        <v>0</v>
      </c>
      <c r="AA5" s="173" t="str">
        <f>TRIM(MID('FAYA-Nepal (Dhading)'!BK9,FIND(":",'FAYA-Nepal (Dhading)'!BK9,1)+1,100))</f>
        <v>0</v>
      </c>
    </row>
    <row r="6" spans="1:27" x14ac:dyDescent="0.25">
      <c r="A6" s="87" t="s">
        <v>68</v>
      </c>
      <c r="B6" s="69" t="str">
        <f>TRIM(MID('FSCN (LTP &amp; BKT)'!C35,FIND(":",'FSCN (LTP &amp; BKT)'!C35,1)+1,100))</f>
        <v>0</v>
      </c>
      <c r="C6" s="74" t="str">
        <f>TRIM(MID('FSCN (LTP &amp; BKT)'!G35,FIND(":",'FSCN (LTP &amp; BKT)'!G35,1)+1,100))</f>
        <v>3694</v>
      </c>
      <c r="D6" s="108" t="str">
        <f>TRIM(MID('FSCN (LTP &amp; BKT)'!H35, FIND(":",'FSCN (LTP &amp; BKT)'!H35,1)+1,100))</f>
        <v>2613</v>
      </c>
      <c r="E6" s="108" t="str">
        <f>TRIM(MID('FSCN (LTP &amp; BKT)'!K35,FIND(":",'FSCN (LTP &amp; BKT)'!K35,1)+1,100))</f>
        <v>0</v>
      </c>
      <c r="F6" s="108" t="str">
        <f>TRIM(MID('FSCN (LTP &amp; BKT)'!L35,FIND(":",'FSCN (LTP &amp; BKT)'!L35,1)+1,100))</f>
        <v>8</v>
      </c>
      <c r="G6" s="103" t="str">
        <f>TRIM(MID('FSCN (LTP &amp; BKT)'!N35,FIND(":",'FSCN (LTP &amp; BKT)'!N35,1)+1,100))</f>
        <v>74</v>
      </c>
      <c r="H6" s="135" t="str">
        <f>TRIM(MID('FSCN (LTP &amp; BKT)'!P35,FIND(":",'FSCN (LTP &amp; BKT)'!P35,1)+1,100))</f>
        <v>435</v>
      </c>
      <c r="I6" s="135" t="str">
        <f>TRIM(MID('FSCN (LTP &amp; BKT)'!Q35,FIND(":",'FSCN (LTP &amp; BKT)'!Q35,1)+1,100))</f>
        <v>18</v>
      </c>
      <c r="J6" s="135" t="str">
        <f>TRIM(MID('FSCN (LTP &amp; BKT)'!S35,FIND(":",'FSCN (LTP &amp; BKT)'!S35,1)+1,100))</f>
        <v>0</v>
      </c>
      <c r="K6" s="135" t="str">
        <f>TRIM(MID('FSCN (LTP &amp; BKT)'!T35,FIND(":",'FSCN (LTP &amp; BKT)'!T35,1)+1,100))</f>
        <v>1697</v>
      </c>
      <c r="L6" s="102" t="s">
        <v>82</v>
      </c>
      <c r="M6" s="11" t="str">
        <f>TRIM(MID('FSCN (LTP &amp; BKT)'!T35,FIND(":",'FSCN (LTP &amp; BKT)'!T35,1)+1,100))</f>
        <v>1697</v>
      </c>
      <c r="N6" s="11" t="str">
        <f>TRIM(MID('FSCN (LTP &amp; BKT)'!Y35,FIND(":",'FSCN (LTP &amp; BKT)'!Y35,1)+1,100))</f>
        <v>31</v>
      </c>
      <c r="O6" s="9" t="str">
        <f>TRIM(MID('FSCN (LTP &amp; BKT)'!AC35,FIND(":",'FSCN (LTP &amp; BKT)'!AC35,1)+1,100))</f>
        <v>108</v>
      </c>
      <c r="P6" s="11" t="str">
        <f>TRIM(MID('FSCN (LTP &amp; BKT)'!AD35,FIND(":",'FSCN (LTP &amp; BKT)'!AD35,1)+1,100))</f>
        <v>2626</v>
      </c>
      <c r="Q6" s="11">
        <v>0</v>
      </c>
      <c r="R6" s="24">
        <v>0</v>
      </c>
      <c r="S6" s="102" t="str">
        <f>TRIM(MID('FSCN (LTP &amp; BKT)'!AJ35,FIND(":",'FSCN (LTP &amp; BKT)'!AJ35,1)+1,100))</f>
        <v>49</v>
      </c>
      <c r="T6" s="102" t="str">
        <f>TRIM(MID('FSCN (LTP &amp; BKT)'!AT35,FIND(":",'FSCN (LTP &amp; BKT)'!AT35,1)+1,100))</f>
        <v>9</v>
      </c>
      <c r="U6" s="102" t="str">
        <f>TRIM(MID('FSCN (LTP &amp; BKT)'!AY35,FIND(":",'FSCN (LTP &amp; BKT)'!AY35,1)+1,100))</f>
        <v>191</v>
      </c>
      <c r="V6" s="176" t="str">
        <f>TRIM(MID('FSCN (LTP &amp; BKT)'!BC35,FIND(":",'FSCN (LTP &amp; BKT)'!BC35,1)+1,100))</f>
        <v>6</v>
      </c>
      <c r="W6" s="102" t="str">
        <f>TRIM(MID('FSCN (LTP &amp; BKT)'!BD35,FIND(":",'FSCN (LTP &amp; BKT)'!BD35,1)+1,100))</f>
        <v>35</v>
      </c>
      <c r="X6" s="102" t="str">
        <f>TRIM(MID('FSCN (LTP &amp; BKT)'!BG35,FIND(":",'FSCN (LTP &amp; BKT)'!BG35,1)+1,100))</f>
        <v>1025</v>
      </c>
      <c r="Y6" s="102" t="s">
        <v>82</v>
      </c>
      <c r="Z6" s="102" t="str">
        <f>TRIM(MID('FSCN (LTP &amp; BKT)'!BK35,FIND(":",'FSCN (LTP &amp; BKT)'!BK35,1)+1,100))</f>
        <v>69</v>
      </c>
      <c r="AA6" s="102" t="str">
        <f>TRIM(MID('FSCN (LTP &amp; BKT)'!BM35,FIND(":",'FSCN (LTP &amp; BKT)'!BM35,1)+1,100))</f>
        <v>0</v>
      </c>
    </row>
    <row r="7" spans="1:27" x14ac:dyDescent="0.25">
      <c r="A7" s="87" t="s">
        <v>74</v>
      </c>
      <c r="B7" s="69" t="str">
        <f>TRIM(MID('WOREC LTP &amp; BKT)'!B7, FIND(":",'WOREC LTP &amp; BKT)'!B7,1)+1,100))</f>
        <v>234</v>
      </c>
      <c r="C7" s="158" t="s">
        <v>136</v>
      </c>
      <c r="D7" s="159" t="s">
        <v>136</v>
      </c>
      <c r="E7" s="159" t="s">
        <v>136</v>
      </c>
      <c r="F7" s="159" t="s">
        <v>136</v>
      </c>
      <c r="G7" s="160" t="s">
        <v>136</v>
      </c>
      <c r="H7" s="161" t="s">
        <v>136</v>
      </c>
      <c r="I7" s="162" t="s">
        <v>136</v>
      </c>
      <c r="J7" s="162" t="s">
        <v>136</v>
      </c>
      <c r="K7" s="162" t="s">
        <v>136</v>
      </c>
      <c r="L7" s="162" t="s">
        <v>136</v>
      </c>
      <c r="M7" s="163" t="s">
        <v>136</v>
      </c>
      <c r="N7" s="163" t="s">
        <v>136</v>
      </c>
      <c r="O7" s="164" t="s">
        <v>136</v>
      </c>
      <c r="P7" s="11" t="str">
        <f>TRIM(MID('WOREC LTP &amp; BKT)'!H7,FIND(":",'WOREC LTP &amp; BKT)'!H7,1)+1,100))</f>
        <v>443</v>
      </c>
      <c r="Q7" s="163" t="s">
        <v>136</v>
      </c>
      <c r="R7" s="165" t="s">
        <v>136</v>
      </c>
      <c r="S7" s="103" t="str">
        <f>TRIM(MID('WOREC LTP &amp; BKT)'!K7, FIND(":",'WOREC LTP &amp; BKT)'!K7,1)+1,100))</f>
        <v>3028</v>
      </c>
      <c r="T7" s="11" t="str">
        <f>TRIM(MID('WOREC LTP &amp; BKT)'!U7,FIND(":",'WOREC LTP &amp; BKT)'!U7,1)+1,100))</f>
        <v>0</v>
      </c>
      <c r="U7" s="11" t="str">
        <f>TRIM(MID('WOREC LTP &amp; BKT)'!AA7,FIND(":",'WOREC LTP &amp; BKT)'!AA7,1)+1,100))</f>
        <v>4437</v>
      </c>
      <c r="V7" s="175" t="str">
        <f>TRIM(MID('WOREC LTP &amp; BKT)'!AG7,FIND(":",'WOREC LTP &amp; BKT)'!AG7,1)+1,100))</f>
        <v>0</v>
      </c>
      <c r="W7" s="11" t="str">
        <f>TRIM(MID('WOREC LTP &amp; BKT)'!AG7,FIND(":",'WOREC LTP &amp; BKT)'!AG7,1)+1,100))</f>
        <v>0</v>
      </c>
      <c r="X7" s="11" t="str">
        <f>TRIM(MID('WOREC LTP &amp; BKT)'!AJ7,FIND(":",'WOREC LTP &amp; BKT)'!AJ7,1)+1,100))</f>
        <v>576</v>
      </c>
      <c r="Y7" s="102" t="s">
        <v>82</v>
      </c>
      <c r="Z7" s="11" t="str">
        <f>TRIM(MID('WOREC LTP &amp; BKT)'!AN7,FIND(":",'WOREC LTP &amp; BKT)'!AN7,1)+1,100))</f>
        <v>156</v>
      </c>
      <c r="AA7" s="11" t="str">
        <f>TRIM(MID('WOREC LTP &amp; BKT)'!AU7,FIND(":",'WOREC LTP &amp; BKT)'!AU7,1)+1,100))</f>
        <v>7</v>
      </c>
    </row>
    <row r="8" spans="1:27" x14ac:dyDescent="0.25">
      <c r="A8" s="87" t="s">
        <v>75</v>
      </c>
      <c r="B8" s="157" t="s">
        <v>136</v>
      </c>
      <c r="C8" s="158" t="s">
        <v>136</v>
      </c>
      <c r="D8" s="159" t="s">
        <v>136</v>
      </c>
      <c r="E8" s="159" t="s">
        <v>136</v>
      </c>
      <c r="F8" s="159" t="s">
        <v>136</v>
      </c>
      <c r="G8" s="160" t="s">
        <v>136</v>
      </c>
      <c r="H8" s="161" t="s">
        <v>136</v>
      </c>
      <c r="I8" s="162" t="s">
        <v>136</v>
      </c>
      <c r="J8" s="162" t="s">
        <v>136</v>
      </c>
      <c r="K8" s="162" t="s">
        <v>136</v>
      </c>
      <c r="L8" s="162" t="s">
        <v>136</v>
      </c>
      <c r="M8" s="163" t="s">
        <v>136</v>
      </c>
      <c r="N8" s="163" t="s">
        <v>136</v>
      </c>
      <c r="O8" s="164" t="s">
        <v>136</v>
      </c>
      <c r="P8" s="163" t="s">
        <v>136</v>
      </c>
      <c r="Q8" s="163" t="s">
        <v>136</v>
      </c>
      <c r="R8" s="165" t="s">
        <v>136</v>
      </c>
      <c r="S8" s="103" t="str">
        <f>TRIM(MID('POURAKHI (Dhading)'!B6,FIND(":",'POURAKHI (Dhading)'!B6,1)+1,100))</f>
        <v>7548</v>
      </c>
      <c r="T8" s="103" t="str">
        <f>TRIM(MID('POURAKHI (Dhading)'!L6,FIND(":",'POURAKHI (Dhading)'!L6,1)+1,100))</f>
        <v>3</v>
      </c>
      <c r="U8" s="103" t="str">
        <f>TRIM(MID('POURAKHI (Dhading)'!Q6,FIND(":",'POURAKHI (Dhading)'!Q6,1)+1,100))</f>
        <v>616</v>
      </c>
      <c r="V8" s="177" t="str">
        <f>TRIM(MID('POURAKHI (Dhading)'!V6,FIND(":",'POURAKHI (Dhading)'!V6,1)+1,100))</f>
        <v>9</v>
      </c>
      <c r="W8" s="103" t="str">
        <f>TRIM(MID('POURAKHI (Dhading)'!W6,FIND(":",'POURAKHI (Dhading)'!W6,1)+1,100))</f>
        <v>64</v>
      </c>
      <c r="X8" s="103" t="str">
        <f>TRIM(MID('POURAKHI (Dhading)'!Z6,FIND(":",'POURAKHI (Dhading)'!Z6,1)+1,100))</f>
        <v>2441</v>
      </c>
      <c r="Y8" s="102" t="s">
        <v>82</v>
      </c>
      <c r="Z8" s="103" t="str">
        <f>TRIM(MID('POURAKHI (Dhading)'!AD6,FIND(":",'POURAKHI (Dhading)'!AD6,1)+1,100))</f>
        <v>38</v>
      </c>
      <c r="AA8" s="103" t="str">
        <f>TRIM(MID('POURAKHI (Dhading)'!AG6,FIND(":",'POURAKHI (Dhading)'!AG6,1)+1,100))</f>
        <v>0</v>
      </c>
    </row>
    <row r="9" spans="1:27" x14ac:dyDescent="0.25">
      <c r="A9" s="88" t="s">
        <v>83</v>
      </c>
      <c r="B9" s="69">
        <f>SUM(VALUE(B4),VALUE(B5),VALUE(B6), VALUE(7))</f>
        <v>7312</v>
      </c>
      <c r="C9" s="69">
        <f t="shared" ref="C9:K9" si="0">SUM(VALUE(C4),VALUE(C5),VALUE(C6))</f>
        <v>11016</v>
      </c>
      <c r="D9" s="69">
        <f t="shared" si="0"/>
        <v>5123</v>
      </c>
      <c r="E9" s="69">
        <f t="shared" si="0"/>
        <v>154</v>
      </c>
      <c r="F9" s="69">
        <f t="shared" si="0"/>
        <v>74</v>
      </c>
      <c r="G9" s="103">
        <f t="shared" si="0"/>
        <v>2894</v>
      </c>
      <c r="H9" s="135">
        <f t="shared" si="0"/>
        <v>435</v>
      </c>
      <c r="I9" s="11">
        <f t="shared" si="0"/>
        <v>77</v>
      </c>
      <c r="J9" s="11">
        <f t="shared" si="0"/>
        <v>1</v>
      </c>
      <c r="K9" s="11">
        <f t="shared" si="0"/>
        <v>10619</v>
      </c>
      <c r="L9" s="11" t="s">
        <v>82</v>
      </c>
      <c r="M9" s="11">
        <f t="shared" ref="M9:R9" si="1">SUM(VALUE(M4),VALUE(M5),VALUE(M6))</f>
        <v>10619</v>
      </c>
      <c r="N9" s="11">
        <f t="shared" si="1"/>
        <v>169</v>
      </c>
      <c r="O9" s="11">
        <f t="shared" si="1"/>
        <v>493</v>
      </c>
      <c r="P9" s="11">
        <f>SUM(VALUE(P4),VALUE(P5),VALUE(P6), VALUE(P7))</f>
        <v>10101</v>
      </c>
      <c r="Q9" s="11">
        <f t="shared" si="1"/>
        <v>397</v>
      </c>
      <c r="R9" s="11">
        <f t="shared" si="1"/>
        <v>0</v>
      </c>
      <c r="S9" s="11">
        <f t="shared" ref="S9:X9" si="2">SUM(VALUE(S4),VALUE(S5),VALUE(S6),VALUE(S7),VALUE(S8))</f>
        <v>10625</v>
      </c>
      <c r="T9" s="103">
        <f t="shared" si="2"/>
        <v>12</v>
      </c>
      <c r="U9" s="103">
        <f t="shared" si="2"/>
        <v>5419</v>
      </c>
      <c r="V9" s="177">
        <f t="shared" si="2"/>
        <v>15</v>
      </c>
      <c r="W9" s="103">
        <f t="shared" si="2"/>
        <v>103</v>
      </c>
      <c r="X9" s="103">
        <f t="shared" si="2"/>
        <v>4111</v>
      </c>
      <c r="Y9" s="102" t="s">
        <v>82</v>
      </c>
      <c r="Z9" s="103">
        <f>SUM(VALUE(Z4),VALUE(Z5),VALUE(Z6),VALUE(Z7),VALUE(Z8))</f>
        <v>271</v>
      </c>
      <c r="AA9" s="103">
        <f>SUM(VALUE(AA4),VALUE(AA5),VALUE(AA6),VALUE(AA7),VALUE(AA8))</f>
        <v>7</v>
      </c>
    </row>
    <row r="10" spans="1:27" x14ac:dyDescent="0.25">
      <c r="A10" s="88" t="s">
        <v>72</v>
      </c>
      <c r="B10" s="69">
        <v>10000</v>
      </c>
      <c r="C10" s="74">
        <v>10000</v>
      </c>
      <c r="D10" s="53">
        <v>12000</v>
      </c>
      <c r="E10" s="53" t="s">
        <v>81</v>
      </c>
      <c r="F10" s="53" t="s">
        <v>81</v>
      </c>
      <c r="G10" s="103">
        <v>12000</v>
      </c>
      <c r="H10" s="135" t="s">
        <v>81</v>
      </c>
      <c r="I10" s="102" t="s">
        <v>81</v>
      </c>
      <c r="J10" s="102" t="s">
        <v>81</v>
      </c>
      <c r="K10" s="102" t="s">
        <v>81</v>
      </c>
      <c r="L10" s="102" t="s">
        <v>82</v>
      </c>
      <c r="M10" s="11" t="s">
        <v>81</v>
      </c>
      <c r="N10" s="11" t="s">
        <v>81</v>
      </c>
      <c r="O10" s="9" t="s">
        <v>81</v>
      </c>
      <c r="P10" s="11">
        <v>10000</v>
      </c>
      <c r="Q10" s="11" t="s">
        <v>81</v>
      </c>
      <c r="R10" s="24" t="s">
        <v>82</v>
      </c>
      <c r="S10" s="11">
        <v>27500</v>
      </c>
      <c r="T10" s="11">
        <v>25</v>
      </c>
      <c r="U10" s="11" t="s">
        <v>81</v>
      </c>
      <c r="V10" s="175" t="s">
        <v>81</v>
      </c>
      <c r="W10" s="11" t="s">
        <v>81</v>
      </c>
      <c r="X10" s="11" t="s">
        <v>81</v>
      </c>
      <c r="Y10" s="102" t="s">
        <v>81</v>
      </c>
      <c r="Z10" s="102" t="s">
        <v>81</v>
      </c>
      <c r="AA10" s="102" t="s">
        <v>81</v>
      </c>
    </row>
    <row r="11" spans="1:27" ht="15.75" thickBot="1" x14ac:dyDescent="0.3">
      <c r="A11" s="89" t="s">
        <v>73</v>
      </c>
      <c r="B11" s="67" t="str">
        <f>ROUND(B9/B10*100,2) &amp;"%"</f>
        <v>73.12%</v>
      </c>
      <c r="C11" s="85" t="str">
        <f>ROUND(C9/C10*100,2 )&amp;"%"</f>
        <v>110.16%</v>
      </c>
      <c r="D11" s="95" t="str">
        <f>ROUND(D9/D10*100, 2)&amp;"%"</f>
        <v>42.69%</v>
      </c>
      <c r="E11" s="95" t="s">
        <v>81</v>
      </c>
      <c r="F11" s="95" t="s">
        <v>81</v>
      </c>
      <c r="G11" s="104" t="str">
        <f>ROUND(G9/G10*100,2 )&amp;"%"</f>
        <v>24.12%</v>
      </c>
      <c r="H11" s="152" t="s">
        <v>81</v>
      </c>
      <c r="I11" s="153" t="s">
        <v>81</v>
      </c>
      <c r="J11" s="153" t="s">
        <v>81</v>
      </c>
      <c r="K11" s="153" t="s">
        <v>81</v>
      </c>
      <c r="L11" s="99" t="s">
        <v>82</v>
      </c>
      <c r="M11" s="96" t="s">
        <v>81</v>
      </c>
      <c r="N11" s="96" t="s">
        <v>81</v>
      </c>
      <c r="O11" s="100" t="s">
        <v>81</v>
      </c>
      <c r="P11" s="104" t="str">
        <f>ROUND(P9/P10*100,2 )&amp;"%"</f>
        <v>101.01%</v>
      </c>
      <c r="Q11" s="98" t="s">
        <v>81</v>
      </c>
      <c r="R11" s="101" t="s">
        <v>82</v>
      </c>
      <c r="S11" s="96" t="str">
        <f>ROUND(S9/S10*100,2 )&amp;"%"</f>
        <v>38.64%</v>
      </c>
      <c r="T11" s="96" t="str">
        <f>ROUND(T9/T10*100,2 )&amp;"%"</f>
        <v>48%</v>
      </c>
      <c r="U11" s="96" t="s">
        <v>81</v>
      </c>
      <c r="V11" s="178" t="s">
        <v>81</v>
      </c>
      <c r="W11" s="96" t="s">
        <v>81</v>
      </c>
      <c r="X11" s="96" t="s">
        <v>81</v>
      </c>
      <c r="Y11" s="153" t="s">
        <v>81</v>
      </c>
      <c r="Z11" s="153" t="s">
        <v>81</v>
      </c>
      <c r="AA11" s="153" t="s">
        <v>81</v>
      </c>
    </row>
    <row r="12" spans="1:27" x14ac:dyDescent="0.25">
      <c r="C12" s="105"/>
    </row>
    <row r="13" spans="1:27" x14ac:dyDescent="0.25">
      <c r="C13" s="105"/>
    </row>
    <row r="14" spans="1:27" x14ac:dyDescent="0.25">
      <c r="C14" s="105"/>
    </row>
    <row r="15" spans="1:27" x14ac:dyDescent="0.25">
      <c r="C15" s="105"/>
    </row>
    <row r="16" spans="1:27" x14ac:dyDescent="0.25">
      <c r="B16" s="29" t="s">
        <v>212</v>
      </c>
      <c r="C16" s="105"/>
    </row>
    <row r="17" spans="3:3" x14ac:dyDescent="0.25">
      <c r="C17" s="105"/>
    </row>
    <row r="18" spans="3:3" x14ac:dyDescent="0.25">
      <c r="C18" s="105"/>
    </row>
    <row r="19" spans="3:3" x14ac:dyDescent="0.25">
      <c r="C19" s="105"/>
    </row>
    <row r="20" spans="3:3" x14ac:dyDescent="0.25">
      <c r="C20" s="105"/>
    </row>
    <row r="21" spans="3:3" x14ac:dyDescent="0.25">
      <c r="C21" s="105"/>
    </row>
    <row r="22" spans="3:3" x14ac:dyDescent="0.25">
      <c r="C22" s="105"/>
    </row>
    <row r="23" spans="3:3" x14ac:dyDescent="0.25">
      <c r="C23" s="105"/>
    </row>
    <row r="24" spans="3:3" x14ac:dyDescent="0.25">
      <c r="C24" s="105"/>
    </row>
    <row r="25" spans="3:3" x14ac:dyDescent="0.25">
      <c r="C25" s="105"/>
    </row>
    <row r="26" spans="3:3" x14ac:dyDescent="0.25">
      <c r="C26" s="105"/>
    </row>
    <row r="27" spans="3:3" x14ac:dyDescent="0.25">
      <c r="C27" s="105"/>
    </row>
    <row r="28" spans="3:3" x14ac:dyDescent="0.25">
      <c r="C28" s="105"/>
    </row>
    <row r="29" spans="3:3" x14ac:dyDescent="0.25">
      <c r="C29" s="105"/>
    </row>
    <row r="30" spans="3:3" x14ac:dyDescent="0.25">
      <c r="C30" s="105"/>
    </row>
    <row r="31" spans="3:3" x14ac:dyDescent="0.25">
      <c r="C31" s="105"/>
    </row>
    <row r="32" spans="3:3" x14ac:dyDescent="0.25">
      <c r="C32" s="105"/>
    </row>
    <row r="33" spans="3:3" x14ac:dyDescent="0.25">
      <c r="C33" s="105"/>
    </row>
    <row r="34" spans="3:3" x14ac:dyDescent="0.25">
      <c r="C34" s="105"/>
    </row>
    <row r="35" spans="3:3" x14ac:dyDescent="0.25">
      <c r="C35" s="105"/>
    </row>
    <row r="36" spans="3:3" x14ac:dyDescent="0.25">
      <c r="C36" s="105"/>
    </row>
    <row r="37" spans="3:3" x14ac:dyDescent="0.25">
      <c r="C37" s="105"/>
    </row>
    <row r="38" spans="3:3" x14ac:dyDescent="0.25">
      <c r="C38" s="105"/>
    </row>
    <row r="39" spans="3:3" x14ac:dyDescent="0.25">
      <c r="C39" s="105"/>
    </row>
    <row r="40" spans="3:3" x14ac:dyDescent="0.25">
      <c r="C40" s="105"/>
    </row>
    <row r="41" spans="3:3" x14ac:dyDescent="0.25">
      <c r="C41" s="105"/>
    </row>
    <row r="42" spans="3:3" x14ac:dyDescent="0.25">
      <c r="C42" s="105"/>
    </row>
    <row r="43" spans="3:3" x14ac:dyDescent="0.25">
      <c r="C43" s="105"/>
    </row>
    <row r="44" spans="3:3" x14ac:dyDescent="0.25">
      <c r="C44" s="105"/>
    </row>
    <row r="45" spans="3:3" x14ac:dyDescent="0.25">
      <c r="C45" s="105"/>
    </row>
    <row r="46" spans="3:3" x14ac:dyDescent="0.25">
      <c r="C46" s="105"/>
    </row>
    <row r="47" spans="3:3" x14ac:dyDescent="0.25">
      <c r="C47" s="105"/>
    </row>
    <row r="48" spans="3:3" x14ac:dyDescent="0.25">
      <c r="C48" s="105"/>
    </row>
    <row r="49" spans="3:3" x14ac:dyDescent="0.25">
      <c r="C49" s="105"/>
    </row>
    <row r="50" spans="3:3" x14ac:dyDescent="0.25">
      <c r="C50" s="105"/>
    </row>
    <row r="51" spans="3:3" x14ac:dyDescent="0.25">
      <c r="C51" s="105"/>
    </row>
    <row r="52" spans="3:3" x14ac:dyDescent="0.25">
      <c r="C52" s="105"/>
    </row>
    <row r="53" spans="3:3" x14ac:dyDescent="0.25">
      <c r="C53" s="105"/>
    </row>
    <row r="54" spans="3:3" x14ac:dyDescent="0.25">
      <c r="C54" s="105"/>
    </row>
    <row r="55" spans="3:3" x14ac:dyDescent="0.25">
      <c r="C55" s="105"/>
    </row>
    <row r="56" spans="3:3" x14ac:dyDescent="0.25">
      <c r="C56" s="105"/>
    </row>
    <row r="57" spans="3:3" x14ac:dyDescent="0.25">
      <c r="C57" s="105"/>
    </row>
    <row r="58" spans="3:3" x14ac:dyDescent="0.25">
      <c r="C58" s="105"/>
    </row>
    <row r="59" spans="3:3" x14ac:dyDescent="0.25">
      <c r="C59" s="105"/>
    </row>
    <row r="60" spans="3:3" x14ac:dyDescent="0.25">
      <c r="C60" s="105"/>
    </row>
    <row r="61" spans="3:3" x14ac:dyDescent="0.25">
      <c r="C61" s="105"/>
    </row>
    <row r="62" spans="3:3" x14ac:dyDescent="0.25">
      <c r="C62" s="105"/>
    </row>
    <row r="63" spans="3:3" x14ac:dyDescent="0.25">
      <c r="C63" s="105"/>
    </row>
    <row r="64" spans="3:3" x14ac:dyDescent="0.25">
      <c r="C64" s="105"/>
    </row>
    <row r="65" spans="3:3" x14ac:dyDescent="0.25">
      <c r="C65" s="105"/>
    </row>
    <row r="66" spans="3:3" x14ac:dyDescent="0.25">
      <c r="C66" s="105"/>
    </row>
    <row r="67" spans="3:3" x14ac:dyDescent="0.25">
      <c r="C67" s="105"/>
    </row>
    <row r="68" spans="3:3" x14ac:dyDescent="0.25">
      <c r="C68" s="105"/>
    </row>
    <row r="69" spans="3:3" x14ac:dyDescent="0.25">
      <c r="C69" s="105"/>
    </row>
    <row r="70" spans="3:3" x14ac:dyDescent="0.25">
      <c r="C70" s="105"/>
    </row>
    <row r="71" spans="3:3" x14ac:dyDescent="0.25">
      <c r="C71" s="105"/>
    </row>
    <row r="72" spans="3:3" x14ac:dyDescent="0.25">
      <c r="C72" s="105"/>
    </row>
    <row r="73" spans="3:3" x14ac:dyDescent="0.25">
      <c r="C73" s="105"/>
    </row>
    <row r="74" spans="3:3" x14ac:dyDescent="0.25">
      <c r="C74" s="105"/>
    </row>
    <row r="75" spans="3:3" x14ac:dyDescent="0.25">
      <c r="C75" s="105"/>
    </row>
    <row r="76" spans="3:3" x14ac:dyDescent="0.25">
      <c r="C76" s="105"/>
    </row>
    <row r="77" spans="3:3" x14ac:dyDescent="0.25">
      <c r="C77" s="105"/>
    </row>
    <row r="78" spans="3:3" x14ac:dyDescent="0.25">
      <c r="C78" s="105"/>
    </row>
    <row r="79" spans="3:3" x14ac:dyDescent="0.25">
      <c r="C79" s="105"/>
    </row>
    <row r="80" spans="3:3" x14ac:dyDescent="0.25">
      <c r="C80" s="105"/>
    </row>
    <row r="81" spans="3:3" x14ac:dyDescent="0.25">
      <c r="C81" s="105"/>
    </row>
    <row r="82" spans="3:3" x14ac:dyDescent="0.25">
      <c r="C82" s="105"/>
    </row>
    <row r="83" spans="3:3" x14ac:dyDescent="0.25">
      <c r="C83" s="105"/>
    </row>
    <row r="84" spans="3:3" x14ac:dyDescent="0.25">
      <c r="C84" s="105"/>
    </row>
    <row r="85" spans="3:3" x14ac:dyDescent="0.25">
      <c r="C85" s="105"/>
    </row>
    <row r="86" spans="3:3" x14ac:dyDescent="0.25">
      <c r="C86" s="105"/>
    </row>
    <row r="87" spans="3:3" x14ac:dyDescent="0.25">
      <c r="C87" s="105"/>
    </row>
    <row r="88" spans="3:3" x14ac:dyDescent="0.25">
      <c r="C88" s="105"/>
    </row>
    <row r="89" spans="3:3" x14ac:dyDescent="0.25">
      <c r="C89" s="105"/>
    </row>
    <row r="90" spans="3:3" x14ac:dyDescent="0.25">
      <c r="C90" s="105"/>
    </row>
    <row r="91" spans="3:3" x14ac:dyDescent="0.25">
      <c r="C91" s="105"/>
    </row>
    <row r="92" spans="3:3" x14ac:dyDescent="0.25">
      <c r="C92" s="105"/>
    </row>
    <row r="93" spans="3:3" x14ac:dyDescent="0.25">
      <c r="C93" s="105"/>
    </row>
    <row r="94" spans="3:3" x14ac:dyDescent="0.25">
      <c r="C94" s="105"/>
    </row>
    <row r="95" spans="3:3" x14ac:dyDescent="0.25">
      <c r="C95" s="105"/>
    </row>
    <row r="96" spans="3:3" x14ac:dyDescent="0.25">
      <c r="C96" s="105"/>
    </row>
    <row r="97" spans="3:3" x14ac:dyDescent="0.25">
      <c r="C97" s="105"/>
    </row>
    <row r="98" spans="3:3" x14ac:dyDescent="0.25">
      <c r="C98" s="105"/>
    </row>
    <row r="99" spans="3:3" x14ac:dyDescent="0.25">
      <c r="C99" s="105"/>
    </row>
    <row r="100" spans="3:3" x14ac:dyDescent="0.25">
      <c r="C100" s="105"/>
    </row>
    <row r="101" spans="3:3" x14ac:dyDescent="0.25">
      <c r="C101" s="105"/>
    </row>
    <row r="102" spans="3:3" x14ac:dyDescent="0.25">
      <c r="C102" s="105"/>
    </row>
    <row r="103" spans="3:3" x14ac:dyDescent="0.25">
      <c r="C103" s="105"/>
    </row>
    <row r="104" spans="3:3" x14ac:dyDescent="0.25">
      <c r="C104" s="105"/>
    </row>
    <row r="105" spans="3:3" x14ac:dyDescent="0.25">
      <c r="C105" s="105"/>
    </row>
    <row r="106" spans="3:3" x14ac:dyDescent="0.25">
      <c r="C106" s="105"/>
    </row>
    <row r="107" spans="3:3" x14ac:dyDescent="0.25">
      <c r="C107" s="105"/>
    </row>
    <row r="108" spans="3:3" x14ac:dyDescent="0.25">
      <c r="C108" s="105"/>
    </row>
    <row r="109" spans="3:3" x14ac:dyDescent="0.25">
      <c r="C109" s="105"/>
    </row>
    <row r="110" spans="3:3" x14ac:dyDescent="0.25">
      <c r="C110" s="105"/>
    </row>
    <row r="111" spans="3:3" x14ac:dyDescent="0.25">
      <c r="C111" s="105"/>
    </row>
    <row r="112" spans="3:3" x14ac:dyDescent="0.25">
      <c r="C112" s="105"/>
    </row>
    <row r="113" spans="3:3" x14ac:dyDescent="0.25">
      <c r="C113" s="105"/>
    </row>
    <row r="114" spans="3:3" x14ac:dyDescent="0.25">
      <c r="C114" s="105"/>
    </row>
    <row r="115" spans="3:3" x14ac:dyDescent="0.25">
      <c r="C115" s="105"/>
    </row>
    <row r="116" spans="3:3" x14ac:dyDescent="0.25">
      <c r="C116" s="105"/>
    </row>
    <row r="117" spans="3:3" x14ac:dyDescent="0.25">
      <c r="C117" s="105"/>
    </row>
    <row r="118" spans="3:3" x14ac:dyDescent="0.25">
      <c r="C118" s="105"/>
    </row>
    <row r="119" spans="3:3" x14ac:dyDescent="0.25">
      <c r="C119" s="105"/>
    </row>
    <row r="120" spans="3:3" x14ac:dyDescent="0.25">
      <c r="C120" s="105"/>
    </row>
    <row r="121" spans="3:3" x14ac:dyDescent="0.25">
      <c r="C121" s="105"/>
    </row>
    <row r="122" spans="3:3" x14ac:dyDescent="0.25">
      <c r="C122" s="105"/>
    </row>
    <row r="123" spans="3:3" x14ac:dyDescent="0.25">
      <c r="C123" s="105"/>
    </row>
    <row r="124" spans="3:3" x14ac:dyDescent="0.25">
      <c r="C124" s="105"/>
    </row>
    <row r="125" spans="3:3" x14ac:dyDescent="0.25">
      <c r="C125" s="105"/>
    </row>
    <row r="126" spans="3:3" x14ac:dyDescent="0.25">
      <c r="C126" s="105"/>
    </row>
    <row r="127" spans="3:3" x14ac:dyDescent="0.25">
      <c r="C127" s="105"/>
    </row>
    <row r="128" spans="3:3" x14ac:dyDescent="0.25">
      <c r="C128" s="105"/>
    </row>
    <row r="129" spans="3:3" x14ac:dyDescent="0.25">
      <c r="C129" s="105"/>
    </row>
    <row r="130" spans="3:3" x14ac:dyDescent="0.25">
      <c r="C130" s="105"/>
    </row>
    <row r="131" spans="3:3" x14ac:dyDescent="0.25">
      <c r="C131" s="105"/>
    </row>
    <row r="132" spans="3:3" x14ac:dyDescent="0.25">
      <c r="C132" s="105"/>
    </row>
    <row r="133" spans="3:3" x14ac:dyDescent="0.25">
      <c r="C133" s="105"/>
    </row>
    <row r="134" spans="3:3" x14ac:dyDescent="0.25">
      <c r="C134" s="105"/>
    </row>
    <row r="135" spans="3:3" x14ac:dyDescent="0.25">
      <c r="C135" s="105"/>
    </row>
  </sheetData>
  <sheetProtection formatCells="0" formatColumns="0" formatRows="0" insertColumns="0" insertRows="0" insertHyperlinks="0" deleteColumns="0" deleteRows="0" sort="0" autoFilter="0" pivotTables="0"/>
  <mergeCells count="7">
    <mergeCell ref="S2:AA2"/>
    <mergeCell ref="A2:A3"/>
    <mergeCell ref="G2:I2"/>
    <mergeCell ref="L2:O2"/>
    <mergeCell ref="P2:R2"/>
    <mergeCell ref="B2:C2"/>
    <mergeCell ref="D2:F2"/>
  </mergeCells>
  <pageMargins left="0.7" right="0.7" top="0.75" bottom="0.75" header="0.3" footer="0.3"/>
  <pageSetup paperSize="9"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BK170"/>
  <sheetViews>
    <sheetView zoomScale="80" zoomScaleNormal="80" workbookViewId="0">
      <pane xSplit="1" topLeftCell="B1" activePane="topRight" state="frozen"/>
      <selection pane="topRight" activeCell="BD6" sqref="BD6:BD22"/>
    </sheetView>
  </sheetViews>
  <sheetFormatPr defaultRowHeight="15" x14ac:dyDescent="0.25"/>
  <cols>
    <col min="1" max="1" width="18.5703125" customWidth="1"/>
    <col min="2" max="2" width="23.140625" customWidth="1"/>
    <col min="3" max="3" width="11" bestFit="1" customWidth="1"/>
    <col min="4" max="4" width="8.5703125" bestFit="1" customWidth="1"/>
    <col min="5" max="5" width="9.85546875" bestFit="1" customWidth="1"/>
    <col min="6" max="6" width="52.85546875" bestFit="1" customWidth="1"/>
    <col min="7" max="7" width="16.5703125" customWidth="1"/>
    <col min="8" max="8" width="36" customWidth="1"/>
    <col min="9" max="9" width="34.7109375" customWidth="1"/>
    <col min="10" max="10" width="44.42578125" bestFit="1" customWidth="1"/>
    <col min="11" max="11" width="36" customWidth="1"/>
    <col min="12" max="12" width="34.7109375" customWidth="1"/>
    <col min="13" max="13" width="37.85546875" customWidth="1"/>
    <col min="14" max="14" width="35" customWidth="1"/>
    <col min="15" max="15" width="40.140625" customWidth="1"/>
    <col min="16" max="16" width="43.7109375" bestFit="1" customWidth="1"/>
    <col min="17" max="17" width="23.42578125" bestFit="1" customWidth="1"/>
    <col min="18" max="18" width="36.28515625" customWidth="1"/>
    <col min="19" max="19" width="58.85546875" bestFit="1" customWidth="1"/>
    <col min="20" max="20" width="60.140625" customWidth="1"/>
    <col min="21" max="21" width="15" bestFit="1" customWidth="1"/>
    <col min="22" max="22" width="12.7109375" bestFit="1" customWidth="1"/>
    <col min="23" max="23" width="26" customWidth="1"/>
    <col min="24" max="24" width="9.5703125" bestFit="1" customWidth="1"/>
    <col min="25" max="25" width="58.5703125" bestFit="1" customWidth="1"/>
    <col min="26" max="26" width="26" customWidth="1"/>
    <col min="27" max="27" width="17" bestFit="1" customWidth="1"/>
    <col min="28" max="28" width="46" bestFit="1" customWidth="1"/>
    <col min="29" max="29" width="19.85546875" bestFit="1" customWidth="1"/>
    <col min="30" max="30" width="29.28515625" bestFit="1" customWidth="1"/>
    <col min="31" max="31" width="19.28515625" bestFit="1" customWidth="1"/>
    <col min="32" max="32" width="20" customWidth="1"/>
    <col min="33" max="33" width="21.5703125" customWidth="1"/>
    <col min="34" max="34" width="42.7109375" bestFit="1" customWidth="1"/>
    <col min="35" max="35" width="22" bestFit="1" customWidth="1"/>
    <col min="36" max="36" width="17.7109375" bestFit="1" customWidth="1"/>
    <col min="37" max="37" width="33.5703125" bestFit="1" customWidth="1"/>
    <col min="38" max="38" width="37.7109375" bestFit="1" customWidth="1"/>
    <col min="39" max="39" width="30.85546875" bestFit="1" customWidth="1"/>
    <col min="40" max="40" width="35.140625" bestFit="1" customWidth="1"/>
    <col min="41" max="41" width="28" bestFit="1" customWidth="1"/>
    <col min="42" max="42" width="34.5703125" customWidth="1"/>
    <col min="43" max="43" width="62.7109375" bestFit="1" customWidth="1"/>
    <col min="44" max="44" width="78.140625" customWidth="1"/>
    <col min="45" max="45" width="17.28515625" bestFit="1" customWidth="1"/>
    <col min="46" max="46" width="34.5703125" customWidth="1"/>
    <col min="47" max="47" width="56.28515625" bestFit="1" customWidth="1"/>
    <col min="48" max="48" width="42.42578125" customWidth="1"/>
    <col min="49" max="49" width="62.7109375" bestFit="1" customWidth="1"/>
    <col min="50" max="50" width="43.7109375" bestFit="1" customWidth="1"/>
    <col min="51" max="51" width="62.42578125" bestFit="1" customWidth="1"/>
    <col min="52" max="52" width="48.7109375" bestFit="1" customWidth="1"/>
    <col min="53" max="53" width="69.140625" bestFit="1" customWidth="1"/>
    <col min="54" max="54" width="38.5703125" bestFit="1" customWidth="1"/>
    <col min="55" max="55" width="18.7109375" bestFit="1" customWidth="1"/>
    <col min="56" max="56" width="25.5703125" bestFit="1" customWidth="1"/>
    <col min="57" max="57" width="17" bestFit="1" customWidth="1"/>
    <col min="58" max="60" width="34.42578125" customWidth="1"/>
    <col min="61" max="61" width="29.85546875" customWidth="1"/>
    <col min="62" max="62" width="38.7109375" customWidth="1"/>
    <col min="63" max="63" width="49" customWidth="1"/>
    <col min="64" max="64" width="60" bestFit="1" customWidth="1"/>
    <col min="65" max="65" width="60.7109375" customWidth="1"/>
  </cols>
  <sheetData>
    <row r="1" spans="1:63" x14ac:dyDescent="0.25">
      <c r="A1" s="123" t="str">
        <f>Overview!A1</f>
        <v>NERP file designed by Biju &amp; updated as of 07.10.2015</v>
      </c>
    </row>
    <row r="2" spans="1:63" ht="15.75" thickBot="1" x14ac:dyDescent="0.3">
      <c r="A2" s="52" t="s">
        <v>78</v>
      </c>
    </row>
    <row r="3" spans="1:63" s="2" customFormat="1" ht="17.25" customHeight="1" thickBot="1" x14ac:dyDescent="0.3">
      <c r="A3" s="402" t="s">
        <v>14</v>
      </c>
      <c r="B3" s="359" t="s">
        <v>98</v>
      </c>
      <c r="C3" s="355"/>
      <c r="D3" s="355"/>
      <c r="E3" s="355"/>
      <c r="F3" s="356"/>
      <c r="G3" s="359" t="s">
        <v>99</v>
      </c>
      <c r="H3" s="355"/>
      <c r="I3" s="355"/>
      <c r="J3" s="301"/>
      <c r="K3" s="355"/>
      <c r="L3" s="355"/>
      <c r="M3" s="359" t="s">
        <v>100</v>
      </c>
      <c r="N3" s="355"/>
      <c r="O3" s="355"/>
      <c r="P3" s="355"/>
      <c r="Q3" s="355"/>
      <c r="R3" s="355"/>
      <c r="S3" s="356"/>
      <c r="T3" s="360" t="s">
        <v>101</v>
      </c>
      <c r="U3" s="361"/>
      <c r="V3" s="361"/>
      <c r="W3" s="361"/>
      <c r="X3" s="361"/>
      <c r="Y3" s="405"/>
      <c r="Z3" s="405"/>
      <c r="AA3" s="405"/>
      <c r="AB3" s="362"/>
      <c r="AC3" s="359" t="s">
        <v>102</v>
      </c>
      <c r="AD3" s="355"/>
      <c r="AE3" s="355"/>
      <c r="AF3" s="355"/>
      <c r="AG3" s="355"/>
      <c r="AH3" s="356"/>
      <c r="AI3" s="359" t="s">
        <v>103</v>
      </c>
      <c r="AJ3" s="355"/>
      <c r="AK3" s="355"/>
      <c r="AL3" s="355"/>
      <c r="AM3" s="355"/>
      <c r="AN3" s="355"/>
      <c r="AO3" s="355"/>
      <c r="AP3" s="355"/>
      <c r="AQ3" s="355"/>
      <c r="AR3" s="355"/>
      <c r="AS3" s="355"/>
      <c r="AT3" s="355"/>
      <c r="AU3" s="355"/>
      <c r="AV3" s="355"/>
      <c r="AW3" s="355"/>
      <c r="AX3" s="355"/>
      <c r="AY3" s="355"/>
      <c r="AZ3" s="355"/>
      <c r="BA3" s="355"/>
      <c r="BB3" s="355"/>
      <c r="BC3" s="355"/>
      <c r="BD3" s="355"/>
      <c r="BE3" s="355"/>
      <c r="BF3" s="355"/>
      <c r="BG3" s="355"/>
      <c r="BH3" s="355"/>
      <c r="BI3" s="355"/>
      <c r="BJ3" s="355"/>
      <c r="BK3" s="356"/>
    </row>
    <row r="4" spans="1:63" s="22" customFormat="1" ht="123" customHeight="1" thickBot="1" x14ac:dyDescent="0.3">
      <c r="A4" s="403"/>
      <c r="B4" s="363" t="str">
        <f>Overview!B3</f>
        <v>Indicator S1: NFI (Tarp, Blanket, Matt etcetera) for maintaining a safe and adequate temporary shelter.
ACT Target: 10000 HH</v>
      </c>
      <c r="C4" s="364"/>
      <c r="D4" s="364"/>
      <c r="E4" s="365"/>
      <c r="F4" s="63" t="str">
        <f>Overview!C3</f>
        <v>Indicator S2: Families/target households benefited from cash support (USD 150) for constructing intermediate shelter.
ACT Target: 10000 HH</v>
      </c>
      <c r="G4" s="363" t="str">
        <f>Overview!D3</f>
        <v xml:space="preserve">Indicator W1: HHs have safe drinking water minimum 15 litres per person. 
ACT Target: 12000 HH
</v>
      </c>
      <c r="H4" s="364"/>
      <c r="I4" s="365"/>
      <c r="J4" s="63" t="str">
        <f>Overview!E3</f>
        <v>Indicator WX1 (Non ACT): Recorded # of emergency latrines</v>
      </c>
      <c r="K4" s="364" t="str">
        <f>Overview!F3</f>
        <v xml:space="preserve">
Indicator W2: # of Temporary and permanent water distribution points constructed
ACT Target: tbc
Indicator W3: # of water distribution networks identified and repaired/rehabilitated
ACT Target: tbc</v>
      </c>
      <c r="L4" s="365"/>
      <c r="M4" s="363" t="str">
        <f>Overview!G3</f>
        <v>Indicator R1:  approximately 90,000 individual/beneficiaries) have access to latrine as per the standard of maximum 20 persons per latrine.
ACT Target: 12000 HH</v>
      </c>
      <c r="N4" s="365"/>
      <c r="O4" s="63" t="str">
        <f>Overview!H3</f>
        <v>Indicator R3: Individual permanent latrines built/repaired
ACT Target: ?</v>
      </c>
      <c r="P4" s="363" t="str">
        <f>Overview!I3</f>
        <v>Indicator R4: School/insitutional latrines bilt/reparied
ACT Target: ?</v>
      </c>
      <c r="Q4" s="365"/>
      <c r="R4" s="63" t="str">
        <f>Overview!J3</f>
        <v>Indicator R5: # of showers/bathing places constructed
ACT Target: tbc</v>
      </c>
      <c r="S4" s="63" t="str">
        <f>Overview!K3</f>
        <v>Indicator R6: 90 % of latrines repaired/rehabilitated/ constructed are equipped with hand washing facilities, one 1 liter mug and one 10 liter bucket for anal cleansing.
ACT Target: tbc</v>
      </c>
      <c r="T4" s="63" t="str">
        <f>Overview!L3</f>
        <v>Indicator H1: 70% beneficiaries from the hygiene promotion program have increased knowledge about WASH related health risks and are able to take action to prevent these and to make optimal use of water and sanitation facilities.
ACT Target: tbc</v>
      </c>
      <c r="U4" s="363" t="str">
        <f>Overview!M3</f>
        <v>Indicator H2: # of hygiene kits distributed to households
ACT Target: tbc</v>
      </c>
      <c r="V4" s="364"/>
      <c r="W4" s="365"/>
      <c r="X4" s="363" t="str">
        <f>Overview!N3</f>
        <v xml:space="preserve"> Indicator H3: # of hygiene promoters are recruited and trained
ACT Target: tbc</v>
      </c>
      <c r="Y4" s="364"/>
      <c r="Z4" s="364"/>
      <c r="AA4" s="365"/>
      <c r="AB4" s="63" t="str">
        <f>Overview!O3</f>
        <v>Indicator H4: # of hygiene promotion activities carried out in target locations
 ACT Target: tbc</v>
      </c>
      <c r="AC4" s="363" t="str">
        <f>Overview!P3</f>
        <v xml:space="preserve">Indicator L1: Distribution of food items to 10,000 affected families during the emergency period.
ACT Target: 10000HH
</v>
      </c>
      <c r="AD4" s="364"/>
      <c r="AE4" s="365"/>
      <c r="AF4" s="363" t="str">
        <f>Overview!Q3</f>
        <v>Indicator L2: Early Recovery Livelihood Assistance
ACT Target: NA</v>
      </c>
      <c r="AG4" s="365"/>
      <c r="AH4" s="63" t="str">
        <f>Overview!R3</f>
        <v>Indicator L3: 90% of beneficiaries express satisfaction
ACT Target: tbc</v>
      </c>
      <c r="AI4" s="363" t="str">
        <f>Overview!S3</f>
        <v>Indicator P1: 5,000 affected families/households have access to community based psychosocial support.
ACT Target: 27500 Persons</v>
      </c>
      <c r="AJ4" s="364"/>
      <c r="AK4" s="364"/>
      <c r="AL4" s="364"/>
      <c r="AM4" s="364"/>
      <c r="AN4" s="364"/>
      <c r="AO4" s="364"/>
      <c r="AP4" s="364"/>
      <c r="AQ4" s="364"/>
      <c r="AR4" s="365"/>
      <c r="AS4" s="363" t="str">
        <f>Overview!T3</f>
        <v>Indicator P2: Community and family support networks (formal and informal groups) that provide protection, care, and psychosocial support for vulnerable earthquake-affected families are strengthened.
ACT Target: 25</v>
      </c>
      <c r="AT4" s="364"/>
      <c r="AU4" s="364"/>
      <c r="AV4" s="364"/>
      <c r="AW4" s="365"/>
      <c r="AX4" s="363" t="s">
        <v>263</v>
      </c>
      <c r="AY4" s="364"/>
      <c r="AZ4" s="364"/>
      <c r="BA4" s="365"/>
      <c r="BB4" s="20" t="str">
        <f>Overview!V3</f>
        <v>Indicator P3: Safe spaces for women &amp; children established equipped
ACT Target: tbc</v>
      </c>
      <c r="BC4" s="363" t="str">
        <f>Overview!W3</f>
        <v>Indicator P4: Culturally appropriate recreational activities for girls, boys and adolescents organized in affected communities.
ACT Target: tbc</v>
      </c>
      <c r="BD4" s="364"/>
      <c r="BE4" s="365"/>
      <c r="BF4" s="363" t="s">
        <v>264</v>
      </c>
      <c r="BG4" s="364"/>
      <c r="BH4" s="365"/>
      <c r="BI4" s="63" t="str">
        <f>Overview!Y3</f>
        <v>Indicator P5: Increased levels of knowledge on CBPS among participants.
ACT Target: tbc</v>
      </c>
      <c r="BJ4" s="63" t="str">
        <f>Overview!Z3</f>
        <v>(ACT member staff and community/social workers and staff of partners trained in community based psychosocial support and/or psychological first aid.
Target: tbc</v>
      </c>
      <c r="BK4" s="63" t="str">
        <f>Overview!AA3</f>
        <v>Indicator P6: Referral systems for people in need of focused care/specialized mental health or protection services identified/established
ACT Target: tbc</v>
      </c>
    </row>
    <row r="5" spans="1:63" s="43" customFormat="1" ht="15" customHeight="1" x14ac:dyDescent="0.25">
      <c r="A5" s="404"/>
      <c r="B5" s="207" t="s">
        <v>49</v>
      </c>
      <c r="C5" s="72" t="s">
        <v>2</v>
      </c>
      <c r="D5" s="72" t="s">
        <v>47</v>
      </c>
      <c r="E5" s="73" t="s">
        <v>19</v>
      </c>
      <c r="F5" s="206" t="s">
        <v>48</v>
      </c>
      <c r="G5" s="211" t="s">
        <v>48</v>
      </c>
      <c r="H5" s="72" t="s">
        <v>94</v>
      </c>
      <c r="I5" s="210" t="s">
        <v>95</v>
      </c>
      <c r="J5" s="77" t="s">
        <v>337</v>
      </c>
      <c r="K5" s="75" t="s">
        <v>94</v>
      </c>
      <c r="L5" s="210" t="s">
        <v>95</v>
      </c>
      <c r="M5" s="232" t="s">
        <v>108</v>
      </c>
      <c r="N5" s="233" t="s">
        <v>107</v>
      </c>
      <c r="O5" s="219" t="s">
        <v>111</v>
      </c>
      <c r="P5" s="234" t="s">
        <v>106</v>
      </c>
      <c r="Q5" s="219" t="s">
        <v>104</v>
      </c>
      <c r="R5" s="219" t="s">
        <v>112</v>
      </c>
      <c r="S5" s="77" t="s">
        <v>84</v>
      </c>
      <c r="T5" s="439" t="s">
        <v>334</v>
      </c>
      <c r="U5" s="211" t="s">
        <v>114</v>
      </c>
      <c r="V5" s="78" t="s">
        <v>50</v>
      </c>
      <c r="W5" s="79" t="s">
        <v>20</v>
      </c>
      <c r="X5" s="205" t="s">
        <v>328</v>
      </c>
      <c r="Y5" s="302" t="s">
        <v>329</v>
      </c>
      <c r="Z5" s="302" t="s">
        <v>330</v>
      </c>
      <c r="AA5" s="302" t="s">
        <v>331</v>
      </c>
      <c r="AB5" s="205" t="s">
        <v>52</v>
      </c>
      <c r="AC5" s="235" t="s">
        <v>87</v>
      </c>
      <c r="AD5" s="236" t="s">
        <v>86</v>
      </c>
      <c r="AE5" s="237" t="s">
        <v>54</v>
      </c>
      <c r="AF5" s="76" t="s">
        <v>48</v>
      </c>
      <c r="AG5" s="82" t="s">
        <v>54</v>
      </c>
      <c r="AH5" s="28" t="s">
        <v>53</v>
      </c>
      <c r="AI5" s="170" t="s">
        <v>133</v>
      </c>
      <c r="AJ5" s="170" t="s">
        <v>240</v>
      </c>
      <c r="AK5" s="204" t="s">
        <v>232</v>
      </c>
      <c r="AL5" s="204" t="s">
        <v>233</v>
      </c>
      <c r="AM5" s="204" t="s">
        <v>234</v>
      </c>
      <c r="AN5" s="150" t="s">
        <v>235</v>
      </c>
      <c r="AO5" s="150" t="s">
        <v>236</v>
      </c>
      <c r="AP5" s="150" t="s">
        <v>237</v>
      </c>
      <c r="AQ5" s="150" t="s">
        <v>238</v>
      </c>
      <c r="AR5" s="208" t="s">
        <v>239</v>
      </c>
      <c r="AS5" s="77" t="s">
        <v>124</v>
      </c>
      <c r="AT5" s="171" t="s">
        <v>243</v>
      </c>
      <c r="AU5" s="171" t="s">
        <v>242</v>
      </c>
      <c r="AV5" s="171" t="s">
        <v>245</v>
      </c>
      <c r="AW5" s="171" t="s">
        <v>247</v>
      </c>
      <c r="AX5" s="171" t="s">
        <v>241</v>
      </c>
      <c r="AY5" s="171" t="s">
        <v>244</v>
      </c>
      <c r="AZ5" s="171" t="s">
        <v>246</v>
      </c>
      <c r="BA5" s="171" t="s">
        <v>248</v>
      </c>
      <c r="BB5" s="77" t="s">
        <v>58</v>
      </c>
      <c r="BC5" s="75" t="s">
        <v>249</v>
      </c>
      <c r="BD5" s="72" t="s">
        <v>251</v>
      </c>
      <c r="BE5" s="83" t="s">
        <v>253</v>
      </c>
      <c r="BF5" s="209" t="s">
        <v>250</v>
      </c>
      <c r="BG5" s="72" t="s">
        <v>252</v>
      </c>
      <c r="BH5" s="73" t="s">
        <v>254</v>
      </c>
      <c r="BI5" s="77" t="s">
        <v>266</v>
      </c>
      <c r="BJ5" s="77" t="s">
        <v>268</v>
      </c>
      <c r="BK5" s="77" t="s">
        <v>141</v>
      </c>
    </row>
    <row r="6" spans="1:63" x14ac:dyDescent="0.25">
      <c r="A6" s="58" t="s">
        <v>15</v>
      </c>
      <c r="B6" s="6">
        <f>C6</f>
        <v>2144</v>
      </c>
      <c r="C6" s="12">
        <v>2144</v>
      </c>
      <c r="D6" s="12">
        <v>0</v>
      </c>
      <c r="E6" s="38">
        <v>0</v>
      </c>
      <c r="F6" s="21">
        <v>0</v>
      </c>
      <c r="G6" s="18">
        <v>121</v>
      </c>
      <c r="H6" s="12">
        <v>1</v>
      </c>
      <c r="I6" s="17">
        <v>1</v>
      </c>
      <c r="J6" s="23">
        <v>16</v>
      </c>
      <c r="K6" s="15">
        <f>H6</f>
        <v>1</v>
      </c>
      <c r="L6" s="17">
        <f>I6</f>
        <v>1</v>
      </c>
      <c r="M6" s="18">
        <v>8</v>
      </c>
      <c r="N6" s="136">
        <v>0</v>
      </c>
      <c r="O6" s="62">
        <v>0</v>
      </c>
      <c r="P6" s="10">
        <v>6</v>
      </c>
      <c r="Q6" s="62">
        <v>1</v>
      </c>
      <c r="R6" s="62">
        <v>0</v>
      </c>
      <c r="S6" s="102">
        <f>U6</f>
        <v>151</v>
      </c>
      <c r="T6" s="440"/>
      <c r="U6" s="10">
        <f>SUM(V6)</f>
        <v>151</v>
      </c>
      <c r="V6" s="15">
        <v>151</v>
      </c>
      <c r="W6" s="17">
        <v>0</v>
      </c>
      <c r="X6" s="21">
        <v>0</v>
      </c>
      <c r="Y6" s="21">
        <v>0</v>
      </c>
      <c r="Z6" s="21">
        <v>0</v>
      </c>
      <c r="AA6" s="21">
        <v>0</v>
      </c>
      <c r="AB6" s="9">
        <v>0</v>
      </c>
      <c r="AC6" s="113">
        <f>SUM(AD6:AE6)</f>
        <v>195</v>
      </c>
      <c r="AD6" s="35">
        <v>195</v>
      </c>
      <c r="AE6" s="111">
        <f>AG6</f>
        <v>0</v>
      </c>
      <c r="AF6" s="30">
        <f>AG6</f>
        <v>0</v>
      </c>
      <c r="AG6" s="5">
        <v>0</v>
      </c>
      <c r="AH6" s="28" t="s">
        <v>53</v>
      </c>
      <c r="AI6" s="396">
        <f>AL6+AN6+AP6+AR6</f>
        <v>0</v>
      </c>
      <c r="AJ6" s="375">
        <f>AK6+AM6+AO6+AQ6</f>
        <v>0</v>
      </c>
      <c r="AK6" s="378">
        <v>0</v>
      </c>
      <c r="AL6" s="378">
        <v>0</v>
      </c>
      <c r="AM6" s="378">
        <v>0</v>
      </c>
      <c r="AN6" s="378">
        <v>0</v>
      </c>
      <c r="AO6" s="378">
        <v>0</v>
      </c>
      <c r="AP6" s="378">
        <v>0</v>
      </c>
      <c r="AQ6" s="378">
        <v>0</v>
      </c>
      <c r="AR6" s="378">
        <v>0</v>
      </c>
      <c r="AS6" s="442">
        <v>0</v>
      </c>
      <c r="AT6" s="385">
        <v>0</v>
      </c>
      <c r="AU6" s="385">
        <v>4</v>
      </c>
      <c r="AV6" s="385">
        <v>4</v>
      </c>
      <c r="AW6" s="385">
        <v>4</v>
      </c>
      <c r="AX6" s="385">
        <v>0</v>
      </c>
      <c r="AY6" s="385">
        <v>30</v>
      </c>
      <c r="AZ6" s="385">
        <v>56</v>
      </c>
      <c r="BA6" s="385">
        <v>89</v>
      </c>
      <c r="BB6" s="442">
        <v>0</v>
      </c>
      <c r="BC6" s="375">
        <v>0</v>
      </c>
      <c r="BD6" s="378">
        <v>4</v>
      </c>
      <c r="BE6" s="445">
        <v>0</v>
      </c>
      <c r="BF6" s="366">
        <v>0</v>
      </c>
      <c r="BG6" s="369">
        <v>69</v>
      </c>
      <c r="BH6" s="372">
        <v>0</v>
      </c>
      <c r="BI6" s="393"/>
      <c r="BJ6" s="393">
        <v>8</v>
      </c>
      <c r="BK6" s="393">
        <v>0</v>
      </c>
    </row>
    <row r="7" spans="1:63" x14ac:dyDescent="0.25">
      <c r="A7" s="26" t="s">
        <v>3</v>
      </c>
      <c r="B7" s="6">
        <f t="shared" ref="B7:B22" si="0">C7</f>
        <v>0</v>
      </c>
      <c r="C7" s="12">
        <v>0</v>
      </c>
      <c r="D7" s="12">
        <v>0</v>
      </c>
      <c r="E7" s="38">
        <v>0</v>
      </c>
      <c r="F7" s="21">
        <v>596</v>
      </c>
      <c r="G7" s="131">
        <v>0</v>
      </c>
      <c r="H7" s="12">
        <v>2</v>
      </c>
      <c r="I7" s="17">
        <v>2</v>
      </c>
      <c r="J7" s="23">
        <v>30</v>
      </c>
      <c r="K7" s="15">
        <f t="shared" ref="K7:K22" si="1">H7</f>
        <v>2</v>
      </c>
      <c r="L7" s="17">
        <f t="shared" ref="L7:L22" si="2">I7</f>
        <v>2</v>
      </c>
      <c r="M7" s="18">
        <v>29</v>
      </c>
      <c r="N7" s="136">
        <v>0</v>
      </c>
      <c r="O7" s="62">
        <v>0</v>
      </c>
      <c r="P7" s="10">
        <v>0</v>
      </c>
      <c r="Q7" s="62">
        <v>0</v>
      </c>
      <c r="R7" s="62">
        <v>1</v>
      </c>
      <c r="S7" s="102">
        <f t="shared" ref="S7:S22" si="3">U7</f>
        <v>595</v>
      </c>
      <c r="T7" s="440"/>
      <c r="U7" s="10">
        <f t="shared" ref="U7:U22" si="4">SUM(V7)</f>
        <v>595</v>
      </c>
      <c r="V7" s="15">
        <v>595</v>
      </c>
      <c r="W7" s="17">
        <v>539</v>
      </c>
      <c r="X7" s="21">
        <v>2</v>
      </c>
      <c r="Y7" s="21">
        <v>1</v>
      </c>
      <c r="Z7" s="21">
        <v>0</v>
      </c>
      <c r="AA7" s="21">
        <v>0</v>
      </c>
      <c r="AB7" s="9">
        <v>2</v>
      </c>
      <c r="AC7" s="113">
        <f t="shared" ref="AC7:AC22" si="5">SUM(AD7:AE7)</f>
        <v>0</v>
      </c>
      <c r="AD7" s="35">
        <v>0</v>
      </c>
      <c r="AE7" s="111">
        <f t="shared" ref="AE7:AE22" si="6">AG7</f>
        <v>0</v>
      </c>
      <c r="AF7" s="30">
        <f t="shared" ref="AF7:AF22" si="7">AG7</f>
        <v>0</v>
      </c>
      <c r="AG7" s="5">
        <v>0</v>
      </c>
      <c r="AH7" s="28" t="s">
        <v>53</v>
      </c>
      <c r="AI7" s="397"/>
      <c r="AJ7" s="376"/>
      <c r="AK7" s="379"/>
      <c r="AL7" s="381"/>
      <c r="AM7" s="379"/>
      <c r="AN7" s="381"/>
      <c r="AO7" s="379"/>
      <c r="AP7" s="381"/>
      <c r="AQ7" s="381"/>
      <c r="AR7" s="379"/>
      <c r="AS7" s="443"/>
      <c r="AT7" s="386"/>
      <c r="AU7" s="386"/>
      <c r="AV7" s="386"/>
      <c r="AW7" s="386"/>
      <c r="AX7" s="386"/>
      <c r="AY7" s="386"/>
      <c r="AZ7" s="386"/>
      <c r="BA7" s="386"/>
      <c r="BB7" s="443"/>
      <c r="BC7" s="376"/>
      <c r="BD7" s="381"/>
      <c r="BE7" s="446"/>
      <c r="BF7" s="367"/>
      <c r="BG7" s="370"/>
      <c r="BH7" s="373"/>
      <c r="BI7" s="394"/>
      <c r="BJ7" s="394"/>
      <c r="BK7" s="394"/>
    </row>
    <row r="8" spans="1:63" x14ac:dyDescent="0.25">
      <c r="A8" s="26" t="s">
        <v>4</v>
      </c>
      <c r="B8" s="6">
        <f t="shared" si="0"/>
        <v>0</v>
      </c>
      <c r="C8" s="12">
        <v>0</v>
      </c>
      <c r="D8" s="12">
        <v>0</v>
      </c>
      <c r="E8" s="38">
        <v>0</v>
      </c>
      <c r="F8" s="21">
        <v>826</v>
      </c>
      <c r="G8" s="18">
        <v>0</v>
      </c>
      <c r="H8" s="12">
        <v>0</v>
      </c>
      <c r="I8" s="17">
        <v>0</v>
      </c>
      <c r="J8" s="23">
        <f>'ECO-Nepal (Gorkha)'!M8</f>
        <v>0</v>
      </c>
      <c r="K8" s="15">
        <f t="shared" si="1"/>
        <v>0</v>
      </c>
      <c r="L8" s="17">
        <f t="shared" si="2"/>
        <v>0</v>
      </c>
      <c r="M8" s="18">
        <v>0</v>
      </c>
      <c r="N8" s="136">
        <v>0</v>
      </c>
      <c r="O8" s="62">
        <v>0</v>
      </c>
      <c r="P8" s="10">
        <v>0</v>
      </c>
      <c r="Q8" s="62">
        <v>0</v>
      </c>
      <c r="R8" s="62">
        <v>0</v>
      </c>
      <c r="S8" s="102">
        <f t="shared" si="3"/>
        <v>848</v>
      </c>
      <c r="T8" s="440"/>
      <c r="U8" s="10">
        <f t="shared" si="4"/>
        <v>848</v>
      </c>
      <c r="V8" s="15">
        <v>848</v>
      </c>
      <c r="W8" s="17">
        <v>848</v>
      </c>
      <c r="X8" s="21">
        <v>2</v>
      </c>
      <c r="Y8" s="21">
        <v>2</v>
      </c>
      <c r="Z8" s="21">
        <v>9</v>
      </c>
      <c r="AA8" s="21">
        <v>9</v>
      </c>
      <c r="AB8" s="9">
        <v>2</v>
      </c>
      <c r="AC8" s="113">
        <f t="shared" si="5"/>
        <v>0</v>
      </c>
      <c r="AD8" s="35">
        <v>0</v>
      </c>
      <c r="AE8" s="111">
        <f t="shared" si="6"/>
        <v>0</v>
      </c>
      <c r="AF8" s="30">
        <f t="shared" si="7"/>
        <v>0</v>
      </c>
      <c r="AG8" s="5">
        <v>0</v>
      </c>
      <c r="AH8" s="28" t="s">
        <v>53</v>
      </c>
      <c r="AI8" s="397"/>
      <c r="AJ8" s="376"/>
      <c r="AK8" s="379"/>
      <c r="AL8" s="381"/>
      <c r="AM8" s="379"/>
      <c r="AN8" s="381"/>
      <c r="AO8" s="379"/>
      <c r="AP8" s="381"/>
      <c r="AQ8" s="381"/>
      <c r="AR8" s="379"/>
      <c r="AS8" s="443"/>
      <c r="AT8" s="386"/>
      <c r="AU8" s="386"/>
      <c r="AV8" s="386"/>
      <c r="AW8" s="386"/>
      <c r="AX8" s="386"/>
      <c r="AY8" s="386"/>
      <c r="AZ8" s="386"/>
      <c r="BA8" s="386"/>
      <c r="BB8" s="443"/>
      <c r="BC8" s="376"/>
      <c r="BD8" s="381"/>
      <c r="BE8" s="446"/>
      <c r="BF8" s="367"/>
      <c r="BG8" s="370"/>
      <c r="BH8" s="373"/>
      <c r="BI8" s="394"/>
      <c r="BJ8" s="394"/>
      <c r="BK8" s="394"/>
    </row>
    <row r="9" spans="1:63" x14ac:dyDescent="0.25">
      <c r="A9" s="26" t="s">
        <v>5</v>
      </c>
      <c r="B9" s="6">
        <f t="shared" si="0"/>
        <v>0</v>
      </c>
      <c r="C9" s="12">
        <v>0</v>
      </c>
      <c r="D9" s="12">
        <v>0</v>
      </c>
      <c r="E9" s="38">
        <v>0</v>
      </c>
      <c r="F9" s="21">
        <v>0</v>
      </c>
      <c r="G9" s="18">
        <v>0</v>
      </c>
      <c r="H9" s="12">
        <v>0</v>
      </c>
      <c r="I9" s="17">
        <v>0</v>
      </c>
      <c r="J9" s="23">
        <f>'ECO-Nepal (Gorkha)'!M9</f>
        <v>0</v>
      </c>
      <c r="K9" s="15">
        <f t="shared" si="1"/>
        <v>0</v>
      </c>
      <c r="L9" s="17">
        <f t="shared" si="2"/>
        <v>0</v>
      </c>
      <c r="M9" s="18">
        <v>0</v>
      </c>
      <c r="N9" s="136">
        <v>0</v>
      </c>
      <c r="O9" s="62">
        <v>0</v>
      </c>
      <c r="P9" s="10">
        <v>0</v>
      </c>
      <c r="Q9" s="62">
        <v>0</v>
      </c>
      <c r="R9" s="62">
        <v>0</v>
      </c>
      <c r="S9" s="102">
        <f t="shared" si="3"/>
        <v>653</v>
      </c>
      <c r="T9" s="440"/>
      <c r="U9" s="10">
        <f t="shared" si="4"/>
        <v>653</v>
      </c>
      <c r="V9" s="15">
        <v>653</v>
      </c>
      <c r="W9" s="17">
        <v>653</v>
      </c>
      <c r="X9" s="21">
        <v>2</v>
      </c>
      <c r="Y9" s="21">
        <v>2</v>
      </c>
      <c r="Z9" s="21">
        <v>7</v>
      </c>
      <c r="AA9" s="21">
        <v>9</v>
      </c>
      <c r="AB9" s="9">
        <v>2</v>
      </c>
      <c r="AC9" s="113">
        <f t="shared" si="5"/>
        <v>187</v>
      </c>
      <c r="AD9" s="35">
        <v>0</v>
      </c>
      <c r="AE9" s="111">
        <f t="shared" si="6"/>
        <v>187</v>
      </c>
      <c r="AF9" s="30">
        <f t="shared" si="7"/>
        <v>187</v>
      </c>
      <c r="AG9" s="5">
        <v>187</v>
      </c>
      <c r="AH9" s="28" t="s">
        <v>53</v>
      </c>
      <c r="AI9" s="397"/>
      <c r="AJ9" s="376"/>
      <c r="AK9" s="379"/>
      <c r="AL9" s="381"/>
      <c r="AM9" s="379"/>
      <c r="AN9" s="381"/>
      <c r="AO9" s="379"/>
      <c r="AP9" s="381"/>
      <c r="AQ9" s="381"/>
      <c r="AR9" s="379"/>
      <c r="AS9" s="443"/>
      <c r="AT9" s="386"/>
      <c r="AU9" s="386"/>
      <c r="AV9" s="386"/>
      <c r="AW9" s="386"/>
      <c r="AX9" s="386"/>
      <c r="AY9" s="386"/>
      <c r="AZ9" s="386"/>
      <c r="BA9" s="386"/>
      <c r="BB9" s="443"/>
      <c r="BC9" s="376"/>
      <c r="BD9" s="381"/>
      <c r="BE9" s="446"/>
      <c r="BF9" s="367"/>
      <c r="BG9" s="370"/>
      <c r="BH9" s="373"/>
      <c r="BI9" s="394"/>
      <c r="BJ9" s="394"/>
      <c r="BK9" s="394"/>
    </row>
    <row r="10" spans="1:63" x14ac:dyDescent="0.25">
      <c r="A10" s="26" t="s">
        <v>16</v>
      </c>
      <c r="B10" s="6">
        <f t="shared" si="0"/>
        <v>150</v>
      </c>
      <c r="C10" s="12">
        <v>150</v>
      </c>
      <c r="D10" s="12">
        <v>0</v>
      </c>
      <c r="E10" s="38">
        <v>0</v>
      </c>
      <c r="F10" s="21">
        <v>1026</v>
      </c>
      <c r="G10" s="18">
        <f>110+70+30</f>
        <v>210</v>
      </c>
      <c r="H10" s="12">
        <v>4</v>
      </c>
      <c r="I10" s="17">
        <v>2</v>
      </c>
      <c r="J10" s="23">
        <f>'ECO-Nepal (Gorkha)'!M10</f>
        <v>18</v>
      </c>
      <c r="K10" s="15">
        <f t="shared" si="1"/>
        <v>4</v>
      </c>
      <c r="L10" s="17">
        <f t="shared" si="2"/>
        <v>2</v>
      </c>
      <c r="M10" s="18">
        <v>18</v>
      </c>
      <c r="N10" s="136">
        <v>0</v>
      </c>
      <c r="O10" s="62">
        <v>0</v>
      </c>
      <c r="P10" s="10">
        <v>0</v>
      </c>
      <c r="Q10" s="62">
        <v>0</v>
      </c>
      <c r="R10" s="62">
        <v>0</v>
      </c>
      <c r="S10" s="102">
        <f t="shared" si="3"/>
        <v>0</v>
      </c>
      <c r="T10" s="440"/>
      <c r="U10" s="10">
        <f t="shared" si="4"/>
        <v>0</v>
      </c>
      <c r="V10" s="59">
        <v>0</v>
      </c>
      <c r="W10" s="17">
        <v>1047</v>
      </c>
      <c r="X10" s="21">
        <v>2</v>
      </c>
      <c r="Y10" s="21">
        <v>2</v>
      </c>
      <c r="Z10" s="21">
        <v>6</v>
      </c>
      <c r="AA10" s="21">
        <v>9</v>
      </c>
      <c r="AB10" s="9">
        <v>1</v>
      </c>
      <c r="AC10" s="113">
        <f t="shared" si="5"/>
        <v>0</v>
      </c>
      <c r="AD10" s="35">
        <v>0</v>
      </c>
      <c r="AE10" s="111">
        <f t="shared" si="6"/>
        <v>0</v>
      </c>
      <c r="AF10" s="30">
        <f t="shared" si="7"/>
        <v>0</v>
      </c>
      <c r="AG10" s="5">
        <v>0</v>
      </c>
      <c r="AH10" s="28" t="s">
        <v>53</v>
      </c>
      <c r="AI10" s="397"/>
      <c r="AJ10" s="376"/>
      <c r="AK10" s="379"/>
      <c r="AL10" s="381"/>
      <c r="AM10" s="379"/>
      <c r="AN10" s="381"/>
      <c r="AO10" s="379"/>
      <c r="AP10" s="381"/>
      <c r="AQ10" s="381"/>
      <c r="AR10" s="379"/>
      <c r="AS10" s="443"/>
      <c r="AT10" s="386"/>
      <c r="AU10" s="386"/>
      <c r="AV10" s="386"/>
      <c r="AW10" s="386"/>
      <c r="AX10" s="386"/>
      <c r="AY10" s="386"/>
      <c r="AZ10" s="386"/>
      <c r="BA10" s="386"/>
      <c r="BB10" s="443"/>
      <c r="BC10" s="376"/>
      <c r="BD10" s="381"/>
      <c r="BE10" s="446"/>
      <c r="BF10" s="367"/>
      <c r="BG10" s="370"/>
      <c r="BH10" s="373"/>
      <c r="BI10" s="394"/>
      <c r="BJ10" s="394"/>
      <c r="BK10" s="394"/>
    </row>
    <row r="11" spans="1:63" x14ac:dyDescent="0.25">
      <c r="A11" s="35" t="s">
        <v>51</v>
      </c>
      <c r="B11" s="6">
        <f t="shared" si="0"/>
        <v>0</v>
      </c>
      <c r="C11" s="12">
        <v>0</v>
      </c>
      <c r="D11" s="12">
        <v>0</v>
      </c>
      <c r="E11" s="38">
        <v>0</v>
      </c>
      <c r="F11" s="21">
        <v>0</v>
      </c>
      <c r="G11" s="18">
        <v>0</v>
      </c>
      <c r="H11" s="15">
        <v>0</v>
      </c>
      <c r="I11" s="17">
        <v>0</v>
      </c>
      <c r="J11" s="23">
        <f>'ECO-Nepal (Gorkha)'!M11</f>
        <v>0</v>
      </c>
      <c r="K11" s="15">
        <f t="shared" si="1"/>
        <v>0</v>
      </c>
      <c r="L11" s="17">
        <f t="shared" si="2"/>
        <v>0</v>
      </c>
      <c r="M11" s="18">
        <v>0</v>
      </c>
      <c r="N11" s="136">
        <v>0</v>
      </c>
      <c r="O11" s="62">
        <v>0</v>
      </c>
      <c r="P11" s="10">
        <v>0</v>
      </c>
      <c r="Q11" s="62">
        <v>0</v>
      </c>
      <c r="R11" s="62">
        <v>0</v>
      </c>
      <c r="S11" s="102">
        <f t="shared" si="3"/>
        <v>175</v>
      </c>
      <c r="T11" s="440"/>
      <c r="U11" s="311">
        <f t="shared" si="4"/>
        <v>175</v>
      </c>
      <c r="V11" s="312">
        <v>175</v>
      </c>
      <c r="W11" s="313">
        <v>0</v>
      </c>
      <c r="X11" s="21">
        <v>0</v>
      </c>
      <c r="Y11" s="21">
        <v>0</v>
      </c>
      <c r="Z11" s="21">
        <v>0</v>
      </c>
      <c r="AA11" s="21">
        <v>0</v>
      </c>
      <c r="AB11" s="9">
        <v>0</v>
      </c>
      <c r="AC11" s="113">
        <f t="shared" si="5"/>
        <v>0</v>
      </c>
      <c r="AD11" s="35">
        <v>0</v>
      </c>
      <c r="AE11" s="111">
        <f t="shared" si="6"/>
        <v>0</v>
      </c>
      <c r="AF11" s="30">
        <f t="shared" si="7"/>
        <v>0</v>
      </c>
      <c r="AG11" s="5">
        <v>0</v>
      </c>
      <c r="AH11" s="28" t="s">
        <v>53</v>
      </c>
      <c r="AI11" s="397"/>
      <c r="AJ11" s="376"/>
      <c r="AK11" s="379"/>
      <c r="AL11" s="381"/>
      <c r="AM11" s="379"/>
      <c r="AN11" s="381"/>
      <c r="AO11" s="379"/>
      <c r="AP11" s="381"/>
      <c r="AQ11" s="381"/>
      <c r="AR11" s="379"/>
      <c r="AS11" s="443"/>
      <c r="AT11" s="386"/>
      <c r="AU11" s="386"/>
      <c r="AV11" s="386"/>
      <c r="AW11" s="386"/>
      <c r="AX11" s="386"/>
      <c r="AY11" s="386"/>
      <c r="AZ11" s="386"/>
      <c r="BA11" s="386"/>
      <c r="BB11" s="443"/>
      <c r="BC11" s="376"/>
      <c r="BD11" s="381"/>
      <c r="BE11" s="446"/>
      <c r="BF11" s="367"/>
      <c r="BG11" s="370"/>
      <c r="BH11" s="373"/>
      <c r="BI11" s="394"/>
      <c r="BJ11" s="394"/>
      <c r="BK11" s="394"/>
    </row>
    <row r="12" spans="1:63" x14ac:dyDescent="0.25">
      <c r="A12" s="36" t="s">
        <v>6</v>
      </c>
      <c r="B12" s="6">
        <f t="shared" si="0"/>
        <v>0</v>
      </c>
      <c r="C12" s="12">
        <v>0</v>
      </c>
      <c r="D12" s="12">
        <v>0</v>
      </c>
      <c r="E12" s="38">
        <v>0</v>
      </c>
      <c r="F12" s="21">
        <v>0</v>
      </c>
      <c r="G12" s="18">
        <v>0</v>
      </c>
      <c r="H12" s="15">
        <v>0</v>
      </c>
      <c r="I12" s="17">
        <v>0</v>
      </c>
      <c r="J12" s="23">
        <f>'ECO-Nepal (Gorkha)'!M12</f>
        <v>0</v>
      </c>
      <c r="K12" s="15">
        <f t="shared" si="1"/>
        <v>0</v>
      </c>
      <c r="L12" s="17">
        <f t="shared" si="2"/>
        <v>0</v>
      </c>
      <c r="M12" s="18">
        <v>0</v>
      </c>
      <c r="N12" s="136">
        <v>0</v>
      </c>
      <c r="O12" s="62">
        <v>0</v>
      </c>
      <c r="P12" s="10">
        <v>0</v>
      </c>
      <c r="Q12" s="62">
        <v>0</v>
      </c>
      <c r="R12" s="62">
        <v>0</v>
      </c>
      <c r="S12" s="102">
        <f t="shared" si="3"/>
        <v>885</v>
      </c>
      <c r="T12" s="440"/>
      <c r="U12" s="10">
        <f t="shared" si="4"/>
        <v>885</v>
      </c>
      <c r="V12" s="15">
        <v>885</v>
      </c>
      <c r="W12" s="17">
        <v>0</v>
      </c>
      <c r="X12" s="21">
        <v>0</v>
      </c>
      <c r="Y12" s="21">
        <v>0</v>
      </c>
      <c r="Z12" s="21">
        <v>0</v>
      </c>
      <c r="AA12" s="21">
        <v>0</v>
      </c>
      <c r="AB12" s="9">
        <v>0</v>
      </c>
      <c r="AC12" s="113">
        <f t="shared" si="5"/>
        <v>0</v>
      </c>
      <c r="AD12" s="35">
        <v>0</v>
      </c>
      <c r="AE12" s="111">
        <f t="shared" si="6"/>
        <v>0</v>
      </c>
      <c r="AF12" s="30">
        <f t="shared" si="7"/>
        <v>0</v>
      </c>
      <c r="AG12" s="5">
        <v>0</v>
      </c>
      <c r="AH12" s="28" t="s">
        <v>53</v>
      </c>
      <c r="AI12" s="397"/>
      <c r="AJ12" s="376"/>
      <c r="AK12" s="379"/>
      <c r="AL12" s="381"/>
      <c r="AM12" s="379"/>
      <c r="AN12" s="381"/>
      <c r="AO12" s="379"/>
      <c r="AP12" s="381"/>
      <c r="AQ12" s="381"/>
      <c r="AR12" s="379"/>
      <c r="AS12" s="443"/>
      <c r="AT12" s="386"/>
      <c r="AU12" s="386"/>
      <c r="AV12" s="386"/>
      <c r="AW12" s="386"/>
      <c r="AX12" s="386"/>
      <c r="AY12" s="386"/>
      <c r="AZ12" s="386"/>
      <c r="BA12" s="386"/>
      <c r="BB12" s="443"/>
      <c r="BC12" s="376"/>
      <c r="BD12" s="381"/>
      <c r="BE12" s="446"/>
      <c r="BF12" s="367"/>
      <c r="BG12" s="370"/>
      <c r="BH12" s="373"/>
      <c r="BI12" s="394"/>
      <c r="BJ12" s="394"/>
      <c r="BK12" s="394"/>
    </row>
    <row r="13" spans="1:63" x14ac:dyDescent="0.25">
      <c r="A13" s="36" t="s">
        <v>17</v>
      </c>
      <c r="B13" s="6">
        <f t="shared" si="0"/>
        <v>275</v>
      </c>
      <c r="C13" s="12">
        <v>275</v>
      </c>
      <c r="D13" s="12">
        <v>275</v>
      </c>
      <c r="E13" s="38">
        <v>275</v>
      </c>
      <c r="F13" s="21">
        <v>0</v>
      </c>
      <c r="G13" s="18">
        <v>0</v>
      </c>
      <c r="H13" s="15">
        <v>0</v>
      </c>
      <c r="I13" s="17">
        <v>0</v>
      </c>
      <c r="J13" s="23">
        <v>22</v>
      </c>
      <c r="K13" s="15">
        <f t="shared" si="1"/>
        <v>0</v>
      </c>
      <c r="L13" s="17">
        <f t="shared" si="2"/>
        <v>0</v>
      </c>
      <c r="M13" s="18">
        <v>20</v>
      </c>
      <c r="N13" s="136">
        <v>0</v>
      </c>
      <c r="O13" s="62">
        <v>0</v>
      </c>
      <c r="P13" s="10">
        <v>2</v>
      </c>
      <c r="Q13" s="62">
        <v>0</v>
      </c>
      <c r="R13" s="62">
        <v>0</v>
      </c>
      <c r="S13" s="102">
        <f t="shared" si="3"/>
        <v>279</v>
      </c>
      <c r="T13" s="440"/>
      <c r="U13" s="10">
        <f t="shared" si="4"/>
        <v>279</v>
      </c>
      <c r="V13" s="15">
        <v>279</v>
      </c>
      <c r="W13" s="17">
        <v>0</v>
      </c>
      <c r="X13" s="21">
        <v>0</v>
      </c>
      <c r="Y13" s="21">
        <v>0</v>
      </c>
      <c r="Z13" s="21">
        <v>0</v>
      </c>
      <c r="AA13" s="21">
        <v>0</v>
      </c>
      <c r="AB13" s="9">
        <v>0</v>
      </c>
      <c r="AC13" s="113">
        <f t="shared" si="5"/>
        <v>36</v>
      </c>
      <c r="AD13" s="35">
        <v>36</v>
      </c>
      <c r="AE13" s="111">
        <f t="shared" si="6"/>
        <v>0</v>
      </c>
      <c r="AF13" s="30">
        <f t="shared" si="7"/>
        <v>0</v>
      </c>
      <c r="AG13" s="5">
        <v>0</v>
      </c>
      <c r="AH13" s="28" t="s">
        <v>53</v>
      </c>
      <c r="AI13" s="397"/>
      <c r="AJ13" s="376"/>
      <c r="AK13" s="379"/>
      <c r="AL13" s="381"/>
      <c r="AM13" s="379"/>
      <c r="AN13" s="381"/>
      <c r="AO13" s="379"/>
      <c r="AP13" s="381"/>
      <c r="AQ13" s="381"/>
      <c r="AR13" s="379"/>
      <c r="AS13" s="443"/>
      <c r="AT13" s="386"/>
      <c r="AU13" s="386"/>
      <c r="AV13" s="386"/>
      <c r="AW13" s="386"/>
      <c r="AX13" s="386"/>
      <c r="AY13" s="386"/>
      <c r="AZ13" s="386"/>
      <c r="BA13" s="386"/>
      <c r="BB13" s="443"/>
      <c r="BC13" s="376"/>
      <c r="BD13" s="381"/>
      <c r="BE13" s="446"/>
      <c r="BF13" s="367"/>
      <c r="BG13" s="370"/>
      <c r="BH13" s="373"/>
      <c r="BI13" s="394"/>
      <c r="BJ13" s="394"/>
      <c r="BK13" s="394"/>
    </row>
    <row r="14" spans="1:63" x14ac:dyDescent="0.25">
      <c r="A14" s="36" t="s">
        <v>18</v>
      </c>
      <c r="B14" s="6">
        <f t="shared" si="0"/>
        <v>256</v>
      </c>
      <c r="C14" s="12">
        <v>256</v>
      </c>
      <c r="D14" s="12">
        <v>256</v>
      </c>
      <c r="E14" s="38">
        <v>256</v>
      </c>
      <c r="F14" s="21">
        <v>0</v>
      </c>
      <c r="G14" s="18">
        <v>0</v>
      </c>
      <c r="H14" s="15">
        <v>0</v>
      </c>
      <c r="I14" s="17">
        <v>0</v>
      </c>
      <c r="J14" s="23">
        <f>'ECO-Nepal (Gorkha)'!M14</f>
        <v>0</v>
      </c>
      <c r="K14" s="15">
        <f t="shared" si="1"/>
        <v>0</v>
      </c>
      <c r="L14" s="17">
        <f t="shared" si="2"/>
        <v>0</v>
      </c>
      <c r="M14" s="18">
        <v>0</v>
      </c>
      <c r="N14" s="136">
        <v>0</v>
      </c>
      <c r="O14" s="62">
        <v>0</v>
      </c>
      <c r="P14" s="10">
        <v>0</v>
      </c>
      <c r="Q14" s="62">
        <v>0</v>
      </c>
      <c r="R14" s="62">
        <v>0</v>
      </c>
      <c r="S14" s="102">
        <f t="shared" si="3"/>
        <v>0</v>
      </c>
      <c r="T14" s="440"/>
      <c r="U14" s="10">
        <f t="shared" si="4"/>
        <v>0</v>
      </c>
      <c r="V14" s="15">
        <v>0</v>
      </c>
      <c r="W14" s="17">
        <v>0</v>
      </c>
      <c r="X14" s="21">
        <v>0</v>
      </c>
      <c r="Y14" s="21">
        <v>0</v>
      </c>
      <c r="Z14" s="21">
        <v>0</v>
      </c>
      <c r="AA14" s="21">
        <v>0</v>
      </c>
      <c r="AB14" s="9">
        <v>0</v>
      </c>
      <c r="AC14" s="113">
        <f t="shared" si="5"/>
        <v>0</v>
      </c>
      <c r="AD14" s="35">
        <v>0</v>
      </c>
      <c r="AE14" s="111">
        <f t="shared" si="6"/>
        <v>0</v>
      </c>
      <c r="AF14" s="30">
        <f t="shared" si="7"/>
        <v>0</v>
      </c>
      <c r="AG14" s="5">
        <v>0</v>
      </c>
      <c r="AH14" s="28" t="s">
        <v>53</v>
      </c>
      <c r="AI14" s="397"/>
      <c r="AJ14" s="376"/>
      <c r="AK14" s="379"/>
      <c r="AL14" s="381"/>
      <c r="AM14" s="379"/>
      <c r="AN14" s="381"/>
      <c r="AO14" s="379"/>
      <c r="AP14" s="381"/>
      <c r="AQ14" s="381"/>
      <c r="AR14" s="379"/>
      <c r="AS14" s="443"/>
      <c r="AT14" s="386"/>
      <c r="AU14" s="386"/>
      <c r="AV14" s="386"/>
      <c r="AW14" s="386"/>
      <c r="AX14" s="386"/>
      <c r="AY14" s="386"/>
      <c r="AZ14" s="386"/>
      <c r="BA14" s="386"/>
      <c r="BB14" s="443"/>
      <c r="BC14" s="376"/>
      <c r="BD14" s="381"/>
      <c r="BE14" s="446"/>
      <c r="BF14" s="367"/>
      <c r="BG14" s="370"/>
      <c r="BH14" s="373"/>
      <c r="BI14" s="394"/>
      <c r="BJ14" s="394"/>
      <c r="BK14" s="394"/>
    </row>
    <row r="15" spans="1:63" x14ac:dyDescent="0.25">
      <c r="A15" s="36" t="s">
        <v>21</v>
      </c>
      <c r="B15" s="6">
        <f t="shared" si="0"/>
        <v>0</v>
      </c>
      <c r="C15" s="12">
        <v>0</v>
      </c>
      <c r="D15" s="12">
        <v>0</v>
      </c>
      <c r="E15" s="38">
        <v>0</v>
      </c>
      <c r="F15" s="21">
        <v>0</v>
      </c>
      <c r="G15" s="18">
        <v>0</v>
      </c>
      <c r="H15" s="15">
        <v>0</v>
      </c>
      <c r="I15" s="17">
        <v>0</v>
      </c>
      <c r="J15" s="23">
        <f>'ECO-Nepal (Gorkha)'!M15</f>
        <v>0</v>
      </c>
      <c r="K15" s="15">
        <f t="shared" si="1"/>
        <v>0</v>
      </c>
      <c r="L15" s="17">
        <f t="shared" si="2"/>
        <v>0</v>
      </c>
      <c r="M15" s="18">
        <v>0</v>
      </c>
      <c r="N15" s="136">
        <v>0</v>
      </c>
      <c r="O15" s="62">
        <v>0</v>
      </c>
      <c r="P15" s="10">
        <v>0</v>
      </c>
      <c r="Q15" s="62">
        <v>0</v>
      </c>
      <c r="R15" s="62">
        <v>0</v>
      </c>
      <c r="S15" s="102">
        <f t="shared" si="3"/>
        <v>0</v>
      </c>
      <c r="T15" s="440"/>
      <c r="U15" s="10">
        <f t="shared" si="4"/>
        <v>0</v>
      </c>
      <c r="V15" s="15">
        <v>0</v>
      </c>
      <c r="W15" s="17">
        <v>0</v>
      </c>
      <c r="X15" s="21">
        <v>0</v>
      </c>
      <c r="Y15" s="21">
        <v>0</v>
      </c>
      <c r="Z15" s="21">
        <v>0</v>
      </c>
      <c r="AA15" s="21">
        <v>0</v>
      </c>
      <c r="AB15" s="9">
        <v>0</v>
      </c>
      <c r="AC15" s="113">
        <f t="shared" si="5"/>
        <v>412</v>
      </c>
      <c r="AD15" s="35">
        <v>412</v>
      </c>
      <c r="AE15" s="111">
        <f t="shared" si="6"/>
        <v>0</v>
      </c>
      <c r="AF15" s="30">
        <f t="shared" si="7"/>
        <v>0</v>
      </c>
      <c r="AG15" s="5">
        <v>0</v>
      </c>
      <c r="AH15" s="28" t="s">
        <v>53</v>
      </c>
      <c r="AI15" s="397"/>
      <c r="AJ15" s="376"/>
      <c r="AK15" s="379"/>
      <c r="AL15" s="381"/>
      <c r="AM15" s="379"/>
      <c r="AN15" s="381"/>
      <c r="AO15" s="379"/>
      <c r="AP15" s="381"/>
      <c r="AQ15" s="381"/>
      <c r="AR15" s="379"/>
      <c r="AS15" s="443"/>
      <c r="AT15" s="386"/>
      <c r="AU15" s="386"/>
      <c r="AV15" s="386"/>
      <c r="AW15" s="386"/>
      <c r="AX15" s="386"/>
      <c r="AY15" s="386"/>
      <c r="AZ15" s="386"/>
      <c r="BA15" s="386"/>
      <c r="BB15" s="443"/>
      <c r="BC15" s="376"/>
      <c r="BD15" s="381"/>
      <c r="BE15" s="446"/>
      <c r="BF15" s="367"/>
      <c r="BG15" s="370"/>
      <c r="BH15" s="373"/>
      <c r="BI15" s="394"/>
      <c r="BJ15" s="394"/>
      <c r="BK15" s="394"/>
    </row>
    <row r="16" spans="1:63" x14ac:dyDescent="0.25">
      <c r="A16" s="36" t="s">
        <v>22</v>
      </c>
      <c r="B16" s="6">
        <f t="shared" si="0"/>
        <v>0</v>
      </c>
      <c r="C16" s="12">
        <v>0</v>
      </c>
      <c r="D16" s="12">
        <v>0</v>
      </c>
      <c r="E16" s="38">
        <v>0</v>
      </c>
      <c r="F16" s="21">
        <v>0</v>
      </c>
      <c r="G16" s="18">
        <v>0</v>
      </c>
      <c r="H16" s="15">
        <v>0</v>
      </c>
      <c r="I16" s="17">
        <v>0</v>
      </c>
      <c r="J16" s="23">
        <f>'ECO-Nepal (Gorkha)'!M16</f>
        <v>0</v>
      </c>
      <c r="K16" s="15">
        <f t="shared" si="1"/>
        <v>0</v>
      </c>
      <c r="L16" s="17">
        <f t="shared" si="2"/>
        <v>0</v>
      </c>
      <c r="M16" s="18">
        <v>0</v>
      </c>
      <c r="N16" s="136">
        <v>0</v>
      </c>
      <c r="O16" s="62">
        <v>0</v>
      </c>
      <c r="P16" s="10">
        <v>0</v>
      </c>
      <c r="Q16" s="62">
        <v>0</v>
      </c>
      <c r="R16" s="62">
        <v>0</v>
      </c>
      <c r="S16" s="102">
        <f t="shared" si="3"/>
        <v>0</v>
      </c>
      <c r="T16" s="440"/>
      <c r="U16" s="10">
        <f t="shared" si="4"/>
        <v>0</v>
      </c>
      <c r="V16" s="15">
        <v>0</v>
      </c>
      <c r="W16" s="17">
        <v>0</v>
      </c>
      <c r="X16" s="21">
        <v>0</v>
      </c>
      <c r="Y16" s="21">
        <v>0</v>
      </c>
      <c r="Z16" s="21">
        <v>0</v>
      </c>
      <c r="AA16" s="21">
        <v>0</v>
      </c>
      <c r="AB16" s="9">
        <v>0</v>
      </c>
      <c r="AC16" s="113">
        <f t="shared" si="5"/>
        <v>291</v>
      </c>
      <c r="AD16" s="35">
        <v>291</v>
      </c>
      <c r="AE16" s="111">
        <f t="shared" si="6"/>
        <v>0</v>
      </c>
      <c r="AF16" s="30">
        <f t="shared" si="7"/>
        <v>0</v>
      </c>
      <c r="AG16" s="5">
        <v>0</v>
      </c>
      <c r="AH16" s="28" t="s">
        <v>53</v>
      </c>
      <c r="AI16" s="397"/>
      <c r="AJ16" s="376"/>
      <c r="AK16" s="379"/>
      <c r="AL16" s="381"/>
      <c r="AM16" s="379"/>
      <c r="AN16" s="381"/>
      <c r="AO16" s="379"/>
      <c r="AP16" s="381"/>
      <c r="AQ16" s="381"/>
      <c r="AR16" s="379"/>
      <c r="AS16" s="443"/>
      <c r="AT16" s="386"/>
      <c r="AU16" s="386"/>
      <c r="AV16" s="386"/>
      <c r="AW16" s="386"/>
      <c r="AX16" s="386"/>
      <c r="AY16" s="386"/>
      <c r="AZ16" s="386"/>
      <c r="BA16" s="386"/>
      <c r="BB16" s="443"/>
      <c r="BC16" s="376"/>
      <c r="BD16" s="381"/>
      <c r="BE16" s="446"/>
      <c r="BF16" s="367"/>
      <c r="BG16" s="370"/>
      <c r="BH16" s="373"/>
      <c r="BI16" s="394"/>
      <c r="BJ16" s="394"/>
      <c r="BK16" s="394"/>
    </row>
    <row r="17" spans="1:63" x14ac:dyDescent="0.25">
      <c r="A17" s="36" t="s">
        <v>23</v>
      </c>
      <c r="B17" s="6">
        <f t="shared" si="0"/>
        <v>0</v>
      </c>
      <c r="C17" s="12">
        <v>0</v>
      </c>
      <c r="D17" s="12">
        <v>0</v>
      </c>
      <c r="E17" s="38">
        <v>0</v>
      </c>
      <c r="F17" s="21">
        <v>0</v>
      </c>
      <c r="G17" s="18">
        <v>0</v>
      </c>
      <c r="H17" s="15">
        <v>0</v>
      </c>
      <c r="I17" s="17">
        <v>0</v>
      </c>
      <c r="J17" s="23">
        <f>'ECO-Nepal (Gorkha)'!M17</f>
        <v>0</v>
      </c>
      <c r="K17" s="15">
        <f t="shared" si="1"/>
        <v>0</v>
      </c>
      <c r="L17" s="17">
        <f t="shared" si="2"/>
        <v>0</v>
      </c>
      <c r="M17" s="18">
        <v>0</v>
      </c>
      <c r="N17" s="136">
        <v>0</v>
      </c>
      <c r="O17" s="62">
        <v>0</v>
      </c>
      <c r="P17" s="10">
        <v>0</v>
      </c>
      <c r="Q17" s="62">
        <v>0</v>
      </c>
      <c r="R17" s="62">
        <v>0</v>
      </c>
      <c r="S17" s="102">
        <f t="shared" si="3"/>
        <v>0</v>
      </c>
      <c r="T17" s="440"/>
      <c r="U17" s="10">
        <f t="shared" si="4"/>
        <v>0</v>
      </c>
      <c r="V17" s="15">
        <v>0</v>
      </c>
      <c r="W17" s="17">
        <v>0</v>
      </c>
      <c r="X17" s="21">
        <v>0</v>
      </c>
      <c r="Y17" s="21">
        <v>0</v>
      </c>
      <c r="Z17" s="21">
        <v>0</v>
      </c>
      <c r="AA17" s="21">
        <v>0</v>
      </c>
      <c r="AB17" s="9">
        <v>0</v>
      </c>
      <c r="AC17" s="113">
        <f t="shared" si="5"/>
        <v>325</v>
      </c>
      <c r="AD17" s="35">
        <v>325</v>
      </c>
      <c r="AE17" s="111">
        <f t="shared" si="6"/>
        <v>0</v>
      </c>
      <c r="AF17" s="30">
        <f t="shared" si="7"/>
        <v>0</v>
      </c>
      <c r="AG17" s="5">
        <v>0</v>
      </c>
      <c r="AH17" s="28" t="s">
        <v>53</v>
      </c>
      <c r="AI17" s="397"/>
      <c r="AJ17" s="376"/>
      <c r="AK17" s="379"/>
      <c r="AL17" s="381"/>
      <c r="AM17" s="379"/>
      <c r="AN17" s="381"/>
      <c r="AO17" s="379"/>
      <c r="AP17" s="381"/>
      <c r="AQ17" s="381"/>
      <c r="AR17" s="379"/>
      <c r="AS17" s="443"/>
      <c r="AT17" s="386"/>
      <c r="AU17" s="386"/>
      <c r="AV17" s="386"/>
      <c r="AW17" s="386"/>
      <c r="AX17" s="386"/>
      <c r="AY17" s="386"/>
      <c r="AZ17" s="386"/>
      <c r="BA17" s="386"/>
      <c r="BB17" s="443"/>
      <c r="BC17" s="376"/>
      <c r="BD17" s="381"/>
      <c r="BE17" s="446"/>
      <c r="BF17" s="367"/>
      <c r="BG17" s="370"/>
      <c r="BH17" s="373"/>
      <c r="BI17" s="394"/>
      <c r="BJ17" s="394"/>
      <c r="BK17" s="394"/>
    </row>
    <row r="18" spans="1:63" x14ac:dyDescent="0.25">
      <c r="A18" s="36" t="s">
        <v>24</v>
      </c>
      <c r="B18" s="6">
        <f t="shared" si="0"/>
        <v>0</v>
      </c>
      <c r="C18" s="12">
        <v>0</v>
      </c>
      <c r="D18" s="12">
        <v>0</v>
      </c>
      <c r="E18" s="38">
        <v>0</v>
      </c>
      <c r="F18" s="21">
        <v>0</v>
      </c>
      <c r="G18" s="18">
        <v>0</v>
      </c>
      <c r="H18" s="15">
        <v>0</v>
      </c>
      <c r="I18" s="17">
        <v>0</v>
      </c>
      <c r="J18" s="23">
        <f>'ECO-Nepal (Gorkha)'!M18</f>
        <v>0</v>
      </c>
      <c r="K18" s="15">
        <f t="shared" si="1"/>
        <v>0</v>
      </c>
      <c r="L18" s="17">
        <f t="shared" si="2"/>
        <v>0</v>
      </c>
      <c r="M18" s="18">
        <v>0</v>
      </c>
      <c r="N18" s="136">
        <v>0</v>
      </c>
      <c r="O18" s="62">
        <v>0</v>
      </c>
      <c r="P18" s="10">
        <v>0</v>
      </c>
      <c r="Q18" s="62">
        <v>0</v>
      </c>
      <c r="R18" s="62">
        <v>0</v>
      </c>
      <c r="S18" s="102">
        <f t="shared" si="3"/>
        <v>0</v>
      </c>
      <c r="T18" s="440"/>
      <c r="U18" s="10">
        <f t="shared" si="4"/>
        <v>0</v>
      </c>
      <c r="V18" s="15">
        <v>0</v>
      </c>
      <c r="W18" s="17">
        <v>0</v>
      </c>
      <c r="X18" s="21">
        <v>0</v>
      </c>
      <c r="Y18" s="21">
        <v>0</v>
      </c>
      <c r="Z18" s="21">
        <v>0</v>
      </c>
      <c r="AA18" s="21">
        <v>0</v>
      </c>
      <c r="AB18" s="9">
        <v>0</v>
      </c>
      <c r="AC18" s="113">
        <f t="shared" si="5"/>
        <v>1036</v>
      </c>
      <c r="AD18" s="35">
        <v>1036</v>
      </c>
      <c r="AE18" s="111">
        <f t="shared" si="6"/>
        <v>0</v>
      </c>
      <c r="AF18" s="30">
        <f t="shared" si="7"/>
        <v>0</v>
      </c>
      <c r="AG18" s="5">
        <v>0</v>
      </c>
      <c r="AH18" s="28" t="s">
        <v>53</v>
      </c>
      <c r="AI18" s="397"/>
      <c r="AJ18" s="376"/>
      <c r="AK18" s="379"/>
      <c r="AL18" s="381"/>
      <c r="AM18" s="379"/>
      <c r="AN18" s="381"/>
      <c r="AO18" s="379"/>
      <c r="AP18" s="381"/>
      <c r="AQ18" s="381"/>
      <c r="AR18" s="379"/>
      <c r="AS18" s="443"/>
      <c r="AT18" s="386"/>
      <c r="AU18" s="386"/>
      <c r="AV18" s="386"/>
      <c r="AW18" s="386"/>
      <c r="AX18" s="386"/>
      <c r="AY18" s="386"/>
      <c r="AZ18" s="386"/>
      <c r="BA18" s="386"/>
      <c r="BB18" s="443"/>
      <c r="BC18" s="376"/>
      <c r="BD18" s="381"/>
      <c r="BE18" s="446"/>
      <c r="BF18" s="367"/>
      <c r="BG18" s="370"/>
      <c r="BH18" s="373"/>
      <c r="BI18" s="394"/>
      <c r="BJ18" s="394"/>
      <c r="BK18" s="394"/>
    </row>
    <row r="19" spans="1:63" x14ac:dyDescent="0.25">
      <c r="A19" s="36" t="s">
        <v>25</v>
      </c>
      <c r="B19" s="6">
        <f t="shared" si="0"/>
        <v>0</v>
      </c>
      <c r="C19" s="12">
        <v>0</v>
      </c>
      <c r="D19" s="12">
        <v>0</v>
      </c>
      <c r="E19" s="38">
        <v>0</v>
      </c>
      <c r="F19" s="21">
        <v>0</v>
      </c>
      <c r="G19" s="18">
        <v>286</v>
      </c>
      <c r="H19" s="15">
        <v>1</v>
      </c>
      <c r="I19" s="17">
        <v>0</v>
      </c>
      <c r="J19" s="23">
        <v>16</v>
      </c>
      <c r="K19" s="15">
        <f t="shared" si="1"/>
        <v>1</v>
      </c>
      <c r="L19" s="17">
        <f t="shared" si="2"/>
        <v>0</v>
      </c>
      <c r="M19" s="18">
        <v>14</v>
      </c>
      <c r="N19" s="136">
        <v>0</v>
      </c>
      <c r="O19" s="62">
        <v>0</v>
      </c>
      <c r="P19" s="10">
        <v>2</v>
      </c>
      <c r="Q19" s="62">
        <v>0</v>
      </c>
      <c r="R19" s="62">
        <v>0</v>
      </c>
      <c r="S19" s="102">
        <f t="shared" si="3"/>
        <v>257</v>
      </c>
      <c r="T19" s="440"/>
      <c r="U19" s="10">
        <f t="shared" si="4"/>
        <v>257</v>
      </c>
      <c r="V19" s="15">
        <v>257</v>
      </c>
      <c r="W19" s="17">
        <v>0</v>
      </c>
      <c r="X19" s="21">
        <v>0</v>
      </c>
      <c r="Y19" s="21">
        <v>0</v>
      </c>
      <c r="Z19" s="21">
        <v>0</v>
      </c>
      <c r="AA19" s="21">
        <v>0</v>
      </c>
      <c r="AB19" s="9">
        <v>0</v>
      </c>
      <c r="AC19" s="113">
        <f t="shared" si="5"/>
        <v>257</v>
      </c>
      <c r="AD19" s="35">
        <v>257</v>
      </c>
      <c r="AE19" s="111">
        <f t="shared" si="6"/>
        <v>0</v>
      </c>
      <c r="AF19" s="30">
        <f t="shared" si="7"/>
        <v>0</v>
      </c>
      <c r="AG19" s="5">
        <v>0</v>
      </c>
      <c r="AH19" s="28" t="s">
        <v>53</v>
      </c>
      <c r="AI19" s="397"/>
      <c r="AJ19" s="376"/>
      <c r="AK19" s="379"/>
      <c r="AL19" s="381"/>
      <c r="AM19" s="379"/>
      <c r="AN19" s="381"/>
      <c r="AO19" s="379"/>
      <c r="AP19" s="381"/>
      <c r="AQ19" s="381"/>
      <c r="AR19" s="379"/>
      <c r="AS19" s="443"/>
      <c r="AT19" s="386"/>
      <c r="AU19" s="386"/>
      <c r="AV19" s="386"/>
      <c r="AW19" s="386"/>
      <c r="AX19" s="386"/>
      <c r="AY19" s="386"/>
      <c r="AZ19" s="386"/>
      <c r="BA19" s="386"/>
      <c r="BB19" s="443"/>
      <c r="BC19" s="376"/>
      <c r="BD19" s="381"/>
      <c r="BE19" s="446"/>
      <c r="BF19" s="367"/>
      <c r="BG19" s="370"/>
      <c r="BH19" s="373"/>
      <c r="BI19" s="394"/>
      <c r="BJ19" s="394"/>
      <c r="BK19" s="394"/>
    </row>
    <row r="20" spans="1:63" x14ac:dyDescent="0.25">
      <c r="A20" s="36" t="s">
        <v>26</v>
      </c>
      <c r="B20" s="6">
        <f t="shared" si="0"/>
        <v>0</v>
      </c>
      <c r="C20" s="12">
        <v>0</v>
      </c>
      <c r="D20" s="12">
        <v>0</v>
      </c>
      <c r="E20" s="13">
        <v>0</v>
      </c>
      <c r="F20" s="39">
        <v>0</v>
      </c>
      <c r="G20" s="18">
        <v>0</v>
      </c>
      <c r="H20" s="15">
        <v>0</v>
      </c>
      <c r="I20" s="17">
        <v>0</v>
      </c>
      <c r="J20" s="23">
        <f>'ECO-Nepal (Gorkha)'!M20</f>
        <v>46</v>
      </c>
      <c r="K20" s="15">
        <f t="shared" si="1"/>
        <v>0</v>
      </c>
      <c r="L20" s="17">
        <f t="shared" si="2"/>
        <v>0</v>
      </c>
      <c r="M20" s="18">
        <v>46</v>
      </c>
      <c r="N20" s="136">
        <v>0</v>
      </c>
      <c r="O20" s="62">
        <v>0</v>
      </c>
      <c r="P20" s="10">
        <v>0</v>
      </c>
      <c r="Q20" s="62">
        <v>0</v>
      </c>
      <c r="R20" s="62">
        <v>0</v>
      </c>
      <c r="S20" s="102">
        <f t="shared" si="3"/>
        <v>0</v>
      </c>
      <c r="T20" s="440"/>
      <c r="U20" s="10">
        <f t="shared" si="4"/>
        <v>0</v>
      </c>
      <c r="V20" s="15">
        <v>0</v>
      </c>
      <c r="W20" s="17">
        <v>0</v>
      </c>
      <c r="X20" s="21">
        <v>0</v>
      </c>
      <c r="Y20" s="21">
        <v>0</v>
      </c>
      <c r="Z20" s="21">
        <v>0</v>
      </c>
      <c r="AA20" s="21">
        <v>0</v>
      </c>
      <c r="AB20" s="9">
        <v>0</v>
      </c>
      <c r="AC20" s="113">
        <f t="shared" si="5"/>
        <v>0</v>
      </c>
      <c r="AD20" s="35">
        <v>0</v>
      </c>
      <c r="AE20" s="111">
        <f t="shared" si="6"/>
        <v>0</v>
      </c>
      <c r="AF20" s="30">
        <f t="shared" si="7"/>
        <v>0</v>
      </c>
      <c r="AG20" s="5">
        <v>0</v>
      </c>
      <c r="AH20" s="28" t="s">
        <v>53</v>
      </c>
      <c r="AI20" s="397"/>
      <c r="AJ20" s="376"/>
      <c r="AK20" s="379"/>
      <c r="AL20" s="381"/>
      <c r="AM20" s="379"/>
      <c r="AN20" s="381"/>
      <c r="AO20" s="379"/>
      <c r="AP20" s="381"/>
      <c r="AQ20" s="381"/>
      <c r="AR20" s="379"/>
      <c r="AS20" s="443"/>
      <c r="AT20" s="386"/>
      <c r="AU20" s="386"/>
      <c r="AV20" s="386"/>
      <c r="AW20" s="386"/>
      <c r="AX20" s="386"/>
      <c r="AY20" s="386"/>
      <c r="AZ20" s="386"/>
      <c r="BA20" s="386"/>
      <c r="BB20" s="443"/>
      <c r="BC20" s="376"/>
      <c r="BD20" s="381"/>
      <c r="BE20" s="446"/>
      <c r="BF20" s="367"/>
      <c r="BG20" s="370"/>
      <c r="BH20" s="373"/>
      <c r="BI20" s="394"/>
      <c r="BJ20" s="394"/>
      <c r="BK20" s="394"/>
    </row>
    <row r="21" spans="1:63" x14ac:dyDescent="0.25">
      <c r="A21" s="137" t="s">
        <v>109</v>
      </c>
      <c r="B21" s="6">
        <f t="shared" si="0"/>
        <v>0</v>
      </c>
      <c r="C21" s="12">
        <v>0</v>
      </c>
      <c r="D21" s="12">
        <v>0</v>
      </c>
      <c r="E21" s="13">
        <v>0</v>
      </c>
      <c r="F21" s="39">
        <v>0</v>
      </c>
      <c r="G21" s="18">
        <v>0</v>
      </c>
      <c r="H21" s="15">
        <v>0</v>
      </c>
      <c r="I21" s="32">
        <v>0</v>
      </c>
      <c r="J21" s="23">
        <f>'ECO-Nepal (Gorkha)'!M21</f>
        <v>6</v>
      </c>
      <c r="K21" s="15">
        <f t="shared" si="1"/>
        <v>0</v>
      </c>
      <c r="L21" s="17">
        <f t="shared" si="2"/>
        <v>0</v>
      </c>
      <c r="M21" s="134">
        <v>6</v>
      </c>
      <c r="N21" s="136">
        <v>0</v>
      </c>
      <c r="O21" s="62">
        <v>0</v>
      </c>
      <c r="P21" s="65">
        <v>0</v>
      </c>
      <c r="Q21" s="62">
        <v>0</v>
      </c>
      <c r="R21" s="62">
        <v>0</v>
      </c>
      <c r="S21" s="102">
        <v>0</v>
      </c>
      <c r="T21" s="440"/>
      <c r="U21" s="10">
        <f t="shared" si="4"/>
        <v>0</v>
      </c>
      <c r="V21" s="15">
        <v>0</v>
      </c>
      <c r="W21" s="32">
        <v>0</v>
      </c>
      <c r="X21" s="21">
        <v>0</v>
      </c>
      <c r="Y21" s="21">
        <v>0</v>
      </c>
      <c r="Z21" s="21">
        <v>0</v>
      </c>
      <c r="AA21" s="21">
        <v>0</v>
      </c>
      <c r="AB21" s="9">
        <v>0</v>
      </c>
      <c r="AC21" s="113">
        <v>0</v>
      </c>
      <c r="AD21" s="114">
        <v>0</v>
      </c>
      <c r="AE21" s="111">
        <v>0</v>
      </c>
      <c r="AF21" s="30">
        <v>0</v>
      </c>
      <c r="AG21" s="33">
        <v>0</v>
      </c>
      <c r="AH21" s="28" t="s">
        <v>53</v>
      </c>
      <c r="AI21" s="397"/>
      <c r="AJ21" s="376"/>
      <c r="AK21" s="379"/>
      <c r="AL21" s="381"/>
      <c r="AM21" s="379"/>
      <c r="AN21" s="381"/>
      <c r="AO21" s="379"/>
      <c r="AP21" s="381"/>
      <c r="AQ21" s="381"/>
      <c r="AR21" s="379"/>
      <c r="AS21" s="443"/>
      <c r="AT21" s="386"/>
      <c r="AU21" s="386"/>
      <c r="AV21" s="386"/>
      <c r="AW21" s="386"/>
      <c r="AX21" s="386"/>
      <c r="AY21" s="386"/>
      <c r="AZ21" s="386"/>
      <c r="BA21" s="386"/>
      <c r="BB21" s="443"/>
      <c r="BC21" s="376"/>
      <c r="BD21" s="381"/>
      <c r="BE21" s="446"/>
      <c r="BF21" s="367"/>
      <c r="BG21" s="370"/>
      <c r="BH21" s="373"/>
      <c r="BI21" s="394"/>
      <c r="BJ21" s="394"/>
      <c r="BK21" s="394"/>
    </row>
    <row r="22" spans="1:63" x14ac:dyDescent="0.25">
      <c r="A22" s="37" t="s">
        <v>55</v>
      </c>
      <c r="B22" s="6">
        <f t="shared" si="0"/>
        <v>0</v>
      </c>
      <c r="C22" s="12">
        <v>0</v>
      </c>
      <c r="D22" s="12">
        <v>0</v>
      </c>
      <c r="E22" s="13">
        <v>0</v>
      </c>
      <c r="F22" s="39">
        <v>0</v>
      </c>
      <c r="G22" s="18">
        <v>0</v>
      </c>
      <c r="H22" s="15">
        <v>0</v>
      </c>
      <c r="I22" s="32">
        <v>0</v>
      </c>
      <c r="J22" s="23">
        <f>'ECO-Nepal (Gorkha)'!M22</f>
        <v>0</v>
      </c>
      <c r="K22" s="15">
        <f t="shared" si="1"/>
        <v>0</v>
      </c>
      <c r="L22" s="17">
        <f t="shared" si="2"/>
        <v>0</v>
      </c>
      <c r="M22" s="134">
        <v>0</v>
      </c>
      <c r="N22" s="136">
        <v>0</v>
      </c>
      <c r="O22" s="62">
        <v>0</v>
      </c>
      <c r="P22" s="65">
        <v>0</v>
      </c>
      <c r="Q22" s="62">
        <v>0</v>
      </c>
      <c r="R22" s="62">
        <v>0</v>
      </c>
      <c r="S22" s="102">
        <f t="shared" si="3"/>
        <v>0</v>
      </c>
      <c r="T22" s="440"/>
      <c r="U22" s="10">
        <f t="shared" si="4"/>
        <v>0</v>
      </c>
      <c r="V22" s="15">
        <v>0</v>
      </c>
      <c r="W22" s="32">
        <v>0</v>
      </c>
      <c r="X22" s="21">
        <v>0</v>
      </c>
      <c r="Y22" s="21">
        <v>0</v>
      </c>
      <c r="Z22" s="21">
        <v>0</v>
      </c>
      <c r="AA22" s="21">
        <v>0</v>
      </c>
      <c r="AB22" s="9">
        <v>0</v>
      </c>
      <c r="AC22" s="113">
        <f t="shared" si="5"/>
        <v>210</v>
      </c>
      <c r="AD22" s="114">
        <v>0</v>
      </c>
      <c r="AE22" s="111">
        <f t="shared" si="6"/>
        <v>210</v>
      </c>
      <c r="AF22" s="30">
        <f t="shared" si="7"/>
        <v>210</v>
      </c>
      <c r="AG22" s="33">
        <v>210</v>
      </c>
      <c r="AH22" s="28" t="s">
        <v>53</v>
      </c>
      <c r="AI22" s="398"/>
      <c r="AJ22" s="377"/>
      <c r="AK22" s="380"/>
      <c r="AL22" s="382"/>
      <c r="AM22" s="380"/>
      <c r="AN22" s="382"/>
      <c r="AO22" s="380"/>
      <c r="AP22" s="382"/>
      <c r="AQ22" s="382"/>
      <c r="AR22" s="380"/>
      <c r="AS22" s="444"/>
      <c r="AT22" s="387"/>
      <c r="AU22" s="387"/>
      <c r="AV22" s="387"/>
      <c r="AW22" s="387"/>
      <c r="AX22" s="387"/>
      <c r="AY22" s="387"/>
      <c r="AZ22" s="387"/>
      <c r="BA22" s="387"/>
      <c r="BB22" s="444"/>
      <c r="BC22" s="377"/>
      <c r="BD22" s="382"/>
      <c r="BE22" s="447"/>
      <c r="BF22" s="368"/>
      <c r="BG22" s="371"/>
      <c r="BH22" s="374"/>
      <c r="BI22" s="395"/>
      <c r="BJ22" s="395"/>
      <c r="BK22" s="395"/>
    </row>
    <row r="23" spans="1:63" s="29" customFormat="1" ht="15.75" customHeight="1" thickBot="1" x14ac:dyDescent="0.3">
      <c r="A23" s="40"/>
      <c r="B23" s="415" t="str">
        <f>"Total Households covered for indicator S1: "&amp;SUM(B6:B22)</f>
        <v>Total Households covered for indicator S1: 2825</v>
      </c>
      <c r="C23" s="416"/>
      <c r="D23" s="416"/>
      <c r="E23" s="417"/>
      <c r="F23" s="48" t="str">
        <f>"Total Households covered for indicator S2: "&amp;SUM(F6:F22)</f>
        <v>Total Households covered for indicator S2: 2448</v>
      </c>
      <c r="G23" s="418" t="str">
        <f>"Total Households covered for indicator W1, W2 &amp; W3: "&amp;ROUND(SUM(G6:G22),0)</f>
        <v>Total Households covered for indicator W1, W2 &amp; W3: 617</v>
      </c>
      <c r="H23" s="419"/>
      <c r="I23" s="420"/>
      <c r="J23" s="314" t="str">
        <f>"Total #s covered for indicator WX1:"&amp;ROUND(SUM(J6:J22),0)</f>
        <v>Total #s covered for indicator WX1:154</v>
      </c>
      <c r="K23" s="419" t="str">
        <f>"Total # of covered for indicator W2 &amp; W3: "&amp;ROUND(SUM(K6:K22,L6:L22),0)</f>
        <v>Total # of covered for indicator W2 &amp; W3: 13</v>
      </c>
      <c r="L23" s="420"/>
      <c r="M23" s="430" t="str">
        <f>"Total Households covered for indicator R1 &amp; R2: "&amp;(SUM(M6:M22)+SUM(N6:N22))*20</f>
        <v>Total Households covered for indicator R1 &amp; R2: 2820</v>
      </c>
      <c r="N23" s="431"/>
      <c r="O23" s="57" t="str">
        <f>"Total # built/repaired for indicator R3: "&amp;(SUM(O6:O22))</f>
        <v>Total # built/repaired for indicator R3: 0</v>
      </c>
      <c r="P23" s="390" t="str">
        <f>"Total # built/repaired for indicator R4: "&amp;(SUM(P6:P22)+SUM(Q6:Q22))</f>
        <v>Total # built/repaired for indicator R4: 11</v>
      </c>
      <c r="Q23" s="392"/>
      <c r="R23" s="124" t="str">
        <f>"Total # built/repaired for indicator R5: "&amp;(SUM(R6:R22))</f>
        <v>Total # built/repaired for indicator R5: 1</v>
      </c>
      <c r="S23" s="57" t="str">
        <f>"Total # of HK distributed for indicator R6: "&amp;(SUM(S6:S22))</f>
        <v>Total # of HK distributed for indicator R6: 3843</v>
      </c>
      <c r="T23" s="441"/>
      <c r="U23" s="390" t="str">
        <f>"Total # of HK distributed for indicator H2: "&amp;ROUND(SUM(U6:U22),0)</f>
        <v>Total # of HK distributed for indicator H2: 3843</v>
      </c>
      <c r="V23" s="391"/>
      <c r="W23" s="392"/>
      <c r="X23" s="390" t="str">
        <f>"Total # Trained for indicator H3:"&amp;ROUND(SUM(Y6:Y22, Z6:Z22,AA6:AA22),0)</f>
        <v>Total # Trained for indicator H3:56</v>
      </c>
      <c r="Y23" s="391"/>
      <c r="Z23" s="391"/>
      <c r="AA23" s="392"/>
      <c r="AB23" s="50" t="str">
        <f>"Total # Trained for indicator H4: "&amp;ROUND(SUM(AB6:AB22),0)</f>
        <v>Total # Trained for indicator H4: 7</v>
      </c>
      <c r="AC23" s="383" t="str">
        <f>"Total # Trained for indicator L1: "&amp;ROUND(SUM(AD6:AD22),0)</f>
        <v>Total # Trained for indicator L1: 2552</v>
      </c>
      <c r="AD23" s="384"/>
      <c r="AE23" s="438"/>
      <c r="AF23" s="390" t="str">
        <f>"Total HH covered for indicator L3: "&amp;ROUND(SUM(AF6:AF22),0)</f>
        <v>Total HH covered for indicator L3: 397</v>
      </c>
      <c r="AG23" s="392"/>
      <c r="AH23" s="60">
        <v>0</v>
      </c>
      <c r="AI23" s="383" t="str">
        <f>"Total # of beneficiaries covered for indicator P1: "&amp;AI6</f>
        <v>Total # of beneficiaries covered for indicator P1: 0</v>
      </c>
      <c r="AJ23" s="384"/>
      <c r="AK23" s="384"/>
      <c r="AL23" s="384"/>
      <c r="AM23" s="384"/>
      <c r="AN23" s="384"/>
      <c r="AO23" s="384"/>
      <c r="AP23" s="384"/>
      <c r="AQ23" s="384"/>
      <c r="AR23" s="384"/>
      <c r="AS23" s="390" t="str">
        <f>"Total networks formed for indicator P2: "&amp;ROUND(SUM(AS6),0)</f>
        <v>Total networks formed for indicator P2: 0</v>
      </c>
      <c r="AT23" s="391"/>
      <c r="AU23" s="391"/>
      <c r="AV23" s="391"/>
      <c r="AW23" s="391"/>
      <c r="AX23" s="388" t="str">
        <f>"Total # of beneficiaries for indicator PX2: "&amp;ROUND(SUM(AX6,AY6,AZ6,BA6),0)</f>
        <v>Total # of beneficiaries for indicator PX2: 175</v>
      </c>
      <c r="AY23" s="388"/>
      <c r="AZ23" s="388"/>
      <c r="BA23" s="389"/>
      <c r="BB23" s="49" t="str">
        <f>"Total spaces created for indicator P3: "&amp;ROUND(SUM(BB6:BB22),0)</f>
        <v>Total spaces created for indicator P3: 0</v>
      </c>
      <c r="BC23" s="384" t="str">
        <f>"Total # of RA for indicator P4: "&amp;ROUND(SUM(BC6+BD6+BE6),0)</f>
        <v>Total # of RA for indicator P4: 4</v>
      </c>
      <c r="BD23" s="384"/>
      <c r="BE23" s="384"/>
      <c r="BF23" s="383" t="str">
        <f>"Total # of beneficiaries for indicator PX4: "&amp;ROUND(SUM(BF6+BG6+BH6),0)</f>
        <v>Total # of beneficiaries for indicator PX4: 69</v>
      </c>
      <c r="BG23" s="384"/>
      <c r="BH23" s="384"/>
      <c r="BI23" s="130" t="s">
        <v>266</v>
      </c>
      <c r="BJ23" s="130" t="str">
        <f>"Total # trained for Indicator PX5: "&amp;ROUND(SUM(BJ6),0)</f>
        <v>Total # trained for Indicator PX5: 8</v>
      </c>
      <c r="BK23" s="130" t="str">
        <f>"Total # for indicator P6: "&amp;ROUND(SUM(BK20),0)</f>
        <v>Total # for indicator P6: 0</v>
      </c>
    </row>
    <row r="24" spans="1:63" ht="15.75" thickBot="1" x14ac:dyDescent="0.3">
      <c r="A24" s="8"/>
      <c r="B24" s="4"/>
      <c r="C24" s="4"/>
      <c r="D24" s="4"/>
      <c r="E24" s="4"/>
    </row>
    <row r="25" spans="1:63" s="46" customFormat="1" ht="15" customHeight="1" x14ac:dyDescent="0.25">
      <c r="A25" s="399" t="s">
        <v>70</v>
      </c>
      <c r="B25" s="406" t="s">
        <v>77</v>
      </c>
      <c r="C25" s="407"/>
      <c r="D25" s="407"/>
      <c r="E25" s="408"/>
      <c r="M25" s="432" t="s">
        <v>113</v>
      </c>
      <c r="N25" s="433"/>
      <c r="AC25" s="421" t="s">
        <v>71</v>
      </c>
      <c r="AD25" s="422"/>
      <c r="AE25" s="423"/>
    </row>
    <row r="26" spans="1:63" s="46" customFormat="1" x14ac:dyDescent="0.25">
      <c r="A26" s="400"/>
      <c r="B26" s="409"/>
      <c r="C26" s="410"/>
      <c r="D26" s="410"/>
      <c r="E26" s="411"/>
      <c r="F26" s="44"/>
      <c r="M26" s="434"/>
      <c r="N26" s="435"/>
      <c r="AC26" s="424"/>
      <c r="AD26" s="425"/>
      <c r="AE26" s="426"/>
    </row>
    <row r="27" spans="1:63" s="46" customFormat="1" x14ac:dyDescent="0.25">
      <c r="A27" s="400"/>
      <c r="B27" s="409"/>
      <c r="C27" s="410"/>
      <c r="D27" s="410"/>
      <c r="E27" s="411"/>
      <c r="F27" s="44"/>
      <c r="M27" s="434"/>
      <c r="N27" s="435"/>
      <c r="AC27" s="424"/>
      <c r="AD27" s="425"/>
      <c r="AE27" s="426"/>
    </row>
    <row r="28" spans="1:63" s="46" customFormat="1" x14ac:dyDescent="0.25">
      <c r="A28" s="400"/>
      <c r="B28" s="409"/>
      <c r="C28" s="410"/>
      <c r="D28" s="410"/>
      <c r="E28" s="411"/>
      <c r="F28" s="44"/>
      <c r="M28" s="434"/>
      <c r="N28" s="435"/>
      <c r="AC28" s="424"/>
      <c r="AD28" s="425"/>
      <c r="AE28" s="426"/>
    </row>
    <row r="29" spans="1:63" s="46" customFormat="1" ht="15.75" thickBot="1" x14ac:dyDescent="0.3">
      <c r="A29" s="401"/>
      <c r="B29" s="412"/>
      <c r="C29" s="413"/>
      <c r="D29" s="413"/>
      <c r="E29" s="414"/>
      <c r="F29" s="44"/>
      <c r="M29" s="436"/>
      <c r="N29" s="437"/>
      <c r="AC29" s="427"/>
      <c r="AD29" s="428"/>
      <c r="AE29" s="429"/>
    </row>
    <row r="30" spans="1:63" s="46" customFormat="1" x14ac:dyDescent="0.25">
      <c r="A30" s="45"/>
      <c r="B30" s="51"/>
      <c r="C30" s="54"/>
      <c r="D30" s="44"/>
      <c r="E30" s="44"/>
      <c r="F30" s="55"/>
    </row>
    <row r="31" spans="1:63" s="46" customFormat="1" x14ac:dyDescent="0.25">
      <c r="A31" s="45"/>
      <c r="B31" s="51"/>
      <c r="C31" s="54"/>
      <c r="D31" s="44"/>
      <c r="E31" s="44"/>
      <c r="F31" s="44"/>
    </row>
    <row r="32" spans="1:63" s="46" customFormat="1" x14ac:dyDescent="0.25">
      <c r="A32" s="45"/>
      <c r="B32" s="51"/>
      <c r="C32" s="54"/>
      <c r="D32" s="54"/>
      <c r="E32" s="54"/>
      <c r="F32" s="44"/>
    </row>
    <row r="33" spans="1:12" s="46" customFormat="1" x14ac:dyDescent="0.25">
      <c r="A33" s="45"/>
      <c r="B33" s="51"/>
      <c r="C33" s="54"/>
      <c r="D33" s="54"/>
      <c r="E33" s="54"/>
      <c r="F33" s="44"/>
    </row>
    <row r="34" spans="1:12" s="46" customFormat="1" x14ac:dyDescent="0.25">
      <c r="A34" s="45"/>
      <c r="B34" s="51"/>
      <c r="C34" s="54"/>
      <c r="D34" s="54"/>
      <c r="E34" s="54"/>
      <c r="F34" s="44"/>
    </row>
    <row r="35" spans="1:12" s="46" customFormat="1" x14ac:dyDescent="0.25">
      <c r="A35" s="45"/>
      <c r="B35" s="51"/>
      <c r="C35" s="54"/>
      <c r="D35" s="54"/>
      <c r="E35" s="54"/>
      <c r="F35" s="56"/>
    </row>
    <row r="36" spans="1:12" s="46" customFormat="1" x14ac:dyDescent="0.25">
      <c r="A36" s="45"/>
      <c r="B36" s="51"/>
      <c r="C36" s="54"/>
      <c r="D36" s="54"/>
      <c r="E36" s="54"/>
      <c r="F36" s="44"/>
    </row>
    <row r="37" spans="1:12" s="46" customFormat="1" x14ac:dyDescent="0.25">
      <c r="A37" s="45"/>
      <c r="B37" s="51"/>
      <c r="C37" s="54"/>
      <c r="D37" s="54"/>
      <c r="E37" s="54"/>
      <c r="F37" s="44"/>
    </row>
    <row r="38" spans="1:12" s="46" customFormat="1" x14ac:dyDescent="0.25">
      <c r="A38" s="45"/>
      <c r="B38" s="51"/>
      <c r="C38" s="54"/>
      <c r="D38" s="54"/>
      <c r="E38" s="54"/>
      <c r="F38" s="56"/>
    </row>
    <row r="39" spans="1:12" ht="15.75" customHeight="1" x14ac:dyDescent="0.25">
      <c r="A39" s="8"/>
      <c r="B39" s="4"/>
      <c r="C39" s="54"/>
      <c r="D39" s="54"/>
      <c r="E39" s="54"/>
      <c r="F39" s="44"/>
    </row>
    <row r="40" spans="1:12" x14ac:dyDescent="0.25">
      <c r="C40" s="44"/>
      <c r="D40" s="44"/>
      <c r="E40" s="44"/>
      <c r="F40" s="44"/>
    </row>
    <row r="41" spans="1:12" x14ac:dyDescent="0.25">
      <c r="C41" s="44"/>
      <c r="D41" s="44"/>
      <c r="E41" s="44"/>
      <c r="F41" s="44"/>
      <c r="I41" s="1"/>
      <c r="J41" s="1"/>
      <c r="L41" s="1"/>
    </row>
    <row r="42" spans="1:12" x14ac:dyDescent="0.25">
      <c r="C42" s="44"/>
      <c r="D42" s="44"/>
      <c r="E42" s="44"/>
      <c r="F42" s="44"/>
    </row>
    <row r="43" spans="1:12" x14ac:dyDescent="0.25">
      <c r="C43" s="44"/>
      <c r="D43" s="44"/>
      <c r="E43" s="44"/>
      <c r="F43" s="44"/>
    </row>
    <row r="44" spans="1:12" x14ac:dyDescent="0.25">
      <c r="C44" s="44"/>
      <c r="D44" s="44"/>
      <c r="E44" s="44"/>
      <c r="F44" s="44"/>
    </row>
    <row r="45" spans="1:12" x14ac:dyDescent="0.25">
      <c r="C45" s="44"/>
      <c r="D45" s="44"/>
      <c r="E45" s="44"/>
      <c r="F45" s="44"/>
    </row>
    <row r="46" spans="1:12" x14ac:dyDescent="0.25">
      <c r="C46" s="44"/>
      <c r="D46" s="44"/>
      <c r="E46" s="44"/>
      <c r="F46" s="44"/>
    </row>
    <row r="47" spans="1:12" x14ac:dyDescent="0.25">
      <c r="C47" s="44"/>
      <c r="D47" s="44"/>
      <c r="E47" s="44"/>
      <c r="F47" s="44"/>
    </row>
    <row r="48" spans="1:12" x14ac:dyDescent="0.25">
      <c r="C48" s="44"/>
      <c r="D48" s="44"/>
      <c r="E48" s="44"/>
      <c r="F48" s="44"/>
    </row>
    <row r="49" spans="3:6" x14ac:dyDescent="0.25">
      <c r="C49" s="44"/>
      <c r="D49" s="44"/>
      <c r="E49" s="44"/>
      <c r="F49" s="44"/>
    </row>
    <row r="50" spans="3:6" x14ac:dyDescent="0.25">
      <c r="C50" s="44"/>
      <c r="D50" s="44"/>
      <c r="E50" s="44"/>
      <c r="F50" s="44"/>
    </row>
    <row r="51" spans="3:6" x14ac:dyDescent="0.25">
      <c r="C51" s="44"/>
      <c r="D51" s="44"/>
      <c r="E51" s="44"/>
      <c r="F51" s="44"/>
    </row>
    <row r="52" spans="3:6" x14ac:dyDescent="0.25">
      <c r="C52" s="44"/>
      <c r="D52" s="44"/>
      <c r="E52" s="44"/>
      <c r="F52" s="44"/>
    </row>
    <row r="53" spans="3:6" x14ac:dyDescent="0.25">
      <c r="C53" s="44"/>
      <c r="D53" s="44"/>
      <c r="E53" s="44"/>
      <c r="F53" s="44"/>
    </row>
    <row r="54" spans="3:6" x14ac:dyDescent="0.25">
      <c r="C54" s="44"/>
      <c r="D54" s="44"/>
      <c r="E54" s="44"/>
      <c r="F54" s="44"/>
    </row>
    <row r="55" spans="3:6" x14ac:dyDescent="0.25">
      <c r="C55" s="44"/>
      <c r="D55" s="44"/>
      <c r="E55" s="44"/>
      <c r="F55" s="44"/>
    </row>
    <row r="56" spans="3:6" x14ac:dyDescent="0.25">
      <c r="C56" s="44"/>
      <c r="D56" s="44"/>
      <c r="E56" s="44"/>
      <c r="F56" s="44"/>
    </row>
    <row r="57" spans="3:6" x14ac:dyDescent="0.25">
      <c r="C57" s="44"/>
      <c r="D57" s="44"/>
      <c r="E57" s="44"/>
      <c r="F57" s="44"/>
    </row>
    <row r="58" spans="3:6" x14ac:dyDescent="0.25">
      <c r="C58" s="44"/>
      <c r="D58" s="44"/>
      <c r="E58" s="44"/>
      <c r="F58" s="44"/>
    </row>
    <row r="59" spans="3:6" x14ac:dyDescent="0.25">
      <c r="C59" s="44"/>
      <c r="D59" s="44"/>
      <c r="E59" s="44"/>
      <c r="F59" s="44"/>
    </row>
    <row r="60" spans="3:6" x14ac:dyDescent="0.25">
      <c r="C60" s="44"/>
      <c r="D60" s="44"/>
      <c r="E60" s="44"/>
      <c r="F60" s="44"/>
    </row>
    <row r="61" spans="3:6" x14ac:dyDescent="0.25">
      <c r="C61" s="44"/>
      <c r="D61" s="44"/>
      <c r="E61" s="44"/>
      <c r="F61" s="44"/>
    </row>
    <row r="62" spans="3:6" x14ac:dyDescent="0.25">
      <c r="C62" s="44"/>
      <c r="D62" s="44"/>
      <c r="E62" s="44"/>
      <c r="F62" s="44"/>
    </row>
    <row r="63" spans="3:6" x14ac:dyDescent="0.25">
      <c r="C63" s="44"/>
      <c r="D63" s="44"/>
      <c r="E63" s="44"/>
      <c r="F63" s="44"/>
    </row>
    <row r="64" spans="3:6" x14ac:dyDescent="0.25">
      <c r="C64" s="44"/>
      <c r="D64" s="44"/>
      <c r="E64" s="44"/>
      <c r="F64" s="44"/>
    </row>
    <row r="65" spans="3:6" x14ac:dyDescent="0.25">
      <c r="C65" s="44"/>
      <c r="D65" s="44"/>
      <c r="E65" s="44"/>
      <c r="F65" s="44"/>
    </row>
    <row r="66" spans="3:6" x14ac:dyDescent="0.25">
      <c r="C66" s="44"/>
      <c r="D66" s="44"/>
      <c r="E66" s="44"/>
      <c r="F66" s="44"/>
    </row>
    <row r="67" spans="3:6" x14ac:dyDescent="0.25">
      <c r="C67" s="44"/>
      <c r="D67" s="44"/>
      <c r="E67" s="44"/>
      <c r="F67" s="44"/>
    </row>
    <row r="68" spans="3:6" x14ac:dyDescent="0.25">
      <c r="C68" s="44"/>
      <c r="D68" s="44"/>
      <c r="E68" s="44"/>
      <c r="F68" s="44"/>
    </row>
    <row r="69" spans="3:6" x14ac:dyDescent="0.25">
      <c r="C69" s="44"/>
      <c r="D69" s="44"/>
      <c r="E69" s="44"/>
      <c r="F69" s="44"/>
    </row>
    <row r="70" spans="3:6" x14ac:dyDescent="0.25">
      <c r="C70" s="44"/>
      <c r="D70" s="44"/>
      <c r="E70" s="44"/>
      <c r="F70" s="44"/>
    </row>
    <row r="71" spans="3:6" x14ac:dyDescent="0.25">
      <c r="C71" s="44"/>
      <c r="D71" s="44"/>
      <c r="E71" s="44"/>
      <c r="F71" s="44"/>
    </row>
    <row r="72" spans="3:6" x14ac:dyDescent="0.25">
      <c r="C72" s="44"/>
      <c r="D72" s="44"/>
      <c r="E72" s="44"/>
      <c r="F72" s="44"/>
    </row>
    <row r="73" spans="3:6" x14ac:dyDescent="0.25">
      <c r="C73" s="44"/>
      <c r="D73" s="44"/>
      <c r="E73" s="44"/>
      <c r="F73" s="44"/>
    </row>
    <row r="74" spans="3:6" x14ac:dyDescent="0.25">
      <c r="C74" s="44"/>
      <c r="D74" s="44"/>
      <c r="E74" s="44"/>
      <c r="F74" s="44"/>
    </row>
    <row r="75" spans="3:6" x14ac:dyDescent="0.25">
      <c r="C75" s="44"/>
      <c r="D75" s="44"/>
      <c r="E75" s="44"/>
      <c r="F75" s="44"/>
    </row>
    <row r="76" spans="3:6" x14ac:dyDescent="0.25">
      <c r="C76" s="44"/>
      <c r="D76" s="44"/>
      <c r="E76" s="44"/>
      <c r="F76" s="44"/>
    </row>
    <row r="77" spans="3:6" x14ac:dyDescent="0.25">
      <c r="C77" s="44"/>
      <c r="D77" s="44"/>
      <c r="E77" s="44"/>
      <c r="F77" s="44"/>
    </row>
    <row r="78" spans="3:6" x14ac:dyDescent="0.25">
      <c r="C78" s="44"/>
      <c r="D78" s="44"/>
      <c r="E78" s="44"/>
      <c r="F78" s="44"/>
    </row>
    <row r="79" spans="3:6" x14ac:dyDescent="0.25">
      <c r="C79" s="44"/>
      <c r="D79" s="44"/>
      <c r="E79" s="44"/>
      <c r="F79" s="44"/>
    </row>
    <row r="80" spans="3:6" x14ac:dyDescent="0.25">
      <c r="C80" s="44"/>
      <c r="D80" s="44"/>
      <c r="E80" s="44"/>
      <c r="F80" s="44"/>
    </row>
    <row r="81" spans="3:6" x14ac:dyDescent="0.25">
      <c r="C81" s="44"/>
      <c r="D81" s="44"/>
      <c r="E81" s="44"/>
      <c r="F81" s="44"/>
    </row>
    <row r="82" spans="3:6" x14ac:dyDescent="0.25">
      <c r="C82" s="44"/>
      <c r="D82" s="44"/>
      <c r="E82" s="44"/>
      <c r="F82" s="44"/>
    </row>
    <row r="83" spans="3:6" x14ac:dyDescent="0.25">
      <c r="C83" s="44"/>
      <c r="D83" s="44"/>
      <c r="E83" s="44"/>
      <c r="F83" s="44"/>
    </row>
    <row r="84" spans="3:6" x14ac:dyDescent="0.25">
      <c r="C84" s="44"/>
      <c r="D84" s="44"/>
      <c r="E84" s="44"/>
      <c r="F84" s="44"/>
    </row>
    <row r="85" spans="3:6" x14ac:dyDescent="0.25">
      <c r="C85" s="44"/>
      <c r="D85" s="44"/>
      <c r="E85" s="44"/>
      <c r="F85" s="44"/>
    </row>
    <row r="86" spans="3:6" x14ac:dyDescent="0.25">
      <c r="C86" s="44"/>
      <c r="D86" s="44"/>
      <c r="E86" s="44"/>
      <c r="F86" s="44"/>
    </row>
    <row r="87" spans="3:6" x14ac:dyDescent="0.25">
      <c r="C87" s="44"/>
      <c r="D87" s="44"/>
      <c r="E87" s="44"/>
      <c r="F87" s="44"/>
    </row>
    <row r="88" spans="3:6" x14ac:dyDescent="0.25">
      <c r="C88" s="44"/>
      <c r="D88" s="44"/>
      <c r="E88" s="44"/>
      <c r="F88" s="44"/>
    </row>
    <row r="89" spans="3:6" x14ac:dyDescent="0.25">
      <c r="C89" s="44"/>
      <c r="D89" s="44"/>
      <c r="E89" s="44"/>
      <c r="F89" s="44"/>
    </row>
    <row r="90" spans="3:6" x14ac:dyDescent="0.25">
      <c r="C90" s="44"/>
      <c r="D90" s="44"/>
      <c r="E90" s="44"/>
      <c r="F90" s="44"/>
    </row>
    <row r="91" spans="3:6" x14ac:dyDescent="0.25">
      <c r="C91" s="44"/>
      <c r="D91" s="44"/>
      <c r="E91" s="44"/>
      <c r="F91" s="44"/>
    </row>
    <row r="92" spans="3:6" x14ac:dyDescent="0.25">
      <c r="C92" s="44"/>
      <c r="D92" s="44"/>
      <c r="E92" s="44"/>
      <c r="F92" s="44"/>
    </row>
    <row r="93" spans="3:6" x14ac:dyDescent="0.25">
      <c r="C93" s="44"/>
      <c r="D93" s="44"/>
      <c r="E93" s="44"/>
      <c r="F93" s="44"/>
    </row>
    <row r="94" spans="3:6" x14ac:dyDescent="0.25">
      <c r="C94" s="44"/>
      <c r="D94" s="44"/>
      <c r="E94" s="44"/>
      <c r="F94" s="44"/>
    </row>
    <row r="95" spans="3:6" x14ac:dyDescent="0.25">
      <c r="C95" s="44"/>
      <c r="D95" s="44"/>
      <c r="E95" s="44"/>
      <c r="F95" s="44"/>
    </row>
    <row r="96" spans="3:6" x14ac:dyDescent="0.25">
      <c r="C96" s="44"/>
      <c r="D96" s="44"/>
      <c r="E96" s="44"/>
      <c r="F96" s="44"/>
    </row>
    <row r="97" spans="3:6" x14ac:dyDescent="0.25">
      <c r="C97" s="44"/>
      <c r="D97" s="44"/>
      <c r="E97" s="44"/>
      <c r="F97" s="44"/>
    </row>
    <row r="98" spans="3:6" x14ac:dyDescent="0.25">
      <c r="C98" s="44"/>
      <c r="D98" s="44"/>
      <c r="E98" s="44"/>
      <c r="F98" s="44"/>
    </row>
    <row r="99" spans="3:6" x14ac:dyDescent="0.25">
      <c r="C99" s="44"/>
      <c r="D99" s="44"/>
      <c r="E99" s="44"/>
      <c r="F99" s="44"/>
    </row>
    <row r="100" spans="3:6" x14ac:dyDescent="0.25">
      <c r="C100" s="44"/>
      <c r="D100" s="44"/>
      <c r="E100" s="44"/>
      <c r="F100" s="44"/>
    </row>
    <row r="101" spans="3:6" x14ac:dyDescent="0.25">
      <c r="C101" s="44"/>
      <c r="D101" s="44"/>
      <c r="E101" s="44"/>
      <c r="F101" s="44"/>
    </row>
    <row r="102" spans="3:6" x14ac:dyDescent="0.25">
      <c r="C102" s="44"/>
      <c r="D102" s="44"/>
      <c r="E102" s="44"/>
      <c r="F102" s="44"/>
    </row>
    <row r="103" spans="3:6" x14ac:dyDescent="0.25">
      <c r="C103" s="44"/>
      <c r="D103" s="44"/>
      <c r="E103" s="44"/>
      <c r="F103" s="44"/>
    </row>
    <row r="104" spans="3:6" x14ac:dyDescent="0.25">
      <c r="C104" s="44"/>
      <c r="D104" s="44"/>
      <c r="E104" s="44"/>
      <c r="F104" s="44"/>
    </row>
    <row r="105" spans="3:6" x14ac:dyDescent="0.25">
      <c r="C105" s="44"/>
      <c r="D105" s="44"/>
      <c r="E105" s="44"/>
      <c r="F105" s="44"/>
    </row>
    <row r="106" spans="3:6" x14ac:dyDescent="0.25">
      <c r="C106" s="44"/>
      <c r="D106" s="44"/>
      <c r="E106" s="44"/>
      <c r="F106" s="44"/>
    </row>
    <row r="107" spans="3:6" x14ac:dyDescent="0.25">
      <c r="C107" s="44"/>
      <c r="D107" s="44"/>
      <c r="E107" s="44"/>
      <c r="F107" s="44"/>
    </row>
    <row r="108" spans="3:6" x14ac:dyDescent="0.25">
      <c r="C108" s="44"/>
      <c r="D108" s="44"/>
      <c r="E108" s="44"/>
      <c r="F108" s="44"/>
    </row>
    <row r="109" spans="3:6" x14ac:dyDescent="0.25">
      <c r="C109" s="44"/>
      <c r="D109" s="44"/>
      <c r="E109" s="44"/>
      <c r="F109" s="44"/>
    </row>
    <row r="110" spans="3:6" x14ac:dyDescent="0.25">
      <c r="C110" s="44"/>
      <c r="D110" s="44"/>
      <c r="E110" s="44"/>
      <c r="F110" s="44"/>
    </row>
    <row r="111" spans="3:6" x14ac:dyDescent="0.25">
      <c r="C111" s="44"/>
      <c r="D111" s="44"/>
      <c r="E111" s="44"/>
      <c r="F111" s="44"/>
    </row>
    <row r="112" spans="3:6" x14ac:dyDescent="0.25">
      <c r="C112" s="44"/>
      <c r="D112" s="44"/>
      <c r="E112" s="44"/>
      <c r="F112" s="44"/>
    </row>
    <row r="113" spans="3:6" x14ac:dyDescent="0.25">
      <c r="C113" s="44"/>
      <c r="D113" s="44"/>
      <c r="E113" s="44"/>
      <c r="F113" s="44"/>
    </row>
    <row r="114" spans="3:6" x14ac:dyDescent="0.25">
      <c r="C114" s="44"/>
      <c r="D114" s="44"/>
      <c r="E114" s="44"/>
      <c r="F114" s="44"/>
    </row>
    <row r="115" spans="3:6" x14ac:dyDescent="0.25">
      <c r="C115" s="44"/>
      <c r="D115" s="44"/>
      <c r="E115" s="44"/>
      <c r="F115" s="44"/>
    </row>
    <row r="116" spans="3:6" x14ac:dyDescent="0.25">
      <c r="C116" s="44"/>
      <c r="D116" s="44"/>
      <c r="E116" s="44"/>
      <c r="F116" s="44"/>
    </row>
    <row r="117" spans="3:6" x14ac:dyDescent="0.25">
      <c r="C117" s="44"/>
      <c r="D117" s="44"/>
      <c r="E117" s="44"/>
      <c r="F117" s="44"/>
    </row>
    <row r="118" spans="3:6" x14ac:dyDescent="0.25">
      <c r="C118" s="44"/>
      <c r="D118" s="44"/>
      <c r="E118" s="44"/>
      <c r="F118" s="44"/>
    </row>
    <row r="119" spans="3:6" x14ac:dyDescent="0.25">
      <c r="C119" s="44"/>
      <c r="D119" s="44"/>
      <c r="E119" s="44"/>
      <c r="F119" s="44"/>
    </row>
    <row r="120" spans="3:6" x14ac:dyDescent="0.25">
      <c r="C120" s="44"/>
      <c r="D120" s="44"/>
      <c r="E120" s="44"/>
      <c r="F120" s="44"/>
    </row>
    <row r="121" spans="3:6" x14ac:dyDescent="0.25">
      <c r="C121" s="44"/>
      <c r="D121" s="44"/>
      <c r="E121" s="44"/>
      <c r="F121" s="44"/>
    </row>
    <row r="122" spans="3:6" x14ac:dyDescent="0.25">
      <c r="C122" s="44"/>
      <c r="D122" s="44"/>
      <c r="E122" s="44"/>
      <c r="F122" s="44"/>
    </row>
    <row r="123" spans="3:6" x14ac:dyDescent="0.25">
      <c r="C123" s="44"/>
      <c r="D123" s="44"/>
      <c r="E123" s="44"/>
      <c r="F123" s="44"/>
    </row>
    <row r="124" spans="3:6" x14ac:dyDescent="0.25">
      <c r="C124" s="44"/>
      <c r="D124" s="44"/>
      <c r="E124" s="44"/>
      <c r="F124" s="44"/>
    </row>
    <row r="125" spans="3:6" x14ac:dyDescent="0.25">
      <c r="C125" s="44"/>
      <c r="D125" s="44"/>
      <c r="E125" s="44"/>
      <c r="F125" s="44"/>
    </row>
    <row r="126" spans="3:6" x14ac:dyDescent="0.25">
      <c r="C126" s="44"/>
      <c r="D126" s="44"/>
      <c r="E126" s="44"/>
      <c r="F126" s="44"/>
    </row>
    <row r="127" spans="3:6" x14ac:dyDescent="0.25">
      <c r="C127" s="44"/>
      <c r="D127" s="44"/>
      <c r="E127" s="44"/>
      <c r="F127" s="44"/>
    </row>
    <row r="128" spans="3:6" x14ac:dyDescent="0.25">
      <c r="C128" s="44"/>
      <c r="D128" s="44"/>
      <c r="E128" s="44"/>
      <c r="F128" s="44"/>
    </row>
    <row r="129" spans="3:6" x14ac:dyDescent="0.25">
      <c r="C129" s="44"/>
      <c r="D129" s="44"/>
      <c r="E129" s="44"/>
      <c r="F129" s="44"/>
    </row>
    <row r="130" spans="3:6" x14ac:dyDescent="0.25">
      <c r="C130" s="44"/>
      <c r="D130" s="44"/>
      <c r="E130" s="44"/>
      <c r="F130" s="44"/>
    </row>
    <row r="131" spans="3:6" x14ac:dyDescent="0.25">
      <c r="C131" s="44"/>
      <c r="D131" s="44"/>
      <c r="E131" s="44"/>
      <c r="F131" s="44"/>
    </row>
    <row r="132" spans="3:6" x14ac:dyDescent="0.25">
      <c r="C132" s="44"/>
      <c r="D132" s="44"/>
      <c r="E132" s="44"/>
      <c r="F132" s="44"/>
    </row>
    <row r="133" spans="3:6" x14ac:dyDescent="0.25">
      <c r="C133" s="44"/>
      <c r="D133" s="44"/>
      <c r="E133" s="44"/>
      <c r="F133" s="44"/>
    </row>
    <row r="134" spans="3:6" x14ac:dyDescent="0.25">
      <c r="C134" s="44"/>
      <c r="D134" s="44"/>
      <c r="E134" s="44"/>
      <c r="F134" s="44"/>
    </row>
    <row r="135" spans="3:6" x14ac:dyDescent="0.25">
      <c r="C135" s="44"/>
      <c r="D135" s="44"/>
      <c r="E135" s="44"/>
      <c r="F135" s="44"/>
    </row>
    <row r="136" spans="3:6" x14ac:dyDescent="0.25">
      <c r="C136" s="44"/>
      <c r="D136" s="44"/>
      <c r="E136" s="44"/>
      <c r="F136" s="44"/>
    </row>
    <row r="137" spans="3:6" x14ac:dyDescent="0.25">
      <c r="C137" s="44"/>
      <c r="D137" s="44"/>
      <c r="E137" s="44"/>
      <c r="F137" s="44"/>
    </row>
    <row r="138" spans="3:6" x14ac:dyDescent="0.25">
      <c r="C138" s="44"/>
      <c r="D138" s="44"/>
      <c r="E138" s="44"/>
      <c r="F138" s="44"/>
    </row>
    <row r="139" spans="3:6" x14ac:dyDescent="0.25">
      <c r="C139" s="44"/>
      <c r="D139" s="44"/>
      <c r="E139" s="44"/>
      <c r="F139" s="44"/>
    </row>
    <row r="140" spans="3:6" x14ac:dyDescent="0.25">
      <c r="C140" s="44"/>
      <c r="D140" s="44"/>
      <c r="E140" s="44"/>
      <c r="F140" s="44"/>
    </row>
    <row r="141" spans="3:6" x14ac:dyDescent="0.25">
      <c r="C141" s="44"/>
      <c r="D141" s="44"/>
      <c r="E141" s="44"/>
      <c r="F141" s="44"/>
    </row>
    <row r="142" spans="3:6" x14ac:dyDescent="0.25">
      <c r="C142" s="44"/>
      <c r="D142" s="44"/>
      <c r="E142" s="44"/>
      <c r="F142" s="44"/>
    </row>
    <row r="143" spans="3:6" x14ac:dyDescent="0.25">
      <c r="C143" s="44"/>
      <c r="D143" s="44"/>
      <c r="E143" s="44"/>
      <c r="F143" s="44"/>
    </row>
    <row r="144" spans="3:6" x14ac:dyDescent="0.25">
      <c r="C144" s="44"/>
      <c r="D144" s="44"/>
      <c r="E144" s="44"/>
      <c r="F144" s="44"/>
    </row>
    <row r="145" spans="3:6" x14ac:dyDescent="0.25">
      <c r="C145" s="44"/>
      <c r="D145" s="44"/>
      <c r="E145" s="44"/>
      <c r="F145" s="44"/>
    </row>
    <row r="146" spans="3:6" x14ac:dyDescent="0.25">
      <c r="C146" s="44"/>
      <c r="D146" s="44"/>
      <c r="E146" s="44"/>
      <c r="F146" s="44"/>
    </row>
    <row r="147" spans="3:6" x14ac:dyDescent="0.25">
      <c r="C147" s="44"/>
      <c r="D147" s="44"/>
      <c r="E147" s="44"/>
      <c r="F147" s="44"/>
    </row>
    <row r="148" spans="3:6" x14ac:dyDescent="0.25">
      <c r="C148" s="44"/>
      <c r="D148" s="44"/>
      <c r="E148" s="44"/>
      <c r="F148" s="44"/>
    </row>
    <row r="149" spans="3:6" x14ac:dyDescent="0.25">
      <c r="C149" s="44"/>
      <c r="D149" s="44"/>
      <c r="E149" s="44"/>
      <c r="F149" s="44"/>
    </row>
    <row r="150" spans="3:6" x14ac:dyDescent="0.25">
      <c r="C150" s="44"/>
      <c r="D150" s="44"/>
      <c r="E150" s="44"/>
      <c r="F150" s="44"/>
    </row>
    <row r="151" spans="3:6" x14ac:dyDescent="0.25">
      <c r="C151" s="44"/>
      <c r="D151" s="44"/>
      <c r="E151" s="44"/>
      <c r="F151" s="44"/>
    </row>
    <row r="152" spans="3:6" x14ac:dyDescent="0.25">
      <c r="C152" s="44"/>
      <c r="D152" s="44"/>
      <c r="E152" s="44"/>
      <c r="F152" s="44"/>
    </row>
    <row r="153" spans="3:6" x14ac:dyDescent="0.25">
      <c r="C153" s="44"/>
      <c r="D153" s="44"/>
      <c r="E153" s="44"/>
      <c r="F153" s="44"/>
    </row>
    <row r="154" spans="3:6" x14ac:dyDescent="0.25">
      <c r="C154" s="44"/>
      <c r="D154" s="44"/>
      <c r="E154" s="44"/>
      <c r="F154" s="44"/>
    </row>
    <row r="155" spans="3:6" x14ac:dyDescent="0.25">
      <c r="C155" s="44"/>
      <c r="D155" s="44"/>
      <c r="E155" s="44"/>
      <c r="F155" s="44"/>
    </row>
    <row r="156" spans="3:6" x14ac:dyDescent="0.25">
      <c r="C156" s="44"/>
      <c r="D156" s="44"/>
      <c r="E156" s="44"/>
      <c r="F156" s="44"/>
    </row>
    <row r="157" spans="3:6" x14ac:dyDescent="0.25">
      <c r="C157" s="44"/>
      <c r="D157" s="44"/>
      <c r="E157" s="44"/>
      <c r="F157" s="44"/>
    </row>
    <row r="158" spans="3:6" x14ac:dyDescent="0.25">
      <c r="C158" s="44"/>
      <c r="D158" s="44"/>
      <c r="E158" s="44"/>
      <c r="F158" s="44"/>
    </row>
    <row r="159" spans="3:6" x14ac:dyDescent="0.25">
      <c r="C159" s="44"/>
      <c r="D159" s="44"/>
      <c r="E159" s="44"/>
      <c r="F159" s="44"/>
    </row>
    <row r="160" spans="3:6" x14ac:dyDescent="0.25">
      <c r="C160" s="44"/>
      <c r="D160" s="44"/>
      <c r="E160" s="44"/>
      <c r="F160" s="44"/>
    </row>
    <row r="161" spans="3:6" x14ac:dyDescent="0.25">
      <c r="C161" s="44"/>
      <c r="D161" s="44"/>
      <c r="E161" s="44"/>
      <c r="F161" s="44"/>
    </row>
    <row r="162" spans="3:6" x14ac:dyDescent="0.25">
      <c r="C162" s="44"/>
      <c r="D162" s="44"/>
      <c r="E162" s="44"/>
      <c r="F162" s="44"/>
    </row>
    <row r="163" spans="3:6" x14ac:dyDescent="0.25">
      <c r="C163" s="44"/>
      <c r="D163" s="44"/>
      <c r="E163" s="44"/>
      <c r="F163" s="44"/>
    </row>
    <row r="164" spans="3:6" x14ac:dyDescent="0.25">
      <c r="C164" s="44"/>
      <c r="D164" s="44"/>
      <c r="E164" s="44"/>
      <c r="F164" s="44"/>
    </row>
    <row r="165" spans="3:6" x14ac:dyDescent="0.25">
      <c r="C165" s="44"/>
      <c r="D165" s="44"/>
      <c r="E165" s="44"/>
      <c r="F165" s="44"/>
    </row>
    <row r="166" spans="3:6" x14ac:dyDescent="0.25">
      <c r="C166" s="44"/>
      <c r="D166" s="44"/>
      <c r="E166" s="44"/>
      <c r="F166" s="44"/>
    </row>
    <row r="167" spans="3:6" x14ac:dyDescent="0.25">
      <c r="C167" s="44"/>
      <c r="D167" s="44"/>
      <c r="E167" s="44"/>
      <c r="F167" s="44"/>
    </row>
    <row r="168" spans="3:6" x14ac:dyDescent="0.25">
      <c r="C168" s="44"/>
      <c r="D168" s="44"/>
      <c r="E168" s="44"/>
      <c r="F168" s="44"/>
    </row>
    <row r="169" spans="3:6" x14ac:dyDescent="0.25">
      <c r="C169" s="44"/>
      <c r="D169" s="44"/>
      <c r="E169" s="44"/>
      <c r="F169" s="44"/>
    </row>
    <row r="170" spans="3:6" x14ac:dyDescent="0.25">
      <c r="C170" s="44"/>
      <c r="D170" s="44"/>
      <c r="E170" s="44"/>
      <c r="F170" s="44"/>
    </row>
  </sheetData>
  <sheetProtection formatCells="0" formatColumns="0" formatRows="0" insertColumns="0" insertRows="0" insertHyperlinks="0" deleteColumns="0" deleteRows="0" sort="0" autoFilter="0" pivotTables="0"/>
  <mergeCells count="70">
    <mergeCell ref="BK6:BK22"/>
    <mergeCell ref="AS6:AS22"/>
    <mergeCell ref="AU6:AU22"/>
    <mergeCell ref="BB6:BB22"/>
    <mergeCell ref="AT6:AT22"/>
    <mergeCell ref="AW6:AW22"/>
    <mergeCell ref="BC6:BC22"/>
    <mergeCell ref="BD6:BD22"/>
    <mergeCell ref="BE6:BE22"/>
    <mergeCell ref="BJ6:BJ22"/>
    <mergeCell ref="AC25:AE29"/>
    <mergeCell ref="M4:N4"/>
    <mergeCell ref="M23:N23"/>
    <mergeCell ref="P23:Q23"/>
    <mergeCell ref="M25:N29"/>
    <mergeCell ref="AC4:AE4"/>
    <mergeCell ref="AC23:AE23"/>
    <mergeCell ref="X4:AA4"/>
    <mergeCell ref="X23:AA23"/>
    <mergeCell ref="T5:T23"/>
    <mergeCell ref="A25:A29"/>
    <mergeCell ref="A3:A5"/>
    <mergeCell ref="B4:E4"/>
    <mergeCell ref="B3:F3"/>
    <mergeCell ref="T3:AB3"/>
    <mergeCell ref="U4:W4"/>
    <mergeCell ref="B25:E29"/>
    <mergeCell ref="B23:E23"/>
    <mergeCell ref="G4:I4"/>
    <mergeCell ref="G23:I23"/>
    <mergeCell ref="G3:I3"/>
    <mergeCell ref="M3:S3"/>
    <mergeCell ref="P4:Q4"/>
    <mergeCell ref="K3:L3"/>
    <mergeCell ref="K4:L4"/>
    <mergeCell ref="K23:L23"/>
    <mergeCell ref="AI3:BK3"/>
    <mergeCell ref="BC4:BE4"/>
    <mergeCell ref="BC23:BE23"/>
    <mergeCell ref="U23:W23"/>
    <mergeCell ref="AF23:AG23"/>
    <mergeCell ref="AI4:AR4"/>
    <mergeCell ref="AI23:AR23"/>
    <mergeCell ref="AF4:AG4"/>
    <mergeCell ref="AS4:AW4"/>
    <mergeCell ref="AS23:AW23"/>
    <mergeCell ref="AV6:AV22"/>
    <mergeCell ref="BI6:BI22"/>
    <mergeCell ref="AC3:AH3"/>
    <mergeCell ref="AX4:BA4"/>
    <mergeCell ref="AI6:AI22"/>
    <mergeCell ref="AK6:AK22"/>
    <mergeCell ref="BF23:BH23"/>
    <mergeCell ref="BA6:BA22"/>
    <mergeCell ref="AZ6:AZ22"/>
    <mergeCell ref="AY6:AY22"/>
    <mergeCell ref="AX6:AX22"/>
    <mergeCell ref="AX23:BA23"/>
    <mergeCell ref="BF4:BH4"/>
    <mergeCell ref="BF6:BF22"/>
    <mergeCell ref="BG6:BG22"/>
    <mergeCell ref="BH6:BH22"/>
    <mergeCell ref="AJ6:AJ22"/>
    <mergeCell ref="AM6:AM22"/>
    <mergeCell ref="AO6:AO22"/>
    <mergeCell ref="AR6:AR22"/>
    <mergeCell ref="AL6:AL22"/>
    <mergeCell ref="AN6:AN22"/>
    <mergeCell ref="AP6:AP22"/>
    <mergeCell ref="AQ6:AQ22"/>
  </mergeCells>
  <pageMargins left="0.7" right="0.7"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BK24"/>
  <sheetViews>
    <sheetView zoomScale="80" zoomScaleNormal="80" workbookViewId="0">
      <pane xSplit="1" topLeftCell="B1" activePane="topRight" state="frozen"/>
      <selection pane="topRight" activeCell="F30" sqref="F30"/>
    </sheetView>
  </sheetViews>
  <sheetFormatPr defaultRowHeight="15" x14ac:dyDescent="0.25"/>
  <cols>
    <col min="1" max="1" width="16" customWidth="1"/>
    <col min="2" max="2" width="22.140625" bestFit="1" customWidth="1"/>
    <col min="3" max="3" width="10.7109375" bestFit="1" customWidth="1"/>
    <col min="4" max="4" width="8.140625" bestFit="1" customWidth="1"/>
    <col min="5" max="5" width="9.85546875" bestFit="1" customWidth="1"/>
    <col min="6" max="6" width="45" bestFit="1" customWidth="1"/>
    <col min="7" max="7" width="28" customWidth="1"/>
    <col min="8" max="8" width="30.28515625" bestFit="1" customWidth="1"/>
    <col min="9" max="9" width="30.5703125" bestFit="1" customWidth="1"/>
    <col min="10" max="10" width="59.85546875" bestFit="1" customWidth="1"/>
    <col min="11" max="11" width="30.28515625" bestFit="1" customWidth="1"/>
    <col min="12" max="12" width="30.5703125" bestFit="1" customWidth="1"/>
    <col min="13" max="13" width="41.7109375" customWidth="1"/>
    <col min="14" max="14" width="30.140625" customWidth="1"/>
    <col min="15" max="15" width="36" bestFit="1" customWidth="1"/>
    <col min="16" max="16" width="44.5703125" customWidth="1"/>
    <col min="17" max="17" width="23.7109375" bestFit="1" customWidth="1"/>
    <col min="18" max="18" width="30" bestFit="1" customWidth="1"/>
    <col min="19" max="19" width="47" bestFit="1" customWidth="1"/>
    <col min="20" max="20" width="65.42578125" customWidth="1"/>
    <col min="21" max="21" width="15" bestFit="1" customWidth="1"/>
    <col min="22" max="22" width="12.7109375" bestFit="1" customWidth="1"/>
    <col min="23" max="23" width="26" customWidth="1"/>
    <col min="24" max="24" width="11.28515625" bestFit="1" customWidth="1"/>
    <col min="25" max="25" width="59.42578125" customWidth="1"/>
    <col min="26" max="26" width="25.7109375" customWidth="1"/>
    <col min="27" max="27" width="17" bestFit="1" customWidth="1"/>
    <col min="28" max="28" width="46" bestFit="1" customWidth="1"/>
    <col min="29" max="29" width="19.42578125" bestFit="1" customWidth="1"/>
    <col min="30" max="30" width="19.28515625" bestFit="1" customWidth="1"/>
    <col min="31" max="31" width="39.140625" bestFit="1" customWidth="1"/>
    <col min="32" max="32" width="20" customWidth="1"/>
    <col min="33" max="33" width="21.5703125" customWidth="1"/>
    <col min="34" max="34" width="42.7109375" bestFit="1" customWidth="1"/>
    <col min="35" max="35" width="22" bestFit="1" customWidth="1"/>
    <col min="36" max="36" width="22" customWidth="1"/>
    <col min="37" max="37" width="36.28515625" bestFit="1" customWidth="1"/>
    <col min="38" max="38" width="42" bestFit="1" customWidth="1"/>
    <col min="39" max="39" width="30.28515625" bestFit="1" customWidth="1"/>
    <col min="40" max="40" width="39.42578125" bestFit="1" customWidth="1"/>
    <col min="41" max="41" width="29.85546875" bestFit="1" customWidth="1"/>
    <col min="42" max="42" width="39.42578125" bestFit="1" customWidth="1"/>
    <col min="43" max="43" width="62.7109375" bestFit="1" customWidth="1"/>
    <col min="44" max="44" width="80" bestFit="1" customWidth="1"/>
    <col min="45" max="45" width="17.28515625" bestFit="1" customWidth="1"/>
    <col min="46" max="46" width="38.140625" bestFit="1" customWidth="1"/>
    <col min="47" max="47" width="56.7109375" bestFit="1" customWidth="1"/>
    <col min="48" max="48" width="42.85546875" bestFit="1" customWidth="1"/>
    <col min="49" max="49" width="63" bestFit="1" customWidth="1"/>
    <col min="50" max="50" width="43.7109375" bestFit="1" customWidth="1"/>
    <col min="51" max="51" width="62.42578125" bestFit="1" customWidth="1"/>
    <col min="52" max="52" width="48.7109375" bestFit="1" customWidth="1"/>
    <col min="53" max="53" width="69.140625" bestFit="1" customWidth="1"/>
    <col min="54" max="54" width="38.5703125" bestFit="1" customWidth="1"/>
    <col min="55" max="55" width="23.28515625" customWidth="1"/>
    <col min="56" max="57" width="26.28515625" bestFit="1" customWidth="1"/>
    <col min="58" max="60" width="34.42578125" customWidth="1"/>
    <col min="61" max="61" width="53.140625" bestFit="1" customWidth="1"/>
    <col min="62" max="62" width="38.7109375" customWidth="1"/>
    <col min="63" max="63" width="73" bestFit="1" customWidth="1"/>
  </cols>
  <sheetData>
    <row r="1" spans="1:63" x14ac:dyDescent="0.25">
      <c r="A1" s="123" t="str">
        <f>Overview!A1</f>
        <v>NERP file designed by Biju &amp; updated as of 07.10.2015</v>
      </c>
    </row>
    <row r="2" spans="1:63" ht="15.75" thickBot="1" x14ac:dyDescent="0.3">
      <c r="A2" s="52" t="s">
        <v>69</v>
      </c>
    </row>
    <row r="3" spans="1:63" s="2" customFormat="1" ht="17.25" customHeight="1" thickBot="1" x14ac:dyDescent="0.3">
      <c r="A3" s="468" t="s">
        <v>14</v>
      </c>
      <c r="B3" s="359" t="s">
        <v>98</v>
      </c>
      <c r="C3" s="355"/>
      <c r="D3" s="355"/>
      <c r="E3" s="355"/>
      <c r="F3" s="356"/>
      <c r="G3" s="359" t="s">
        <v>99</v>
      </c>
      <c r="H3" s="355"/>
      <c r="I3" s="355"/>
      <c r="J3" s="301"/>
      <c r="K3" s="355"/>
      <c r="L3" s="355"/>
      <c r="M3" s="359" t="s">
        <v>100</v>
      </c>
      <c r="N3" s="355"/>
      <c r="O3" s="355"/>
      <c r="P3" s="355"/>
      <c r="Q3" s="355"/>
      <c r="R3" s="355"/>
      <c r="S3" s="356"/>
      <c r="T3" s="360" t="s">
        <v>101</v>
      </c>
      <c r="U3" s="361"/>
      <c r="V3" s="361"/>
      <c r="W3" s="361"/>
      <c r="X3" s="361"/>
      <c r="Y3" s="405"/>
      <c r="Z3" s="405"/>
      <c r="AA3" s="405"/>
      <c r="AB3" s="362"/>
      <c r="AC3" s="112"/>
      <c r="AD3" s="355" t="s">
        <v>115</v>
      </c>
      <c r="AE3" s="355"/>
      <c r="AF3" s="355"/>
      <c r="AG3" s="355"/>
      <c r="AH3" s="356"/>
      <c r="AI3" s="359" t="s">
        <v>60</v>
      </c>
      <c r="AJ3" s="355"/>
      <c r="AK3" s="355"/>
      <c r="AL3" s="355"/>
      <c r="AM3" s="355"/>
      <c r="AN3" s="355"/>
      <c r="AO3" s="355"/>
      <c r="AP3" s="355"/>
      <c r="AQ3" s="355"/>
      <c r="AR3" s="355"/>
      <c r="AS3" s="355"/>
      <c r="AT3" s="355"/>
      <c r="AU3" s="355"/>
      <c r="AV3" s="355"/>
      <c r="AW3" s="355"/>
      <c r="AX3" s="355"/>
      <c r="AY3" s="355"/>
      <c r="AZ3" s="355"/>
      <c r="BA3" s="355"/>
      <c r="BB3" s="355"/>
      <c r="BC3" s="355"/>
      <c r="BD3" s="355"/>
      <c r="BE3" s="355"/>
      <c r="BF3" s="355"/>
      <c r="BG3" s="355"/>
      <c r="BH3" s="355"/>
      <c r="BI3" s="355"/>
      <c r="BJ3" s="355"/>
      <c r="BK3" s="356"/>
    </row>
    <row r="4" spans="1:63" s="22" customFormat="1" ht="120.75" customHeight="1" thickBot="1" x14ac:dyDescent="0.3">
      <c r="A4" s="469"/>
      <c r="B4" s="363" t="str">
        <f>Overview!B3</f>
        <v>Indicator S1: NFI (Tarp, Blanket, Matt etcetera) for maintaining a safe and adequate temporary shelter.
ACT Target: 10000 HH</v>
      </c>
      <c r="C4" s="364"/>
      <c r="D4" s="364"/>
      <c r="E4" s="365"/>
      <c r="F4" s="63" t="str">
        <f>Overview!C3</f>
        <v>Indicator S2: Families/target households benefited from cash support (USD 150) for constructing intermediate shelter.
ACT Target: 10000 HH</v>
      </c>
      <c r="G4" s="363" t="str">
        <f>Overview!D3</f>
        <v xml:space="preserve">Indicator W1: HHs have safe drinking water minimum 15 litres per person. 
ACT Target: 12000 HH
</v>
      </c>
      <c r="H4" s="364"/>
      <c r="I4" s="364"/>
      <c r="J4" s="63" t="str">
        <f>Overview!E3</f>
        <v>Indicator WX1 (Non ACT): Recorded # of emergency latrines</v>
      </c>
      <c r="K4" s="363" t="str">
        <f>Overview!F3</f>
        <v xml:space="preserve">
Indicator W2: # of Temporary and permanent water distribution points constructed
ACT Target: tbc
Indicator W3: # of water distribution networks identified and repaired/rehabilitated
ACT Target: tbc</v>
      </c>
      <c r="L4" s="365"/>
      <c r="M4" s="363" t="str">
        <f>Overview!G3</f>
        <v>Indicator R1:  approximately 90,000 individual/beneficiaries) have access to latrine as per the standard of maximum 20 persons per latrine.
ACT Target: 12000 HH</v>
      </c>
      <c r="N4" s="365"/>
      <c r="O4" s="63" t="str">
        <f>Overview!H3</f>
        <v>Indicator R3: Individual permanent latrines built/repaired
ACT Target: ?</v>
      </c>
      <c r="P4" s="363" t="str">
        <f>Overview!I3</f>
        <v>Indicator R4: School/insitutional latrines bilt/reparied
ACT Target: ?</v>
      </c>
      <c r="Q4" s="365"/>
      <c r="R4" s="63" t="str">
        <f>Overview!J3</f>
        <v>Indicator R5: # of showers/bathing places constructed
ACT Target: tbc</v>
      </c>
      <c r="S4" s="63" t="str">
        <f>Overview!K3</f>
        <v>Indicator R6: 90 % of latrines repaired/rehabilitated/ constructed are equipped with hand washing facilities, one 1 liter mug and one 10 liter bucket for anal cleansing.
ACT Target: tbc</v>
      </c>
      <c r="T4" s="63" t="str">
        <f>Overview!L3</f>
        <v>Indicator H1: 70% beneficiaries from the hygiene promotion program have increased knowledge about WASH related health risks and are able to take action to prevent these and to make optimal use of water and sanitation facilities.
ACT Target: tbc</v>
      </c>
      <c r="U4" s="363" t="str">
        <f>Overview!M3</f>
        <v>Indicator H2: # of hygiene kits distributed to households
ACT Target: tbc</v>
      </c>
      <c r="V4" s="364"/>
      <c r="W4" s="365"/>
      <c r="X4" s="363" t="str">
        <f>Overview!N3</f>
        <v xml:space="preserve"> Indicator H3: # of hygiene promoters are recruited and trained
ACT Target: tbc</v>
      </c>
      <c r="Y4" s="364"/>
      <c r="Z4" s="364"/>
      <c r="AA4" s="365"/>
      <c r="AB4" s="63" t="str">
        <f>Overview!O3</f>
        <v>Indicator H4: # of hygiene promotion activities carried out in target locations
 ACT Target: tbc</v>
      </c>
      <c r="AC4" s="363" t="str">
        <f>Overview!P3</f>
        <v xml:space="preserve">Indicator L1: Distribution of food items to 10,000 affected families during the emergency period.
ACT Target: 10000HH
</v>
      </c>
      <c r="AD4" s="364"/>
      <c r="AE4" s="365"/>
      <c r="AF4" s="363" t="str">
        <f>Overview!Q3</f>
        <v>Indicator L2: Early Recovery Livelihood Assistance
ACT Target: NA</v>
      </c>
      <c r="AG4" s="365"/>
      <c r="AH4" s="63" t="str">
        <f>Overview!R3</f>
        <v>Indicator L3: 90% of beneficiaries express satisfaction
ACT Target: tbc</v>
      </c>
      <c r="AI4" s="363" t="str">
        <f>Overview!S3</f>
        <v>Indicator P1: 5,000 affected families/households have access to community based psychosocial support.
ACT Target: 27500 Persons</v>
      </c>
      <c r="AJ4" s="364"/>
      <c r="AK4" s="364"/>
      <c r="AL4" s="364"/>
      <c r="AM4" s="364"/>
      <c r="AN4" s="364"/>
      <c r="AO4" s="364"/>
      <c r="AP4" s="364"/>
      <c r="AQ4" s="364"/>
      <c r="AR4" s="365"/>
      <c r="AS4" s="363" t="str">
        <f>Overview!T3</f>
        <v>Indicator P2: Community and family support networks (formal and informal groups) that provide protection, care, and psychosocial support for vulnerable earthquake-affected families are strengthened.
ACT Target: 25</v>
      </c>
      <c r="AT4" s="364"/>
      <c r="AU4" s="364"/>
      <c r="AV4" s="364"/>
      <c r="AW4" s="365"/>
      <c r="AX4" s="363" t="s">
        <v>263</v>
      </c>
      <c r="AY4" s="364"/>
      <c r="AZ4" s="364"/>
      <c r="BA4" s="365"/>
      <c r="BB4" s="63" t="str">
        <f>Overview!V3</f>
        <v>Indicator P3: Safe spaces for women &amp; children established equipped
ACT Target: tbc</v>
      </c>
      <c r="BC4" s="363" t="str">
        <f>Overview!W3</f>
        <v>Indicator P4: Culturally appropriate recreational activities for girls, boys and adolescents organized in affected communities.
ACT Target: tbc</v>
      </c>
      <c r="BD4" s="364"/>
      <c r="BE4" s="365"/>
      <c r="BF4" s="363" t="s">
        <v>264</v>
      </c>
      <c r="BG4" s="364"/>
      <c r="BH4" s="365"/>
      <c r="BI4" s="63" t="str">
        <f>Overview!Y3</f>
        <v>Indicator P5: Increased levels of knowledge on CBPS among participants.
ACT Target: tbc</v>
      </c>
      <c r="BJ4" s="63" t="s">
        <v>267</v>
      </c>
      <c r="BK4" s="63" t="str">
        <f>Overview!AA3</f>
        <v>Indicator P6: Referral systems for people in need of focused care/specialized mental health or protection services identified/established
ACT Target: tbc</v>
      </c>
    </row>
    <row r="5" spans="1:63" s="3" customFormat="1" ht="15" customHeight="1" x14ac:dyDescent="0.25">
      <c r="A5" s="470"/>
      <c r="B5" s="207" t="s">
        <v>49</v>
      </c>
      <c r="C5" s="239" t="s">
        <v>2</v>
      </c>
      <c r="D5" s="239" t="s">
        <v>47</v>
      </c>
      <c r="E5" s="240" t="s">
        <v>19</v>
      </c>
      <c r="F5" s="206" t="s">
        <v>48</v>
      </c>
      <c r="G5" s="211" t="s">
        <v>48</v>
      </c>
      <c r="H5" s="78" t="s">
        <v>94</v>
      </c>
      <c r="I5" s="142" t="s">
        <v>95</v>
      </c>
      <c r="J5" s="171" t="s">
        <v>338</v>
      </c>
      <c r="K5" s="238" t="s">
        <v>94</v>
      </c>
      <c r="L5" s="210" t="s">
        <v>95</v>
      </c>
      <c r="M5" s="241" t="s">
        <v>108</v>
      </c>
      <c r="N5" s="241" t="s">
        <v>116</v>
      </c>
      <c r="O5" s="219" t="s">
        <v>79</v>
      </c>
      <c r="P5" s="77" t="s">
        <v>117</v>
      </c>
      <c r="Q5" s="77" t="s">
        <v>118</v>
      </c>
      <c r="R5" s="77" t="s">
        <v>112</v>
      </c>
      <c r="S5" s="77" t="s">
        <v>84</v>
      </c>
      <c r="T5" s="439" t="s">
        <v>334</v>
      </c>
      <c r="U5" s="305" t="s">
        <v>114</v>
      </c>
      <c r="V5" s="78" t="s">
        <v>50</v>
      </c>
      <c r="W5" s="79" t="s">
        <v>20</v>
      </c>
      <c r="X5" s="205" t="s">
        <v>332</v>
      </c>
      <c r="Y5" s="302" t="s">
        <v>333</v>
      </c>
      <c r="Z5" s="302" t="s">
        <v>330</v>
      </c>
      <c r="AA5" s="302" t="s">
        <v>331</v>
      </c>
      <c r="AB5" s="205" t="s">
        <v>52</v>
      </c>
      <c r="AC5" s="235" t="s">
        <v>89</v>
      </c>
      <c r="AD5" s="236" t="s">
        <v>54</v>
      </c>
      <c r="AE5" s="236" t="s">
        <v>88</v>
      </c>
      <c r="AF5" s="76" t="s">
        <v>48</v>
      </c>
      <c r="AG5" s="82" t="s">
        <v>54</v>
      </c>
      <c r="AH5" s="28" t="s">
        <v>53</v>
      </c>
      <c r="AI5" s="170" t="s">
        <v>133</v>
      </c>
      <c r="AJ5" s="170" t="s">
        <v>240</v>
      </c>
      <c r="AK5" s="204" t="s">
        <v>258</v>
      </c>
      <c r="AL5" s="204" t="s">
        <v>255</v>
      </c>
      <c r="AM5" s="204" t="s">
        <v>256</v>
      </c>
      <c r="AN5" s="204" t="s">
        <v>257</v>
      </c>
      <c r="AO5" s="150" t="s">
        <v>259</v>
      </c>
      <c r="AP5" s="150" t="s">
        <v>260</v>
      </c>
      <c r="AQ5" s="150" t="s">
        <v>261</v>
      </c>
      <c r="AR5" s="150" t="s">
        <v>262</v>
      </c>
      <c r="AS5" s="76" t="s">
        <v>124</v>
      </c>
      <c r="AT5" s="75" t="s">
        <v>269</v>
      </c>
      <c r="AU5" s="75" t="s">
        <v>270</v>
      </c>
      <c r="AV5" s="75" t="s">
        <v>271</v>
      </c>
      <c r="AW5" s="210" t="s">
        <v>272</v>
      </c>
      <c r="AX5" s="209" t="s">
        <v>241</v>
      </c>
      <c r="AY5" s="75" t="s">
        <v>244</v>
      </c>
      <c r="AZ5" s="75" t="s">
        <v>246</v>
      </c>
      <c r="BA5" s="210" t="s">
        <v>248</v>
      </c>
      <c r="BB5" s="77" t="s">
        <v>58</v>
      </c>
      <c r="BC5" s="72" t="s">
        <v>273</v>
      </c>
      <c r="BD5" s="72" t="s">
        <v>274</v>
      </c>
      <c r="BE5" s="73" t="s">
        <v>275</v>
      </c>
      <c r="BF5" s="209" t="s">
        <v>250</v>
      </c>
      <c r="BG5" s="72" t="s">
        <v>252</v>
      </c>
      <c r="BH5" s="73" t="s">
        <v>254</v>
      </c>
      <c r="BI5" s="77" t="s">
        <v>266</v>
      </c>
      <c r="BJ5" s="77" t="s">
        <v>276</v>
      </c>
      <c r="BK5" s="77" t="s">
        <v>141</v>
      </c>
    </row>
    <row r="6" spans="1:63" ht="15" customHeight="1" x14ac:dyDescent="0.25">
      <c r="A6" s="14" t="s">
        <v>7</v>
      </c>
      <c r="B6" s="6">
        <f>C6</f>
        <v>1202</v>
      </c>
      <c r="C6" s="12">
        <v>1202</v>
      </c>
      <c r="D6" s="12">
        <v>1202</v>
      </c>
      <c r="E6" s="13">
        <v>0</v>
      </c>
      <c r="F6" s="318">
        <v>1309</v>
      </c>
      <c r="G6" s="18">
        <v>1011</v>
      </c>
      <c r="H6" s="16">
        <v>1</v>
      </c>
      <c r="I6" s="19">
        <v>26</v>
      </c>
      <c r="J6" s="315">
        <f>M6</f>
        <v>0</v>
      </c>
      <c r="K6" s="229">
        <f>H6</f>
        <v>1</v>
      </c>
      <c r="L6" s="17">
        <f>I6</f>
        <v>26</v>
      </c>
      <c r="M6" s="23">
        <v>0</v>
      </c>
      <c r="N6" s="23">
        <v>0</v>
      </c>
      <c r="O6" s="62">
        <v>0</v>
      </c>
      <c r="P6" s="102">
        <v>14</v>
      </c>
      <c r="Q6" s="102">
        <v>0</v>
      </c>
      <c r="R6" s="102">
        <v>0</v>
      </c>
      <c r="S6" s="102">
        <f>U6</f>
        <v>1325</v>
      </c>
      <c r="T6" s="440"/>
      <c r="U6" s="10">
        <f>V6</f>
        <v>1325</v>
      </c>
      <c r="V6" s="15">
        <v>1325</v>
      </c>
      <c r="W6" s="15">
        <v>1316</v>
      </c>
      <c r="X6" s="21">
        <v>3</v>
      </c>
      <c r="Y6" s="21">
        <v>4</v>
      </c>
      <c r="Z6" s="21">
        <v>10</v>
      </c>
      <c r="AA6" s="21">
        <v>9</v>
      </c>
      <c r="AB6" s="9">
        <v>129</v>
      </c>
      <c r="AC6" s="113">
        <f>SUM(AD6:AE6)</f>
        <v>1202</v>
      </c>
      <c r="AD6" s="115">
        <f>AG6</f>
        <v>0</v>
      </c>
      <c r="AE6" s="116">
        <v>1202</v>
      </c>
      <c r="AF6" s="30"/>
      <c r="AG6" s="5"/>
      <c r="AH6" s="28"/>
      <c r="AI6" s="396">
        <f>AL6+AN6+AP6+AR6</f>
        <v>0</v>
      </c>
      <c r="AJ6" s="375">
        <f>AK6+AM6+AO6+AQ6</f>
        <v>0</v>
      </c>
      <c r="AK6" s="457">
        <v>0</v>
      </c>
      <c r="AL6" s="457">
        <v>0</v>
      </c>
      <c r="AM6" s="457">
        <v>0</v>
      </c>
      <c r="AN6" s="457">
        <v>0</v>
      </c>
      <c r="AO6" s="457">
        <v>0</v>
      </c>
      <c r="AP6" s="457">
        <v>0</v>
      </c>
      <c r="AQ6" s="457">
        <v>0</v>
      </c>
      <c r="AR6" s="451">
        <v>0</v>
      </c>
      <c r="AS6" s="397">
        <v>0</v>
      </c>
      <c r="AT6" s="369">
        <v>0</v>
      </c>
      <c r="AU6" s="378">
        <v>0</v>
      </c>
      <c r="AV6" s="378">
        <v>0</v>
      </c>
      <c r="AW6" s="378">
        <v>0</v>
      </c>
      <c r="AX6" s="366">
        <v>0</v>
      </c>
      <c r="AY6" s="369">
        <v>0</v>
      </c>
      <c r="AZ6" s="369">
        <v>0</v>
      </c>
      <c r="BA6" s="460">
        <v>0</v>
      </c>
      <c r="BB6" s="454">
        <v>0</v>
      </c>
      <c r="BC6" s="366">
        <v>0</v>
      </c>
      <c r="BD6" s="369">
        <v>0</v>
      </c>
      <c r="BE6" s="460">
        <v>0</v>
      </c>
      <c r="BF6" s="366">
        <v>0</v>
      </c>
      <c r="BG6" s="378">
        <v>0</v>
      </c>
      <c r="BH6" s="448">
        <v>0</v>
      </c>
      <c r="BI6" s="393" t="s">
        <v>266</v>
      </c>
      <c r="BJ6" s="393">
        <v>6</v>
      </c>
      <c r="BK6" s="393">
        <v>0</v>
      </c>
    </row>
    <row r="7" spans="1:63" x14ac:dyDescent="0.25">
      <c r="A7" s="14" t="s">
        <v>9</v>
      </c>
      <c r="B7" s="6">
        <f t="shared" ref="B7:B8" si="0">C7</f>
        <v>1208</v>
      </c>
      <c r="C7" s="12">
        <v>1208</v>
      </c>
      <c r="D7" s="12">
        <v>1208</v>
      </c>
      <c r="E7" s="13">
        <v>0</v>
      </c>
      <c r="F7" s="318">
        <v>2208</v>
      </c>
      <c r="G7" s="18">
        <v>534</v>
      </c>
      <c r="H7" s="16">
        <v>0</v>
      </c>
      <c r="I7" s="19">
        <v>12</v>
      </c>
      <c r="J7" s="315">
        <f t="shared" ref="J7:J8" si="1">M7</f>
        <v>0</v>
      </c>
      <c r="K7" s="229">
        <f t="shared" ref="K7:K8" si="2">H7</f>
        <v>0</v>
      </c>
      <c r="L7" s="17">
        <f t="shared" ref="L7:L8" si="3">I7</f>
        <v>12</v>
      </c>
      <c r="M7" s="23">
        <v>0</v>
      </c>
      <c r="N7" s="23">
        <v>0</v>
      </c>
      <c r="O7" s="62">
        <v>0</v>
      </c>
      <c r="P7" s="102">
        <v>16</v>
      </c>
      <c r="Q7" s="102">
        <v>0</v>
      </c>
      <c r="R7" s="102">
        <v>0</v>
      </c>
      <c r="S7" s="102">
        <f t="shared" ref="S7:S8" si="4">U7</f>
        <v>2325</v>
      </c>
      <c r="T7" s="440"/>
      <c r="U7" s="10">
        <f t="shared" ref="U7:U8" si="5">V7</f>
        <v>2325</v>
      </c>
      <c r="V7" s="15">
        <v>2325</v>
      </c>
      <c r="W7" s="15">
        <v>2302</v>
      </c>
      <c r="X7" s="21">
        <v>3</v>
      </c>
      <c r="Y7" s="21">
        <v>4</v>
      </c>
      <c r="Z7" s="21">
        <v>15</v>
      </c>
      <c r="AA7" s="21">
        <v>8</v>
      </c>
      <c r="AB7" s="9">
        <v>117</v>
      </c>
      <c r="AC7" s="113">
        <f t="shared" ref="AC7:AC8" si="6">SUM(AD7:AE7)</f>
        <v>2070</v>
      </c>
      <c r="AD7" s="115">
        <f t="shared" ref="AD7:AD8" si="7">AG7</f>
        <v>0</v>
      </c>
      <c r="AE7" s="116">
        <v>2070</v>
      </c>
      <c r="AF7" s="30"/>
      <c r="AG7" s="5"/>
      <c r="AH7" s="28"/>
      <c r="AI7" s="397"/>
      <c r="AJ7" s="376"/>
      <c r="AK7" s="458"/>
      <c r="AL7" s="458"/>
      <c r="AM7" s="458"/>
      <c r="AN7" s="458"/>
      <c r="AO7" s="458"/>
      <c r="AP7" s="458"/>
      <c r="AQ7" s="458"/>
      <c r="AR7" s="452"/>
      <c r="AS7" s="397"/>
      <c r="AT7" s="370"/>
      <c r="AU7" s="381"/>
      <c r="AV7" s="381"/>
      <c r="AW7" s="381"/>
      <c r="AX7" s="367"/>
      <c r="AY7" s="370"/>
      <c r="AZ7" s="370"/>
      <c r="BA7" s="461"/>
      <c r="BB7" s="455"/>
      <c r="BC7" s="367"/>
      <c r="BD7" s="370"/>
      <c r="BE7" s="461"/>
      <c r="BF7" s="367"/>
      <c r="BG7" s="381"/>
      <c r="BH7" s="449"/>
      <c r="BI7" s="394"/>
      <c r="BJ7" s="394"/>
      <c r="BK7" s="394"/>
    </row>
    <row r="8" spans="1:63" x14ac:dyDescent="0.25">
      <c r="A8" s="14" t="s">
        <v>8</v>
      </c>
      <c r="B8" s="6">
        <f t="shared" si="0"/>
        <v>2070</v>
      </c>
      <c r="C8" s="12">
        <v>2070</v>
      </c>
      <c r="D8" s="12">
        <v>2070</v>
      </c>
      <c r="E8" s="13">
        <v>0</v>
      </c>
      <c r="F8" s="318">
        <v>1357</v>
      </c>
      <c r="G8" s="18">
        <v>348</v>
      </c>
      <c r="H8" s="16">
        <v>0</v>
      </c>
      <c r="I8" s="19">
        <v>14</v>
      </c>
      <c r="J8" s="315">
        <f t="shared" si="1"/>
        <v>0</v>
      </c>
      <c r="K8" s="229">
        <f t="shared" si="2"/>
        <v>0</v>
      </c>
      <c r="L8" s="17">
        <f t="shared" si="3"/>
        <v>14</v>
      </c>
      <c r="M8" s="23">
        <v>0</v>
      </c>
      <c r="N8" s="23">
        <v>0</v>
      </c>
      <c r="O8" s="62">
        <v>0</v>
      </c>
      <c r="P8" s="102">
        <v>18</v>
      </c>
      <c r="Q8" s="102">
        <v>0</v>
      </c>
      <c r="R8" s="102">
        <v>0</v>
      </c>
      <c r="S8" s="102">
        <f t="shared" si="4"/>
        <v>1429</v>
      </c>
      <c r="T8" s="440"/>
      <c r="U8" s="10">
        <f t="shared" si="5"/>
        <v>1429</v>
      </c>
      <c r="V8" s="15">
        <v>1429</v>
      </c>
      <c r="W8" s="15">
        <v>1418</v>
      </c>
      <c r="X8" s="21">
        <v>3</v>
      </c>
      <c r="Y8" s="21">
        <v>4</v>
      </c>
      <c r="Z8" s="21">
        <v>11</v>
      </c>
      <c r="AA8" s="21">
        <v>8</v>
      </c>
      <c r="AB8" s="9">
        <v>132</v>
      </c>
      <c r="AC8" s="113">
        <f t="shared" si="6"/>
        <v>1208</v>
      </c>
      <c r="AD8" s="115">
        <f t="shared" si="7"/>
        <v>0</v>
      </c>
      <c r="AE8" s="116">
        <v>1208</v>
      </c>
      <c r="AF8" s="30"/>
      <c r="AG8" s="5"/>
      <c r="AH8" s="28"/>
      <c r="AI8" s="398"/>
      <c r="AJ8" s="377"/>
      <c r="AK8" s="459"/>
      <c r="AL8" s="459"/>
      <c r="AM8" s="459"/>
      <c r="AN8" s="459"/>
      <c r="AO8" s="459"/>
      <c r="AP8" s="459"/>
      <c r="AQ8" s="459"/>
      <c r="AR8" s="453"/>
      <c r="AS8" s="398"/>
      <c r="AT8" s="371"/>
      <c r="AU8" s="382"/>
      <c r="AV8" s="382"/>
      <c r="AW8" s="382"/>
      <c r="AX8" s="368"/>
      <c r="AY8" s="371"/>
      <c r="AZ8" s="371"/>
      <c r="BA8" s="462"/>
      <c r="BB8" s="456"/>
      <c r="BC8" s="368"/>
      <c r="BD8" s="371"/>
      <c r="BE8" s="462"/>
      <c r="BF8" s="368"/>
      <c r="BG8" s="382"/>
      <c r="BH8" s="450"/>
      <c r="BI8" s="395"/>
      <c r="BJ8" s="395"/>
      <c r="BK8" s="395"/>
    </row>
    <row r="9" spans="1:63" ht="15.75" customHeight="1" thickBot="1" x14ac:dyDescent="0.3">
      <c r="A9" s="8"/>
      <c r="B9" s="463" t="str">
        <f>"Total Households covered for Indicator S1: "&amp;SUM(B6:B8)</f>
        <v>Total Households covered for Indicator S1: 4480</v>
      </c>
      <c r="C9" s="464"/>
      <c r="D9" s="464"/>
      <c r="E9" s="464"/>
      <c r="F9" s="25" t="str">
        <f>"Total Households covered for Indicator S2: "&amp;SUM(F6:F8)</f>
        <v>Total Households covered for Indicator S2: 4874</v>
      </c>
      <c r="G9" s="465" t="str">
        <f>"Total Households covered for indicator W1, W2, &amp; W3: "&amp;SUM(G6:G8)</f>
        <v>Total Households covered for indicator W1, W2, &amp; W3: 1893</v>
      </c>
      <c r="H9" s="466"/>
      <c r="I9" s="466"/>
      <c r="J9" s="316" t="str">
        <f>"Total #s covered for indicator WX1: "&amp;SUM(J6:J8)</f>
        <v>Total #s covered for indicator WX1: 0</v>
      </c>
      <c r="K9" s="465" t="str">
        <f>"Total # covered for indicator W2, &amp; W3: "&amp;SUM(K6:L8)</f>
        <v>Total # covered for indicator W2, &amp; W3: 53</v>
      </c>
      <c r="L9" s="467"/>
      <c r="M9" s="430" t="str">
        <f>"Total Households covered for indicator R1 &amp; R2: "&amp;ROUND(SUM(M6:M8)+SUM(N6:N8),0)</f>
        <v>Total Households covered for indicator R1 &amp; R2: 0</v>
      </c>
      <c r="N9" s="431"/>
      <c r="O9" s="57" t="str">
        <f>"# constructed for indicator R3: "&amp;SUM(O6:O8)</f>
        <v># constructed for indicator R3: 0</v>
      </c>
      <c r="P9" s="390" t="str">
        <f>"Total # buildt/repaired for indicator R4: "&amp;ROUND(SUM(P6:P8),0)</f>
        <v>Total # buildt/repaired for indicator R4: 48</v>
      </c>
      <c r="Q9" s="392"/>
      <c r="R9" s="138" t="str">
        <f>"# constructed for indicator R5: "&amp;SUM(R6:R8)</f>
        <v># constructed for indicator R5: 0</v>
      </c>
      <c r="S9" s="138" t="str">
        <f>"Total Households covered for indicator R6: "&amp;ROUND(SUM(S6:S8),0)</f>
        <v>Total Households covered for indicator R6: 5079</v>
      </c>
      <c r="T9" s="441"/>
      <c r="U9" s="390" t="str">
        <f>"Total # of HK distribuited for indicator H2: "&amp;ROUND(SUM(U6:U8),0)</f>
        <v>Total # of HK distribuited for indicator H2: 5079</v>
      </c>
      <c r="V9" s="391"/>
      <c r="W9" s="392"/>
      <c r="X9" s="390" t="str">
        <f>"Total # Trained for indicator H3:"&amp;ROUND(SUM(X6:X8,Y6:Y8,Z6:Z8,AA6:AA8),0)</f>
        <v>Total # Trained for indicator H3:82</v>
      </c>
      <c r="Y9" s="391"/>
      <c r="Z9" s="391"/>
      <c r="AA9" s="392"/>
      <c r="AB9" s="50" t="str">
        <f>"Total # Trained for indicator H4: "&amp;ROUND(SUM(AB6:AB8),0)</f>
        <v>Total # Trained for indicator H4: 378</v>
      </c>
      <c r="AC9" s="383" t="str">
        <f>"Total # Trained for indicator L1: "&amp;ROUND(SUM(AE6:AE8),0)</f>
        <v>Total # Trained for indicator L1: 4480</v>
      </c>
      <c r="AD9" s="384"/>
      <c r="AE9" s="438"/>
      <c r="AF9" s="390" t="str">
        <f>"Total HH covered for indicator L3: "&amp;ROUND(SUM(AF6:AF8),0)</f>
        <v>Total HH covered for indicator L3: 0</v>
      </c>
      <c r="AG9" s="392"/>
      <c r="AH9" s="60">
        <v>0</v>
      </c>
      <c r="AI9" s="383" t="str">
        <f>"Total # of beneficiaries covered for indicator P1: "&amp;AI6</f>
        <v>Total # of beneficiaries covered for indicator P1: 0</v>
      </c>
      <c r="AJ9" s="384"/>
      <c r="AK9" s="384"/>
      <c r="AL9" s="384"/>
      <c r="AM9" s="384"/>
      <c r="AN9" s="384"/>
      <c r="AO9" s="384"/>
      <c r="AP9" s="384"/>
      <c r="AQ9" s="384"/>
      <c r="AR9" s="438"/>
      <c r="AS9" s="390" t="str">
        <f>"Total networks formed for indicator P2: "&amp;ROUND(SUM(AS6:AS8),0)</f>
        <v>Total networks formed for indicator P2: 0</v>
      </c>
      <c r="AT9" s="391"/>
      <c r="AU9" s="391"/>
      <c r="AV9" s="391"/>
      <c r="AW9" s="392"/>
      <c r="AX9" s="391" t="str">
        <f>"Total # of beneficiaries for indicator PX2: "&amp;ROUND(SUM(AX6,AY6,AZ6,BA6),0)</f>
        <v>Total # of beneficiaries for indicator PX2: 0</v>
      </c>
      <c r="AY9" s="391"/>
      <c r="AZ9" s="391"/>
      <c r="BA9" s="392"/>
      <c r="BB9" s="49" t="str">
        <f>"Total spaces created for indicator P3: "&amp;ROUND(SUM(BB6:BB8),0)</f>
        <v>Total spaces created for indicator P3: 0</v>
      </c>
      <c r="BC9" s="384" t="str">
        <f>"Total # of RA for indicator P4: "&amp;ROUND(SUM(BC6,BD6,BE6),0)</f>
        <v>Total # of RA for indicator P4: 0</v>
      </c>
      <c r="BD9" s="384"/>
      <c r="BE9" s="438"/>
      <c r="BF9" s="383" t="str">
        <f>"Total # of beneficiaries for indicator PX4: "&amp;ROUND(SUM(BF6+BG6+BH6),0)</f>
        <v>Total # of beneficiaries for indicator PX4: 0</v>
      </c>
      <c r="BG9" s="384"/>
      <c r="BH9" s="384"/>
      <c r="BI9" s="130" t="s">
        <v>266</v>
      </c>
      <c r="BJ9" s="130" t="str">
        <f>"Total # trained for Indicator PX5: "&amp;ROUND(SUM(BJ6),0)</f>
        <v>Total # trained for Indicator PX5: 6</v>
      </c>
      <c r="BK9" s="130" t="str">
        <f>"Total # for indicator P6: "&amp;ROUND(SUM(BK6),0)</f>
        <v>Total # for indicator P6: 0</v>
      </c>
    </row>
    <row r="10" spans="1:63" x14ac:dyDescent="0.25">
      <c r="BF10" s="46"/>
      <c r="BG10" s="46"/>
      <c r="BH10" s="46"/>
    </row>
    <row r="11" spans="1:63" x14ac:dyDescent="0.25">
      <c r="BF11" s="46"/>
      <c r="BG11" s="46"/>
      <c r="BH11" s="46"/>
      <c r="BJ11" s="46"/>
    </row>
    <row r="12" spans="1:63" x14ac:dyDescent="0.25">
      <c r="BJ12" s="46"/>
    </row>
    <row r="13" spans="1:63" x14ac:dyDescent="0.25">
      <c r="BJ13" s="46"/>
    </row>
    <row r="14" spans="1:63" x14ac:dyDescent="0.25">
      <c r="BJ14" s="46"/>
    </row>
    <row r="15" spans="1:63" x14ac:dyDescent="0.25">
      <c r="BJ15" s="46"/>
    </row>
    <row r="16" spans="1:63" x14ac:dyDescent="0.25">
      <c r="BJ16" s="46"/>
    </row>
    <row r="17" spans="62:62" x14ac:dyDescent="0.25">
      <c r="BJ17" s="46"/>
    </row>
    <row r="18" spans="62:62" x14ac:dyDescent="0.25">
      <c r="BJ18" s="46"/>
    </row>
    <row r="19" spans="62:62" x14ac:dyDescent="0.25">
      <c r="BJ19" s="46"/>
    </row>
    <row r="20" spans="62:62" x14ac:dyDescent="0.25">
      <c r="BJ20" s="46"/>
    </row>
    <row r="21" spans="62:62" x14ac:dyDescent="0.25">
      <c r="BJ21" s="46"/>
    </row>
    <row r="22" spans="62:62" x14ac:dyDescent="0.25">
      <c r="BJ22" s="46"/>
    </row>
    <row r="23" spans="62:62" x14ac:dyDescent="0.25">
      <c r="BJ23" s="46"/>
    </row>
    <row r="24" spans="62:62" x14ac:dyDescent="0.25">
      <c r="BJ24" s="46"/>
    </row>
  </sheetData>
  <sheetProtection formatCells="0" formatColumns="0" formatRows="0" insertColumns="0" insertRows="0" insertHyperlinks="0" deleteColumns="0" deleteRows="0" sort="0" autoFilter="0" pivotTables="0"/>
  <mergeCells count="66">
    <mergeCell ref="T3:AB3"/>
    <mergeCell ref="AI3:BK3"/>
    <mergeCell ref="BC4:BE4"/>
    <mergeCell ref="AD3:AH3"/>
    <mergeCell ref="BK6:BK8"/>
    <mergeCell ref="BE6:BE8"/>
    <mergeCell ref="BD6:BD8"/>
    <mergeCell ref="BC6:BC8"/>
    <mergeCell ref="AX4:BA4"/>
    <mergeCell ref="BJ6:BJ8"/>
    <mergeCell ref="BF4:BH4"/>
    <mergeCell ref="T5:T9"/>
    <mergeCell ref="X4:AA4"/>
    <mergeCell ref="X9:AA9"/>
    <mergeCell ref="AS9:AW9"/>
    <mergeCell ref="BI6:BI8"/>
    <mergeCell ref="A3:A5"/>
    <mergeCell ref="B3:F3"/>
    <mergeCell ref="B4:E4"/>
    <mergeCell ref="G4:I4"/>
    <mergeCell ref="M3:S3"/>
    <mergeCell ref="M4:N4"/>
    <mergeCell ref="G3:I3"/>
    <mergeCell ref="K3:L3"/>
    <mergeCell ref="K4:L4"/>
    <mergeCell ref="B9:E9"/>
    <mergeCell ref="G9:I9"/>
    <mergeCell ref="AS6:AS8"/>
    <mergeCell ref="AS4:AW4"/>
    <mergeCell ref="P4:Q4"/>
    <mergeCell ref="P9:Q9"/>
    <mergeCell ref="AI6:AI8"/>
    <mergeCell ref="AK6:AK8"/>
    <mergeCell ref="AN6:AN8"/>
    <mergeCell ref="AP6:AP8"/>
    <mergeCell ref="U4:W4"/>
    <mergeCell ref="AC4:AE4"/>
    <mergeCell ref="AF4:AG4"/>
    <mergeCell ref="AI4:AR4"/>
    <mergeCell ref="K9:L9"/>
    <mergeCell ref="M9:N9"/>
    <mergeCell ref="AI9:AR9"/>
    <mergeCell ref="BC9:BE9"/>
    <mergeCell ref="AF9:AG9"/>
    <mergeCell ref="AZ6:AZ8"/>
    <mergeCell ref="BA6:BA8"/>
    <mergeCell ref="AO6:AO8"/>
    <mergeCell ref="AX9:BA9"/>
    <mergeCell ref="AY6:AY8"/>
    <mergeCell ref="AX6:AX8"/>
    <mergeCell ref="BF9:BH9"/>
    <mergeCell ref="BF6:BF8"/>
    <mergeCell ref="BG6:BG8"/>
    <mergeCell ref="BH6:BH8"/>
    <mergeCell ref="U9:W9"/>
    <mergeCell ref="AC9:AE9"/>
    <mergeCell ref="AR6:AR8"/>
    <mergeCell ref="BB6:BB8"/>
    <mergeCell ref="AW6:AW8"/>
    <mergeCell ref="AV6:AV8"/>
    <mergeCell ref="AU6:AU8"/>
    <mergeCell ref="AT6:AT8"/>
    <mergeCell ref="AJ6:AJ8"/>
    <mergeCell ref="AL6:AL8"/>
    <mergeCell ref="AM6:AM8"/>
    <mergeCell ref="AQ6:AQ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BM44"/>
  <sheetViews>
    <sheetView zoomScale="80" zoomScaleNormal="80" zoomScaleSheetLayoutView="90" workbookViewId="0">
      <pane xSplit="2" ySplit="4" topLeftCell="AH5" activePane="bottomRight" state="frozen"/>
      <selection pane="topRight" activeCell="C1" sqref="C1"/>
      <selection pane="bottomLeft" activeCell="A5" sqref="A5"/>
      <selection pane="bottomRight" activeCell="AJ3" sqref="AJ3:AS3"/>
    </sheetView>
  </sheetViews>
  <sheetFormatPr defaultRowHeight="15" x14ac:dyDescent="0.25"/>
  <cols>
    <col min="1" max="1" width="4" customWidth="1"/>
    <col min="2" max="2" width="25.5703125" bestFit="1" customWidth="1"/>
    <col min="3" max="3" width="23.140625" customWidth="1"/>
    <col min="4" max="4" width="11" customWidth="1"/>
    <col min="5" max="5" width="8.5703125" bestFit="1" customWidth="1"/>
    <col min="6" max="6" width="9.85546875" bestFit="1" customWidth="1"/>
    <col min="7" max="7" width="44.42578125" bestFit="1" customWidth="1"/>
    <col min="8" max="8" width="11.7109375" bestFit="1" customWidth="1"/>
    <col min="9" max="9" width="37" customWidth="1"/>
    <col min="10" max="10" width="33.5703125" customWidth="1"/>
    <col min="11" max="11" width="43.42578125" bestFit="1" customWidth="1"/>
    <col min="12" max="12" width="37" customWidth="1"/>
    <col min="13" max="13" width="33.5703125" customWidth="1"/>
    <col min="14" max="14" width="43.7109375" customWidth="1"/>
    <col min="15" max="15" width="31.85546875" customWidth="1"/>
    <col min="16" max="16" width="32.28515625" bestFit="1" customWidth="1"/>
    <col min="17" max="17" width="43.85546875" bestFit="1" customWidth="1"/>
    <col min="18" max="18" width="23.7109375" bestFit="1" customWidth="1"/>
    <col min="19" max="19" width="29.85546875" customWidth="1"/>
    <col min="20" max="20" width="58.85546875" bestFit="1" customWidth="1"/>
    <col min="21" max="21" width="77.42578125" bestFit="1" customWidth="1"/>
    <col min="22" max="22" width="15" bestFit="1" customWidth="1"/>
    <col min="23" max="23" width="12.7109375" bestFit="1" customWidth="1"/>
    <col min="24" max="24" width="26" customWidth="1"/>
    <col min="25" max="25" width="11.7109375" customWidth="1"/>
    <col min="26" max="26" width="61" bestFit="1" customWidth="1"/>
    <col min="27" max="27" width="26" bestFit="1" customWidth="1"/>
    <col min="28" max="28" width="17" bestFit="1" customWidth="1"/>
    <col min="29" max="29" width="46" bestFit="1" customWidth="1"/>
    <col min="30" max="30" width="20.140625" bestFit="1" customWidth="1"/>
    <col min="31" max="31" width="19.28515625" bestFit="1" customWidth="1"/>
    <col min="32" max="32" width="29.85546875" bestFit="1" customWidth="1"/>
    <col min="33" max="33" width="20" customWidth="1"/>
    <col min="34" max="34" width="19.28515625" bestFit="1" customWidth="1"/>
    <col min="35" max="35" width="42.7109375" bestFit="1" customWidth="1"/>
    <col min="36" max="36" width="22" bestFit="1" customWidth="1"/>
    <col min="37" max="37" width="22" customWidth="1"/>
    <col min="38" max="38" width="33.5703125" bestFit="1" customWidth="1"/>
    <col min="39" max="39" width="42.42578125" bestFit="1" customWidth="1"/>
    <col min="40" max="40" width="30.28515625" bestFit="1" customWidth="1"/>
    <col min="41" max="41" width="39.42578125" bestFit="1" customWidth="1"/>
    <col min="42" max="42" width="28.7109375" bestFit="1" customWidth="1"/>
    <col min="43" max="43" width="35.85546875" bestFit="1" customWidth="1"/>
    <col min="44" max="44" width="62.7109375" bestFit="1" customWidth="1"/>
    <col min="45" max="45" width="79.42578125" bestFit="1" customWidth="1"/>
    <col min="46" max="46" width="17" bestFit="1" customWidth="1"/>
    <col min="47" max="47" width="34.5703125" customWidth="1"/>
    <col min="48" max="48" width="58.5703125" bestFit="1" customWidth="1"/>
    <col min="49" max="49" width="48.5703125" bestFit="1" customWidth="1"/>
    <col min="50" max="50" width="67.28515625" bestFit="1" customWidth="1"/>
    <col min="51" max="51" width="43.7109375" bestFit="1" customWidth="1"/>
    <col min="52" max="52" width="62.42578125" bestFit="1" customWidth="1"/>
    <col min="53" max="53" width="48.7109375" bestFit="1" customWidth="1"/>
    <col min="54" max="54" width="69.140625" bestFit="1" customWidth="1"/>
    <col min="55" max="55" width="38.5703125" bestFit="1" customWidth="1"/>
    <col min="56" max="57" width="30.85546875" bestFit="1" customWidth="1"/>
    <col min="58" max="58" width="29.85546875" bestFit="1" customWidth="1"/>
    <col min="59" max="61" width="34.42578125" customWidth="1"/>
    <col min="62" max="62" width="35.5703125" customWidth="1"/>
    <col min="63" max="64" width="33" customWidth="1"/>
    <col min="65" max="65" width="48.7109375" customWidth="1"/>
  </cols>
  <sheetData>
    <row r="1" spans="1:65" ht="15.75" thickBot="1" x14ac:dyDescent="0.3">
      <c r="A1" s="123" t="str">
        <f>Overview!A1</f>
        <v>NERP file designed by Biju &amp; updated as of 07.10.2015</v>
      </c>
      <c r="B1" s="2"/>
    </row>
    <row r="2" spans="1:65" s="2" customFormat="1" ht="17.25" customHeight="1" thickBot="1" x14ac:dyDescent="0.3">
      <c r="A2" s="499" t="s">
        <v>14</v>
      </c>
      <c r="B2" s="500"/>
      <c r="C2" s="359" t="s">
        <v>98</v>
      </c>
      <c r="D2" s="355"/>
      <c r="E2" s="355"/>
      <c r="F2" s="355"/>
      <c r="G2" s="356"/>
      <c r="H2" s="359" t="s">
        <v>99</v>
      </c>
      <c r="I2" s="355"/>
      <c r="J2" s="355"/>
      <c r="K2" s="355"/>
      <c r="L2" s="355"/>
      <c r="M2" s="356"/>
      <c r="N2" s="359" t="s">
        <v>100</v>
      </c>
      <c r="O2" s="355"/>
      <c r="P2" s="355"/>
      <c r="Q2" s="355"/>
      <c r="R2" s="355"/>
      <c r="S2" s="355"/>
      <c r="T2" s="356"/>
      <c r="U2" s="359" t="s">
        <v>101</v>
      </c>
      <c r="V2" s="355"/>
      <c r="W2" s="355"/>
      <c r="X2" s="355"/>
      <c r="Y2" s="355"/>
      <c r="Z2" s="355"/>
      <c r="AA2" s="355"/>
      <c r="AB2" s="355"/>
      <c r="AC2" s="356"/>
      <c r="AD2" s="359" t="s">
        <v>115</v>
      </c>
      <c r="AE2" s="355"/>
      <c r="AF2" s="355"/>
      <c r="AG2" s="355"/>
      <c r="AH2" s="355"/>
      <c r="AI2" s="356"/>
      <c r="AJ2" s="139"/>
      <c r="AK2" s="199"/>
      <c r="AL2" s="355" t="s">
        <v>123</v>
      </c>
      <c r="AM2" s="355"/>
      <c r="AN2" s="355"/>
      <c r="AO2" s="355"/>
      <c r="AP2" s="355"/>
      <c r="AQ2" s="355"/>
      <c r="AR2" s="355"/>
      <c r="AS2" s="355"/>
      <c r="AT2" s="355"/>
      <c r="AU2" s="355"/>
      <c r="AV2" s="355"/>
      <c r="AW2" s="355"/>
      <c r="AX2" s="355"/>
      <c r="AY2" s="355"/>
      <c r="AZ2" s="355"/>
      <c r="BA2" s="355"/>
      <c r="BB2" s="355"/>
      <c r="BC2" s="355"/>
      <c r="BD2" s="355"/>
      <c r="BE2" s="355"/>
      <c r="BF2" s="355"/>
      <c r="BG2" s="505"/>
      <c r="BH2" s="505"/>
      <c r="BI2" s="505"/>
      <c r="BJ2" s="355"/>
      <c r="BK2" s="355"/>
      <c r="BL2" s="355"/>
      <c r="BM2" s="356"/>
    </row>
    <row r="3" spans="1:65" s="22" customFormat="1" ht="135.75" customHeight="1" thickBot="1" x14ac:dyDescent="0.3">
      <c r="A3" s="501"/>
      <c r="B3" s="502"/>
      <c r="C3" s="363" t="str">
        <f>Overview!B3</f>
        <v>Indicator S1: NFI (Tarp, Blanket, Matt etcetera) for maintaining a safe and adequate temporary shelter.
ACT Target: 10000 HH</v>
      </c>
      <c r="D3" s="364"/>
      <c r="E3" s="364"/>
      <c r="F3" s="365"/>
      <c r="G3" s="63" t="s">
        <v>57</v>
      </c>
      <c r="H3" s="363" t="s">
        <v>306</v>
      </c>
      <c r="I3" s="364"/>
      <c r="J3" s="364"/>
      <c r="K3" s="63" t="str">
        <f>Overview!E3</f>
        <v>Indicator WX1 (Non ACT): Recorded # of emergency latrines</v>
      </c>
      <c r="L3" s="363" t="str">
        <f>Overview!F3</f>
        <v xml:space="preserve">
Indicator W2: # of Temporary and permanent water distribution points constructed
ACT Target: tbc
Indicator W3: # of water distribution networks identified and repaired/rehabilitated
ACT Target: tbc</v>
      </c>
      <c r="M3" s="365"/>
      <c r="N3" s="503" t="s">
        <v>105</v>
      </c>
      <c r="O3" s="504"/>
      <c r="P3" s="63" t="s">
        <v>96</v>
      </c>
      <c r="Q3" s="363" t="s">
        <v>97</v>
      </c>
      <c r="R3" s="365"/>
      <c r="S3" s="63" t="s">
        <v>122</v>
      </c>
      <c r="T3" s="63" t="s">
        <v>110</v>
      </c>
      <c r="U3" s="63" t="s">
        <v>61</v>
      </c>
      <c r="V3" s="363" t="s">
        <v>62</v>
      </c>
      <c r="W3" s="364"/>
      <c r="X3" s="365"/>
      <c r="Y3" s="363" t="s">
        <v>63</v>
      </c>
      <c r="Z3" s="364"/>
      <c r="AA3" s="364"/>
      <c r="AB3" s="365"/>
      <c r="AC3" s="63" t="str">
        <f>Overview!O3</f>
        <v>Indicator H4: # of hygiene promotion activities carried out in target locations
 ACT Target: tbc</v>
      </c>
      <c r="AD3" s="363" t="s">
        <v>93</v>
      </c>
      <c r="AE3" s="364"/>
      <c r="AF3" s="365"/>
      <c r="AG3" s="363" t="s">
        <v>64</v>
      </c>
      <c r="AH3" s="365"/>
      <c r="AI3" s="200" t="s">
        <v>65</v>
      </c>
      <c r="AJ3" s="363" t="s">
        <v>132</v>
      </c>
      <c r="AK3" s="364"/>
      <c r="AL3" s="364"/>
      <c r="AM3" s="364"/>
      <c r="AN3" s="364"/>
      <c r="AO3" s="364"/>
      <c r="AP3" s="364"/>
      <c r="AQ3" s="364"/>
      <c r="AR3" s="364"/>
      <c r="AS3" s="365"/>
      <c r="AT3" s="363" t="s">
        <v>129</v>
      </c>
      <c r="AU3" s="364"/>
      <c r="AV3" s="364"/>
      <c r="AW3" s="364"/>
      <c r="AX3" s="364"/>
      <c r="AY3" s="363" t="s">
        <v>263</v>
      </c>
      <c r="AZ3" s="364"/>
      <c r="BA3" s="364"/>
      <c r="BB3" s="365"/>
      <c r="BC3" s="63" t="s">
        <v>126</v>
      </c>
      <c r="BD3" s="363" t="str">
        <f>Overview!W3</f>
        <v>Indicator P4: Culturally appropriate recreational activities for girls, boys and adolescents organized in affected communities.
ACT Target: tbc</v>
      </c>
      <c r="BE3" s="364"/>
      <c r="BF3" s="365"/>
      <c r="BG3" s="517" t="s">
        <v>284</v>
      </c>
      <c r="BH3" s="518"/>
      <c r="BI3" s="519"/>
      <c r="BJ3" s="63" t="str">
        <f>Overview!Y3</f>
        <v>Indicator P5: Increased levels of knowledge on CBPS among participants.
ACT Target: tbc</v>
      </c>
      <c r="BK3" s="363" t="str">
        <f>Overview!Z3</f>
        <v>(ACT member staff and community/social workers and staff of partners trained in community based psychosocial support and/or psychological first aid.
Target: tbc</v>
      </c>
      <c r="BL3" s="365"/>
      <c r="BM3" s="63" t="s">
        <v>130</v>
      </c>
    </row>
    <row r="4" spans="1:65" s="3" customFormat="1" ht="15.75" customHeight="1" x14ac:dyDescent="0.25">
      <c r="A4" s="501"/>
      <c r="B4" s="502"/>
      <c r="C4" s="71" t="s">
        <v>49</v>
      </c>
      <c r="D4" s="72" t="s">
        <v>2</v>
      </c>
      <c r="E4" s="72" t="s">
        <v>47</v>
      </c>
      <c r="F4" s="73" t="s">
        <v>19</v>
      </c>
      <c r="G4" s="74" t="s">
        <v>48</v>
      </c>
      <c r="H4" s="64" t="s">
        <v>48</v>
      </c>
      <c r="I4" s="75" t="s">
        <v>94</v>
      </c>
      <c r="J4" s="142" t="s">
        <v>95</v>
      </c>
      <c r="K4" s="77" t="s">
        <v>339</v>
      </c>
      <c r="L4" s="209" t="s">
        <v>94</v>
      </c>
      <c r="M4" s="210" t="s">
        <v>95</v>
      </c>
      <c r="N4" s="144" t="s">
        <v>119</v>
      </c>
      <c r="O4" s="145" t="s">
        <v>116</v>
      </c>
      <c r="P4" s="147" t="s">
        <v>79</v>
      </c>
      <c r="Q4" s="102" t="s">
        <v>117</v>
      </c>
      <c r="R4" s="102" t="s">
        <v>118</v>
      </c>
      <c r="S4" s="77" t="s">
        <v>79</v>
      </c>
      <c r="T4" s="77" t="s">
        <v>84</v>
      </c>
      <c r="U4" s="439" t="s">
        <v>334</v>
      </c>
      <c r="V4" s="64" t="s">
        <v>114</v>
      </c>
      <c r="W4" s="78" t="s">
        <v>50</v>
      </c>
      <c r="X4" s="79" t="s">
        <v>20</v>
      </c>
      <c r="Y4" s="80" t="s">
        <v>332</v>
      </c>
      <c r="Z4" s="302" t="s">
        <v>333</v>
      </c>
      <c r="AA4" s="302" t="s">
        <v>330</v>
      </c>
      <c r="AB4" s="302" t="s">
        <v>331</v>
      </c>
      <c r="AC4" s="80" t="s">
        <v>52</v>
      </c>
      <c r="AD4" s="118" t="s">
        <v>91</v>
      </c>
      <c r="AE4" s="119" t="s">
        <v>54</v>
      </c>
      <c r="AF4" s="81" t="s">
        <v>90</v>
      </c>
      <c r="AG4" s="76" t="s">
        <v>92</v>
      </c>
      <c r="AH4" s="82" t="s">
        <v>54</v>
      </c>
      <c r="AI4" s="212" t="s">
        <v>53</v>
      </c>
      <c r="AJ4" s="129" t="s">
        <v>133</v>
      </c>
      <c r="AK4" s="170" t="s">
        <v>240</v>
      </c>
      <c r="AL4" s="75" t="s">
        <v>258</v>
      </c>
      <c r="AM4" s="75" t="s">
        <v>277</v>
      </c>
      <c r="AN4" s="72" t="s">
        <v>256</v>
      </c>
      <c r="AO4" s="72" t="s">
        <v>257</v>
      </c>
      <c r="AP4" s="72" t="s">
        <v>259</v>
      </c>
      <c r="AQ4" s="83" t="s">
        <v>278</v>
      </c>
      <c r="AR4" s="83" t="s">
        <v>261</v>
      </c>
      <c r="AS4" s="73" t="s">
        <v>279</v>
      </c>
      <c r="AT4" s="77" t="s">
        <v>128</v>
      </c>
      <c r="AU4" s="171" t="s">
        <v>280</v>
      </c>
      <c r="AV4" s="148" t="s">
        <v>281</v>
      </c>
      <c r="AW4" s="148" t="s">
        <v>282</v>
      </c>
      <c r="AX4" s="149" t="s">
        <v>283</v>
      </c>
      <c r="AY4" s="216" t="s">
        <v>241</v>
      </c>
      <c r="AZ4" s="217" t="s">
        <v>244</v>
      </c>
      <c r="BA4" s="217" t="s">
        <v>246</v>
      </c>
      <c r="BB4" s="218" t="s">
        <v>248</v>
      </c>
      <c r="BC4" s="219" t="s">
        <v>58</v>
      </c>
      <c r="BD4" s="72" t="s">
        <v>285</v>
      </c>
      <c r="BE4" s="72" t="s">
        <v>286</v>
      </c>
      <c r="BF4" s="83" t="s">
        <v>296</v>
      </c>
      <c r="BG4" s="209" t="s">
        <v>250</v>
      </c>
      <c r="BH4" s="72" t="s">
        <v>252</v>
      </c>
      <c r="BI4" s="73" t="s">
        <v>254</v>
      </c>
      <c r="BJ4" s="77" t="s">
        <v>266</v>
      </c>
      <c r="BK4" s="219" t="s">
        <v>146</v>
      </c>
      <c r="BL4" s="219" t="s">
        <v>353</v>
      </c>
      <c r="BM4" s="77" t="s">
        <v>131</v>
      </c>
    </row>
    <row r="5" spans="1:65" x14ac:dyDescent="0.25">
      <c r="A5" s="485" t="s">
        <v>0</v>
      </c>
      <c r="B5" s="84" t="s">
        <v>10</v>
      </c>
      <c r="C5" s="6">
        <f>SUM(D5:F5)</f>
        <v>0</v>
      </c>
      <c r="D5" s="12">
        <v>0</v>
      </c>
      <c r="E5" s="12">
        <v>0</v>
      </c>
      <c r="F5" s="38">
        <v>0</v>
      </c>
      <c r="G5" s="21">
        <v>657</v>
      </c>
      <c r="H5" s="18">
        <v>400</v>
      </c>
      <c r="I5" s="15">
        <v>0</v>
      </c>
      <c r="J5" s="132">
        <v>1</v>
      </c>
      <c r="K5" s="317">
        <f>N5</f>
        <v>0</v>
      </c>
      <c r="L5" s="230">
        <f>I5</f>
        <v>0</v>
      </c>
      <c r="M5" s="231">
        <f>J5</f>
        <v>1</v>
      </c>
      <c r="N5" s="146">
        <v>0</v>
      </c>
      <c r="O5" s="5">
        <v>0</v>
      </c>
      <c r="P5" s="15">
        <v>36</v>
      </c>
      <c r="Q5" s="21">
        <v>0</v>
      </c>
      <c r="R5" s="21">
        <v>4</v>
      </c>
      <c r="S5" s="21">
        <v>0</v>
      </c>
      <c r="T5" s="102">
        <f>V5</f>
        <v>216</v>
      </c>
      <c r="U5" s="440"/>
      <c r="V5" s="10">
        <f t="shared" ref="V5:V34" si="0">W5</f>
        <v>216</v>
      </c>
      <c r="W5" s="15">
        <v>216</v>
      </c>
      <c r="X5" s="17">
        <v>216</v>
      </c>
      <c r="Y5" s="442">
        <v>6</v>
      </c>
      <c r="Z5" s="442">
        <v>12</v>
      </c>
      <c r="AA5" s="442">
        <v>13</v>
      </c>
      <c r="AB5" s="21">
        <v>0</v>
      </c>
      <c r="AC5" s="9">
        <v>73</v>
      </c>
      <c r="AD5" s="115">
        <f>SUM(AE5:AF5)</f>
        <v>25</v>
      </c>
      <c r="AE5" s="120">
        <f>AH5</f>
        <v>0</v>
      </c>
      <c r="AF5" s="121">
        <v>25</v>
      </c>
      <c r="AG5" s="30">
        <f>AH5</f>
        <v>0</v>
      </c>
      <c r="AH5" s="5">
        <v>0</v>
      </c>
      <c r="AI5" s="212"/>
      <c r="AJ5" s="514">
        <f>SUM(AM5,AO5,AQ5,AS5)</f>
        <v>36</v>
      </c>
      <c r="AK5" s="513">
        <f>SUM(AL5,AN5,AP5,AR5)</f>
        <v>10</v>
      </c>
      <c r="AL5" s="479">
        <v>10</v>
      </c>
      <c r="AM5" s="479">
        <v>36</v>
      </c>
      <c r="AN5" s="479">
        <v>0</v>
      </c>
      <c r="AO5" s="378">
        <v>0</v>
      </c>
      <c r="AP5" s="378">
        <v>0</v>
      </c>
      <c r="AQ5" s="378">
        <v>0</v>
      </c>
      <c r="AR5" s="378">
        <v>0</v>
      </c>
      <c r="AS5" s="448">
        <v>0</v>
      </c>
      <c r="AT5" s="478">
        <v>2</v>
      </c>
      <c r="AU5" s="378">
        <v>1</v>
      </c>
      <c r="AV5" s="378">
        <v>1</v>
      </c>
      <c r="AW5" s="378">
        <v>1</v>
      </c>
      <c r="AX5" s="445">
        <v>0</v>
      </c>
      <c r="AY5" s="366">
        <v>26</v>
      </c>
      <c r="AZ5" s="378">
        <v>9</v>
      </c>
      <c r="BA5" s="526">
        <v>10</v>
      </c>
      <c r="BB5" s="527">
        <v>0</v>
      </c>
      <c r="BC5" s="482">
        <v>2</v>
      </c>
      <c r="BD5" s="378">
        <v>9</v>
      </c>
      <c r="BE5" s="378">
        <v>12</v>
      </c>
      <c r="BF5" s="510">
        <v>2</v>
      </c>
      <c r="BG5" s="476">
        <v>395</v>
      </c>
      <c r="BH5" s="474">
        <v>354</v>
      </c>
      <c r="BI5" s="475">
        <v>77</v>
      </c>
      <c r="BJ5" s="520" t="s">
        <v>82</v>
      </c>
      <c r="BK5" s="507">
        <v>0</v>
      </c>
      <c r="BL5" s="393">
        <v>0</v>
      </c>
      <c r="BM5" s="393">
        <v>0</v>
      </c>
    </row>
    <row r="6" spans="1:65" x14ac:dyDescent="0.25">
      <c r="A6" s="485"/>
      <c r="B6" s="84" t="s">
        <v>340</v>
      </c>
      <c r="C6" s="6">
        <f t="shared" ref="C6:C34" si="1">SUM(D6:F6)</f>
        <v>0</v>
      </c>
      <c r="D6" s="12">
        <v>0</v>
      </c>
      <c r="E6" s="12">
        <v>0</v>
      </c>
      <c r="F6" s="38">
        <v>0</v>
      </c>
      <c r="G6" s="21">
        <v>491</v>
      </c>
      <c r="H6" s="18">
        <f>55+55</f>
        <v>110</v>
      </c>
      <c r="I6" s="15">
        <v>1</v>
      </c>
      <c r="J6" s="133">
        <v>1</v>
      </c>
      <c r="K6" s="317">
        <f t="shared" ref="K6:K34" si="2">N6</f>
        <v>0</v>
      </c>
      <c r="L6" s="230">
        <f t="shared" ref="L6:L34" si="3">I6</f>
        <v>1</v>
      </c>
      <c r="M6" s="231">
        <f t="shared" ref="M6:M34" si="4">J6</f>
        <v>1</v>
      </c>
      <c r="N6" s="146">
        <v>0</v>
      </c>
      <c r="O6" s="5">
        <v>0</v>
      </c>
      <c r="P6" s="15">
        <v>29</v>
      </c>
      <c r="Q6" s="21">
        <v>0</v>
      </c>
      <c r="R6" s="21">
        <v>3</v>
      </c>
      <c r="S6" s="21">
        <v>0</v>
      </c>
      <c r="T6" s="102">
        <f t="shared" ref="T6:T34" si="5">V6</f>
        <v>615</v>
      </c>
      <c r="U6" s="440"/>
      <c r="V6" s="10">
        <f t="shared" si="0"/>
        <v>615</v>
      </c>
      <c r="W6" s="15">
        <f>200+292+123</f>
        <v>615</v>
      </c>
      <c r="X6" s="17">
        <v>519</v>
      </c>
      <c r="Y6" s="443"/>
      <c r="Z6" s="443"/>
      <c r="AA6" s="443"/>
      <c r="AB6" s="21">
        <v>0</v>
      </c>
      <c r="AC6" s="9">
        <v>11</v>
      </c>
      <c r="AD6" s="115">
        <f t="shared" ref="AD6:AD32" si="6">SUM(AE6:AF6)</f>
        <v>50</v>
      </c>
      <c r="AE6" s="120">
        <f t="shared" ref="AE6:AE34" si="7">AH6</f>
        <v>0</v>
      </c>
      <c r="AF6" s="121">
        <v>50</v>
      </c>
      <c r="AG6" s="30">
        <f t="shared" ref="AG6:AG34" si="8">AH6</f>
        <v>0</v>
      </c>
      <c r="AH6" s="5">
        <v>0</v>
      </c>
      <c r="AI6" s="212"/>
      <c r="AJ6" s="515"/>
      <c r="AK6" s="494"/>
      <c r="AL6" s="480"/>
      <c r="AM6" s="480"/>
      <c r="AN6" s="480"/>
      <c r="AO6" s="381"/>
      <c r="AP6" s="381"/>
      <c r="AQ6" s="381"/>
      <c r="AR6" s="381"/>
      <c r="AS6" s="449"/>
      <c r="AT6" s="478"/>
      <c r="AU6" s="381"/>
      <c r="AV6" s="381"/>
      <c r="AW6" s="381"/>
      <c r="AX6" s="446"/>
      <c r="AY6" s="367"/>
      <c r="AZ6" s="381"/>
      <c r="BA6" s="379"/>
      <c r="BB6" s="528"/>
      <c r="BC6" s="483"/>
      <c r="BD6" s="381"/>
      <c r="BE6" s="381"/>
      <c r="BF6" s="511"/>
      <c r="BG6" s="476"/>
      <c r="BH6" s="474"/>
      <c r="BI6" s="475"/>
      <c r="BJ6" s="521"/>
      <c r="BK6" s="508"/>
      <c r="BL6" s="394"/>
      <c r="BM6" s="394"/>
    </row>
    <row r="7" spans="1:65" x14ac:dyDescent="0.25">
      <c r="A7" s="485"/>
      <c r="B7" s="84" t="s">
        <v>36</v>
      </c>
      <c r="C7" s="6">
        <f t="shared" si="1"/>
        <v>0</v>
      </c>
      <c r="D7" s="12">
        <v>0</v>
      </c>
      <c r="E7" s="12">
        <v>0</v>
      </c>
      <c r="F7" s="38">
        <v>0</v>
      </c>
      <c r="G7" s="21">
        <v>130</v>
      </c>
      <c r="H7" s="18">
        <v>0</v>
      </c>
      <c r="I7" s="15">
        <v>0</v>
      </c>
      <c r="J7" s="133">
        <v>0</v>
      </c>
      <c r="K7" s="317">
        <f t="shared" si="2"/>
        <v>0</v>
      </c>
      <c r="L7" s="230">
        <f t="shared" si="3"/>
        <v>0</v>
      </c>
      <c r="M7" s="231">
        <f t="shared" si="4"/>
        <v>0</v>
      </c>
      <c r="N7" s="146">
        <v>0</v>
      </c>
      <c r="O7" s="5">
        <v>0</v>
      </c>
      <c r="P7" s="15">
        <v>0</v>
      </c>
      <c r="Q7" s="21">
        <v>0</v>
      </c>
      <c r="R7" s="21">
        <v>0</v>
      </c>
      <c r="S7" s="21">
        <v>0</v>
      </c>
      <c r="T7" s="102">
        <f t="shared" si="5"/>
        <v>0</v>
      </c>
      <c r="U7" s="440"/>
      <c r="V7" s="10">
        <f t="shared" si="0"/>
        <v>0</v>
      </c>
      <c r="W7" s="15">
        <v>0</v>
      </c>
      <c r="X7" s="17">
        <v>0</v>
      </c>
      <c r="Y7" s="443"/>
      <c r="Z7" s="443"/>
      <c r="AA7" s="443"/>
      <c r="AB7" s="21">
        <v>0</v>
      </c>
      <c r="AC7" s="9">
        <v>1</v>
      </c>
      <c r="AD7" s="115">
        <f t="shared" si="6"/>
        <v>125</v>
      </c>
      <c r="AE7" s="120">
        <f t="shared" si="7"/>
        <v>0</v>
      </c>
      <c r="AF7" s="121">
        <v>125</v>
      </c>
      <c r="AG7" s="30">
        <f t="shared" si="8"/>
        <v>0</v>
      </c>
      <c r="AH7" s="5">
        <v>0</v>
      </c>
      <c r="AI7" s="212"/>
      <c r="AJ7" s="515"/>
      <c r="AK7" s="494"/>
      <c r="AL7" s="480"/>
      <c r="AM7" s="480"/>
      <c r="AN7" s="480"/>
      <c r="AO7" s="381"/>
      <c r="AP7" s="381"/>
      <c r="AQ7" s="381"/>
      <c r="AR7" s="381"/>
      <c r="AS7" s="449"/>
      <c r="AT7" s="478"/>
      <c r="AU7" s="381"/>
      <c r="AV7" s="381"/>
      <c r="AW7" s="381"/>
      <c r="AX7" s="446"/>
      <c r="AY7" s="367"/>
      <c r="AZ7" s="381"/>
      <c r="BA7" s="379"/>
      <c r="BB7" s="528"/>
      <c r="BC7" s="483"/>
      <c r="BD7" s="381"/>
      <c r="BE7" s="381"/>
      <c r="BF7" s="511"/>
      <c r="BG7" s="476"/>
      <c r="BH7" s="474"/>
      <c r="BI7" s="475"/>
      <c r="BJ7" s="521"/>
      <c r="BK7" s="508"/>
      <c r="BL7" s="394"/>
      <c r="BM7" s="394"/>
    </row>
    <row r="8" spans="1:65" ht="15.75" customHeight="1" x14ac:dyDescent="0.25">
      <c r="A8" s="485"/>
      <c r="B8" s="84" t="s">
        <v>37</v>
      </c>
      <c r="C8" s="6">
        <f t="shared" si="1"/>
        <v>0</v>
      </c>
      <c r="D8" s="12">
        <v>0</v>
      </c>
      <c r="E8" s="12">
        <v>0</v>
      </c>
      <c r="F8" s="38">
        <v>0</v>
      </c>
      <c r="G8" s="21">
        <v>0</v>
      </c>
      <c r="H8" s="18">
        <v>0</v>
      </c>
      <c r="I8" s="15">
        <v>0</v>
      </c>
      <c r="J8" s="133">
        <v>0</v>
      </c>
      <c r="K8" s="317">
        <f t="shared" si="2"/>
        <v>0</v>
      </c>
      <c r="L8" s="230">
        <f t="shared" si="3"/>
        <v>0</v>
      </c>
      <c r="M8" s="231">
        <f t="shared" si="4"/>
        <v>0</v>
      </c>
      <c r="N8" s="146">
        <v>0</v>
      </c>
      <c r="O8" s="5">
        <v>0</v>
      </c>
      <c r="P8" s="15">
        <v>0</v>
      </c>
      <c r="Q8" s="21">
        <v>0</v>
      </c>
      <c r="R8" s="21">
        <v>0</v>
      </c>
      <c r="S8" s="21">
        <v>0</v>
      </c>
      <c r="T8" s="102">
        <f t="shared" si="5"/>
        <v>0</v>
      </c>
      <c r="U8" s="440"/>
      <c r="V8" s="10">
        <f t="shared" si="0"/>
        <v>0</v>
      </c>
      <c r="W8" s="15">
        <v>0</v>
      </c>
      <c r="X8" s="17">
        <v>0</v>
      </c>
      <c r="Y8" s="443"/>
      <c r="Z8" s="443"/>
      <c r="AA8" s="443"/>
      <c r="AB8" s="21">
        <v>0</v>
      </c>
      <c r="AC8" s="9">
        <v>0</v>
      </c>
      <c r="AD8" s="115">
        <f t="shared" si="6"/>
        <v>110</v>
      </c>
      <c r="AE8" s="120">
        <f t="shared" si="7"/>
        <v>0</v>
      </c>
      <c r="AF8" s="121">
        <v>110</v>
      </c>
      <c r="AG8" s="30">
        <f t="shared" si="8"/>
        <v>0</v>
      </c>
      <c r="AH8" s="5">
        <v>0</v>
      </c>
      <c r="AI8" s="212"/>
      <c r="AJ8" s="515"/>
      <c r="AK8" s="494"/>
      <c r="AL8" s="480"/>
      <c r="AM8" s="480"/>
      <c r="AN8" s="480"/>
      <c r="AO8" s="381"/>
      <c r="AP8" s="381"/>
      <c r="AQ8" s="381"/>
      <c r="AR8" s="381"/>
      <c r="AS8" s="449"/>
      <c r="AT8" s="478"/>
      <c r="AU8" s="381"/>
      <c r="AV8" s="381"/>
      <c r="AW8" s="381"/>
      <c r="AX8" s="446"/>
      <c r="AY8" s="367"/>
      <c r="AZ8" s="381"/>
      <c r="BA8" s="379"/>
      <c r="BB8" s="528"/>
      <c r="BC8" s="483"/>
      <c r="BD8" s="381"/>
      <c r="BE8" s="381"/>
      <c r="BF8" s="511"/>
      <c r="BG8" s="476"/>
      <c r="BH8" s="474"/>
      <c r="BI8" s="475"/>
      <c r="BJ8" s="521"/>
      <c r="BK8" s="508"/>
      <c r="BL8" s="394"/>
      <c r="BM8" s="394"/>
    </row>
    <row r="9" spans="1:65" ht="15.75" customHeight="1" x14ac:dyDescent="0.25">
      <c r="A9" s="485"/>
      <c r="B9" s="84" t="s">
        <v>355</v>
      </c>
      <c r="C9" s="6">
        <v>0</v>
      </c>
      <c r="D9" s="12">
        <v>0</v>
      </c>
      <c r="E9" s="12">
        <v>0</v>
      </c>
      <c r="F9" s="38">
        <v>0</v>
      </c>
      <c r="G9" s="21">
        <v>0</v>
      </c>
      <c r="H9" s="18">
        <v>0</v>
      </c>
      <c r="I9" s="15">
        <v>0</v>
      </c>
      <c r="J9" s="133">
        <v>0</v>
      </c>
      <c r="K9" s="317">
        <v>0</v>
      </c>
      <c r="L9" s="230">
        <v>0</v>
      </c>
      <c r="M9" s="231">
        <v>0</v>
      </c>
      <c r="N9" s="146">
        <v>0</v>
      </c>
      <c r="O9" s="5">
        <v>0</v>
      </c>
      <c r="P9" s="15">
        <v>0</v>
      </c>
      <c r="Q9" s="21">
        <v>0</v>
      </c>
      <c r="R9" s="21">
        <v>0</v>
      </c>
      <c r="S9" s="21">
        <v>0</v>
      </c>
      <c r="T9" s="102">
        <v>0</v>
      </c>
      <c r="U9" s="440"/>
      <c r="V9" s="10">
        <v>0</v>
      </c>
      <c r="W9" s="15">
        <v>0</v>
      </c>
      <c r="X9" s="17">
        <v>0</v>
      </c>
      <c r="Y9" s="443"/>
      <c r="Z9" s="443"/>
      <c r="AA9" s="443"/>
      <c r="AB9" s="21">
        <v>0</v>
      </c>
      <c r="AC9" s="9">
        <v>0</v>
      </c>
      <c r="AD9" s="115">
        <f>AF9</f>
        <v>187</v>
      </c>
      <c r="AE9" s="325"/>
      <c r="AF9" s="121">
        <v>187</v>
      </c>
      <c r="AG9" s="30"/>
      <c r="AH9" s="5"/>
      <c r="AI9" s="212"/>
      <c r="AJ9" s="515"/>
      <c r="AK9" s="494"/>
      <c r="AL9" s="480"/>
      <c r="AM9" s="480"/>
      <c r="AN9" s="480"/>
      <c r="AO9" s="381"/>
      <c r="AP9" s="381"/>
      <c r="AQ9" s="381"/>
      <c r="AR9" s="381"/>
      <c r="AS9" s="449"/>
      <c r="AT9" s="478"/>
      <c r="AU9" s="381"/>
      <c r="AV9" s="381"/>
      <c r="AW9" s="381"/>
      <c r="AX9" s="446"/>
      <c r="AY9" s="367"/>
      <c r="AZ9" s="381"/>
      <c r="BA9" s="379"/>
      <c r="BB9" s="528"/>
      <c r="BC9" s="483"/>
      <c r="BD9" s="381"/>
      <c r="BE9" s="381"/>
      <c r="BF9" s="511"/>
      <c r="BG9" s="476"/>
      <c r="BH9" s="474"/>
      <c r="BI9" s="475"/>
      <c r="BJ9" s="521"/>
      <c r="BK9" s="508"/>
      <c r="BL9" s="394"/>
      <c r="BM9" s="394"/>
    </row>
    <row r="10" spans="1:65" ht="15.75" customHeight="1" x14ac:dyDescent="0.25">
      <c r="A10" s="485"/>
      <c r="B10" s="84" t="s">
        <v>38</v>
      </c>
      <c r="C10" s="6">
        <f t="shared" si="1"/>
        <v>0</v>
      </c>
      <c r="D10" s="12">
        <v>0</v>
      </c>
      <c r="E10" s="12">
        <v>0</v>
      </c>
      <c r="F10" s="38">
        <v>0</v>
      </c>
      <c r="G10" s="21">
        <v>0</v>
      </c>
      <c r="H10" s="18">
        <v>0</v>
      </c>
      <c r="I10" s="15">
        <v>0</v>
      </c>
      <c r="J10" s="133">
        <v>0</v>
      </c>
      <c r="K10" s="317">
        <f t="shared" si="2"/>
        <v>0</v>
      </c>
      <c r="L10" s="230">
        <f t="shared" si="3"/>
        <v>0</v>
      </c>
      <c r="M10" s="231">
        <f t="shared" si="4"/>
        <v>0</v>
      </c>
      <c r="N10" s="146">
        <v>0</v>
      </c>
      <c r="O10" s="5">
        <v>0</v>
      </c>
      <c r="P10" s="15">
        <v>0</v>
      </c>
      <c r="Q10" s="21">
        <v>0</v>
      </c>
      <c r="R10" s="21">
        <v>0</v>
      </c>
      <c r="S10" s="21">
        <v>0</v>
      </c>
      <c r="T10" s="102">
        <f t="shared" si="5"/>
        <v>0</v>
      </c>
      <c r="U10" s="440"/>
      <c r="V10" s="10">
        <f t="shared" si="0"/>
        <v>0</v>
      </c>
      <c r="W10" s="15">
        <v>0</v>
      </c>
      <c r="X10" s="17">
        <v>0</v>
      </c>
      <c r="Y10" s="443"/>
      <c r="Z10" s="443"/>
      <c r="AA10" s="443"/>
      <c r="AB10" s="21">
        <v>0</v>
      </c>
      <c r="AC10" s="9">
        <v>0</v>
      </c>
      <c r="AD10" s="115">
        <f t="shared" si="6"/>
        <v>181</v>
      </c>
      <c r="AE10" s="120">
        <f t="shared" si="7"/>
        <v>0</v>
      </c>
      <c r="AF10" s="121">
        <v>181</v>
      </c>
      <c r="AG10" s="30">
        <f t="shared" si="8"/>
        <v>0</v>
      </c>
      <c r="AH10" s="5">
        <v>0</v>
      </c>
      <c r="AI10" s="212"/>
      <c r="AJ10" s="515"/>
      <c r="AK10" s="494"/>
      <c r="AL10" s="480"/>
      <c r="AM10" s="480"/>
      <c r="AN10" s="480"/>
      <c r="AO10" s="381"/>
      <c r="AP10" s="381"/>
      <c r="AQ10" s="381"/>
      <c r="AR10" s="381"/>
      <c r="AS10" s="449"/>
      <c r="AT10" s="478"/>
      <c r="AU10" s="381"/>
      <c r="AV10" s="381"/>
      <c r="AW10" s="381"/>
      <c r="AX10" s="446"/>
      <c r="AY10" s="367"/>
      <c r="AZ10" s="381"/>
      <c r="BA10" s="379"/>
      <c r="BB10" s="528"/>
      <c r="BC10" s="483"/>
      <c r="BD10" s="381"/>
      <c r="BE10" s="381"/>
      <c r="BF10" s="511"/>
      <c r="BG10" s="476"/>
      <c r="BH10" s="474"/>
      <c r="BI10" s="475"/>
      <c r="BJ10" s="521"/>
      <c r="BK10" s="508"/>
      <c r="BL10" s="394"/>
      <c r="BM10" s="394"/>
    </row>
    <row r="11" spans="1:65" ht="15.75" customHeight="1" x14ac:dyDescent="0.25">
      <c r="A11" s="485"/>
      <c r="B11" s="84" t="s">
        <v>39</v>
      </c>
      <c r="C11" s="6">
        <f t="shared" si="1"/>
        <v>0</v>
      </c>
      <c r="D11" s="12">
        <v>0</v>
      </c>
      <c r="E11" s="12">
        <v>0</v>
      </c>
      <c r="F11" s="38">
        <v>0</v>
      </c>
      <c r="G11" s="21">
        <v>0</v>
      </c>
      <c r="H11" s="18">
        <v>0</v>
      </c>
      <c r="I11" s="15">
        <v>0</v>
      </c>
      <c r="J11" s="133">
        <v>0</v>
      </c>
      <c r="K11" s="317">
        <f t="shared" si="2"/>
        <v>0</v>
      </c>
      <c r="L11" s="230">
        <f t="shared" si="3"/>
        <v>0</v>
      </c>
      <c r="M11" s="231">
        <f t="shared" si="4"/>
        <v>0</v>
      </c>
      <c r="N11" s="146">
        <v>0</v>
      </c>
      <c r="O11" s="5">
        <v>0</v>
      </c>
      <c r="P11" s="15">
        <v>0</v>
      </c>
      <c r="Q11" s="21">
        <v>0</v>
      </c>
      <c r="R11" s="21">
        <v>0</v>
      </c>
      <c r="S11" s="21">
        <v>0</v>
      </c>
      <c r="T11" s="102">
        <f t="shared" si="5"/>
        <v>0</v>
      </c>
      <c r="U11" s="440"/>
      <c r="V11" s="10">
        <f t="shared" si="0"/>
        <v>0</v>
      </c>
      <c r="W11" s="15">
        <v>0</v>
      </c>
      <c r="X11" s="17">
        <v>0</v>
      </c>
      <c r="Y11" s="443"/>
      <c r="Z11" s="443"/>
      <c r="AA11" s="443"/>
      <c r="AB11" s="21">
        <v>0</v>
      </c>
      <c r="AC11" s="9">
        <v>0</v>
      </c>
      <c r="AD11" s="115">
        <f t="shared" si="6"/>
        <v>159</v>
      </c>
      <c r="AE11" s="120">
        <f t="shared" si="7"/>
        <v>0</v>
      </c>
      <c r="AF11" s="121">
        <v>159</v>
      </c>
      <c r="AG11" s="30">
        <f t="shared" si="8"/>
        <v>0</v>
      </c>
      <c r="AH11" s="5">
        <v>0</v>
      </c>
      <c r="AI11" s="212"/>
      <c r="AJ11" s="515"/>
      <c r="AK11" s="494"/>
      <c r="AL11" s="480"/>
      <c r="AM11" s="480"/>
      <c r="AN11" s="480"/>
      <c r="AO11" s="381"/>
      <c r="AP11" s="381"/>
      <c r="AQ11" s="381"/>
      <c r="AR11" s="381"/>
      <c r="AS11" s="449"/>
      <c r="AT11" s="478"/>
      <c r="AU11" s="381"/>
      <c r="AV11" s="381"/>
      <c r="AW11" s="381"/>
      <c r="AX11" s="446"/>
      <c r="AY11" s="367"/>
      <c r="AZ11" s="381"/>
      <c r="BA11" s="379"/>
      <c r="BB11" s="528"/>
      <c r="BC11" s="483"/>
      <c r="BD11" s="381"/>
      <c r="BE11" s="381"/>
      <c r="BF11" s="511"/>
      <c r="BG11" s="476"/>
      <c r="BH11" s="474"/>
      <c r="BI11" s="475"/>
      <c r="BJ11" s="521"/>
      <c r="BK11" s="508"/>
      <c r="BL11" s="394"/>
      <c r="BM11" s="394"/>
    </row>
    <row r="12" spans="1:65" ht="15.75" customHeight="1" x14ac:dyDescent="0.25">
      <c r="A12" s="485"/>
      <c r="B12" s="84" t="s">
        <v>40</v>
      </c>
      <c r="C12" s="6">
        <f t="shared" si="1"/>
        <v>0</v>
      </c>
      <c r="D12" s="12">
        <v>0</v>
      </c>
      <c r="E12" s="12">
        <v>0</v>
      </c>
      <c r="F12" s="38">
        <v>0</v>
      </c>
      <c r="G12" s="21">
        <v>0</v>
      </c>
      <c r="H12" s="18">
        <v>0</v>
      </c>
      <c r="I12" s="15">
        <v>0</v>
      </c>
      <c r="J12" s="19">
        <v>0</v>
      </c>
      <c r="K12" s="317">
        <f t="shared" si="2"/>
        <v>0</v>
      </c>
      <c r="L12" s="230">
        <f t="shared" si="3"/>
        <v>0</v>
      </c>
      <c r="M12" s="231">
        <f t="shared" si="4"/>
        <v>0</v>
      </c>
      <c r="N12" s="146">
        <v>0</v>
      </c>
      <c r="O12" s="5">
        <v>0</v>
      </c>
      <c r="P12" s="15">
        <v>0</v>
      </c>
      <c r="Q12" s="21">
        <v>0</v>
      </c>
      <c r="R12" s="21">
        <v>0</v>
      </c>
      <c r="S12" s="21">
        <v>0</v>
      </c>
      <c r="T12" s="102">
        <f t="shared" si="5"/>
        <v>0</v>
      </c>
      <c r="U12" s="440"/>
      <c r="V12" s="10">
        <f t="shared" si="0"/>
        <v>0</v>
      </c>
      <c r="W12" s="15">
        <v>0</v>
      </c>
      <c r="X12" s="17">
        <v>0</v>
      </c>
      <c r="Y12" s="443"/>
      <c r="Z12" s="443"/>
      <c r="AA12" s="443"/>
      <c r="AB12" s="21">
        <v>0</v>
      </c>
      <c r="AC12" s="9">
        <v>0</v>
      </c>
      <c r="AD12" s="115">
        <f t="shared" si="6"/>
        <v>103</v>
      </c>
      <c r="AE12" s="120">
        <f t="shared" si="7"/>
        <v>0</v>
      </c>
      <c r="AF12" s="121">
        <v>103</v>
      </c>
      <c r="AG12" s="30">
        <f t="shared" si="8"/>
        <v>0</v>
      </c>
      <c r="AH12" s="5">
        <v>0</v>
      </c>
      <c r="AI12" s="212"/>
      <c r="AJ12" s="515"/>
      <c r="AK12" s="494"/>
      <c r="AL12" s="480"/>
      <c r="AM12" s="480"/>
      <c r="AN12" s="480"/>
      <c r="AO12" s="381"/>
      <c r="AP12" s="381"/>
      <c r="AQ12" s="381"/>
      <c r="AR12" s="381"/>
      <c r="AS12" s="449"/>
      <c r="AT12" s="478"/>
      <c r="AU12" s="381"/>
      <c r="AV12" s="381"/>
      <c r="AW12" s="381"/>
      <c r="AX12" s="446"/>
      <c r="AY12" s="367"/>
      <c r="AZ12" s="381"/>
      <c r="BA12" s="379"/>
      <c r="BB12" s="528"/>
      <c r="BC12" s="483"/>
      <c r="BD12" s="381"/>
      <c r="BE12" s="381"/>
      <c r="BF12" s="511"/>
      <c r="BG12" s="476"/>
      <c r="BH12" s="474"/>
      <c r="BI12" s="475"/>
      <c r="BJ12" s="521"/>
      <c r="BK12" s="508"/>
      <c r="BL12" s="394"/>
      <c r="BM12" s="394"/>
    </row>
    <row r="13" spans="1:65" ht="15.75" customHeight="1" x14ac:dyDescent="0.25">
      <c r="A13" s="485"/>
      <c r="B13" s="84" t="s">
        <v>41</v>
      </c>
      <c r="C13" s="6">
        <f t="shared" si="1"/>
        <v>0</v>
      </c>
      <c r="D13" s="12">
        <v>0</v>
      </c>
      <c r="E13" s="12">
        <v>0</v>
      </c>
      <c r="F13" s="38">
        <v>0</v>
      </c>
      <c r="G13" s="21">
        <v>0</v>
      </c>
      <c r="H13" s="18">
        <v>0</v>
      </c>
      <c r="I13" s="15">
        <v>0</v>
      </c>
      <c r="J13" s="19">
        <v>0</v>
      </c>
      <c r="K13" s="317">
        <f t="shared" si="2"/>
        <v>0</v>
      </c>
      <c r="L13" s="230">
        <f t="shared" si="3"/>
        <v>0</v>
      </c>
      <c r="M13" s="231">
        <f t="shared" si="4"/>
        <v>0</v>
      </c>
      <c r="N13" s="146">
        <v>0</v>
      </c>
      <c r="O13" s="5">
        <v>0</v>
      </c>
      <c r="P13" s="15">
        <v>0</v>
      </c>
      <c r="Q13" s="21">
        <v>0</v>
      </c>
      <c r="R13" s="21">
        <v>0</v>
      </c>
      <c r="S13" s="21">
        <v>0</v>
      </c>
      <c r="T13" s="102">
        <f t="shared" si="5"/>
        <v>0</v>
      </c>
      <c r="U13" s="440"/>
      <c r="V13" s="10">
        <f t="shared" si="0"/>
        <v>0</v>
      </c>
      <c r="W13" s="15">
        <v>0</v>
      </c>
      <c r="X13" s="17">
        <v>0</v>
      </c>
      <c r="Y13" s="443"/>
      <c r="Z13" s="443"/>
      <c r="AA13" s="443"/>
      <c r="AB13" s="21">
        <v>0</v>
      </c>
      <c r="AC13" s="9">
        <v>0</v>
      </c>
      <c r="AD13" s="115">
        <f t="shared" si="6"/>
        <v>26</v>
      </c>
      <c r="AE13" s="120">
        <f t="shared" si="7"/>
        <v>0</v>
      </c>
      <c r="AF13" s="121">
        <v>26</v>
      </c>
      <c r="AG13" s="30">
        <f t="shared" si="8"/>
        <v>0</v>
      </c>
      <c r="AH13" s="5">
        <v>0</v>
      </c>
      <c r="AI13" s="212"/>
      <c r="AJ13" s="515"/>
      <c r="AK13" s="494"/>
      <c r="AL13" s="480"/>
      <c r="AM13" s="480"/>
      <c r="AN13" s="480"/>
      <c r="AO13" s="381"/>
      <c r="AP13" s="381"/>
      <c r="AQ13" s="381"/>
      <c r="AR13" s="381"/>
      <c r="AS13" s="449"/>
      <c r="AT13" s="478"/>
      <c r="AU13" s="381"/>
      <c r="AV13" s="381"/>
      <c r="AW13" s="381"/>
      <c r="AX13" s="446"/>
      <c r="AY13" s="367"/>
      <c r="AZ13" s="381"/>
      <c r="BA13" s="379"/>
      <c r="BB13" s="528"/>
      <c r="BC13" s="483"/>
      <c r="BD13" s="381"/>
      <c r="BE13" s="381"/>
      <c r="BF13" s="511"/>
      <c r="BG13" s="476"/>
      <c r="BH13" s="474"/>
      <c r="BI13" s="475"/>
      <c r="BJ13" s="521"/>
      <c r="BK13" s="508"/>
      <c r="BL13" s="394"/>
      <c r="BM13" s="394"/>
    </row>
    <row r="14" spans="1:65" ht="15.75" customHeight="1" x14ac:dyDescent="0.25">
      <c r="A14" s="485"/>
      <c r="B14" s="84" t="s">
        <v>42</v>
      </c>
      <c r="C14" s="6">
        <f t="shared" si="1"/>
        <v>0</v>
      </c>
      <c r="D14" s="12">
        <v>0</v>
      </c>
      <c r="E14" s="12">
        <v>0</v>
      </c>
      <c r="F14" s="38">
        <v>0</v>
      </c>
      <c r="G14" s="21">
        <v>0</v>
      </c>
      <c r="H14" s="18">
        <v>0</v>
      </c>
      <c r="I14" s="15">
        <v>0</v>
      </c>
      <c r="J14" s="19">
        <v>0</v>
      </c>
      <c r="K14" s="317">
        <f t="shared" si="2"/>
        <v>0</v>
      </c>
      <c r="L14" s="230">
        <f t="shared" si="3"/>
        <v>0</v>
      </c>
      <c r="M14" s="231">
        <f t="shared" si="4"/>
        <v>0</v>
      </c>
      <c r="N14" s="146">
        <v>0</v>
      </c>
      <c r="O14" s="5">
        <v>0</v>
      </c>
      <c r="P14" s="15">
        <v>0</v>
      </c>
      <c r="Q14" s="21">
        <v>0</v>
      </c>
      <c r="R14" s="21">
        <v>0</v>
      </c>
      <c r="S14" s="21">
        <v>0</v>
      </c>
      <c r="T14" s="102">
        <f t="shared" si="5"/>
        <v>0</v>
      </c>
      <c r="U14" s="440"/>
      <c r="V14" s="10">
        <f t="shared" si="0"/>
        <v>0</v>
      </c>
      <c r="W14" s="15">
        <v>0</v>
      </c>
      <c r="X14" s="17">
        <v>0</v>
      </c>
      <c r="Y14" s="443"/>
      <c r="Z14" s="443"/>
      <c r="AA14" s="443"/>
      <c r="AB14" s="21">
        <v>0</v>
      </c>
      <c r="AC14" s="9">
        <v>0</v>
      </c>
      <c r="AD14" s="115">
        <f t="shared" si="6"/>
        <v>20</v>
      </c>
      <c r="AE14" s="120">
        <f t="shared" si="7"/>
        <v>0</v>
      </c>
      <c r="AF14" s="121">
        <v>20</v>
      </c>
      <c r="AG14" s="30">
        <f t="shared" si="8"/>
        <v>0</v>
      </c>
      <c r="AH14" s="5">
        <v>0</v>
      </c>
      <c r="AI14" s="212"/>
      <c r="AJ14" s="515"/>
      <c r="AK14" s="494"/>
      <c r="AL14" s="480"/>
      <c r="AM14" s="480"/>
      <c r="AN14" s="480"/>
      <c r="AO14" s="381"/>
      <c r="AP14" s="381"/>
      <c r="AQ14" s="381"/>
      <c r="AR14" s="381"/>
      <c r="AS14" s="449"/>
      <c r="AT14" s="478"/>
      <c r="AU14" s="381"/>
      <c r="AV14" s="381"/>
      <c r="AW14" s="381"/>
      <c r="AX14" s="446"/>
      <c r="AY14" s="367"/>
      <c r="AZ14" s="381"/>
      <c r="BA14" s="379"/>
      <c r="BB14" s="528"/>
      <c r="BC14" s="483"/>
      <c r="BD14" s="381"/>
      <c r="BE14" s="381"/>
      <c r="BF14" s="511"/>
      <c r="BG14" s="476"/>
      <c r="BH14" s="474"/>
      <c r="BI14" s="475"/>
      <c r="BJ14" s="521"/>
      <c r="BK14" s="508"/>
      <c r="BL14" s="394"/>
      <c r="BM14" s="394"/>
    </row>
    <row r="15" spans="1:65" ht="15.75" customHeight="1" x14ac:dyDescent="0.25">
      <c r="A15" s="485"/>
      <c r="B15" s="84" t="s">
        <v>43</v>
      </c>
      <c r="C15" s="6">
        <f t="shared" si="1"/>
        <v>0</v>
      </c>
      <c r="D15" s="12">
        <v>0</v>
      </c>
      <c r="E15" s="12">
        <v>0</v>
      </c>
      <c r="F15" s="38">
        <v>0</v>
      </c>
      <c r="G15" s="21">
        <v>0</v>
      </c>
      <c r="H15" s="18">
        <v>0</v>
      </c>
      <c r="I15" s="15">
        <v>0</v>
      </c>
      <c r="J15" s="19">
        <v>0</v>
      </c>
      <c r="K15" s="317">
        <f t="shared" si="2"/>
        <v>0</v>
      </c>
      <c r="L15" s="230">
        <f t="shared" si="3"/>
        <v>0</v>
      </c>
      <c r="M15" s="231">
        <f t="shared" si="4"/>
        <v>0</v>
      </c>
      <c r="N15" s="146">
        <v>0</v>
      </c>
      <c r="O15" s="5">
        <v>0</v>
      </c>
      <c r="P15" s="15">
        <v>0</v>
      </c>
      <c r="Q15" s="21">
        <v>0</v>
      </c>
      <c r="R15" s="21">
        <v>0</v>
      </c>
      <c r="S15" s="21">
        <v>0</v>
      </c>
      <c r="T15" s="102">
        <f t="shared" si="5"/>
        <v>0</v>
      </c>
      <c r="U15" s="440"/>
      <c r="V15" s="10">
        <f t="shared" si="0"/>
        <v>0</v>
      </c>
      <c r="W15" s="15">
        <v>0</v>
      </c>
      <c r="X15" s="17">
        <v>0</v>
      </c>
      <c r="Y15" s="443"/>
      <c r="Z15" s="443"/>
      <c r="AA15" s="443"/>
      <c r="AB15" s="21">
        <v>0</v>
      </c>
      <c r="AC15" s="9">
        <v>0</v>
      </c>
      <c r="AD15" s="115">
        <f t="shared" si="6"/>
        <v>25</v>
      </c>
      <c r="AE15" s="120">
        <f t="shared" si="7"/>
        <v>0</v>
      </c>
      <c r="AF15" s="121">
        <v>25</v>
      </c>
      <c r="AG15" s="30">
        <f t="shared" si="8"/>
        <v>0</v>
      </c>
      <c r="AH15" s="5">
        <v>0</v>
      </c>
      <c r="AI15" s="212"/>
      <c r="AJ15" s="515"/>
      <c r="AK15" s="494"/>
      <c r="AL15" s="480"/>
      <c r="AM15" s="480"/>
      <c r="AN15" s="480"/>
      <c r="AO15" s="381"/>
      <c r="AP15" s="381"/>
      <c r="AQ15" s="381"/>
      <c r="AR15" s="381"/>
      <c r="AS15" s="449"/>
      <c r="AT15" s="478"/>
      <c r="AU15" s="381"/>
      <c r="AV15" s="381"/>
      <c r="AW15" s="381"/>
      <c r="AX15" s="446"/>
      <c r="AY15" s="367"/>
      <c r="AZ15" s="381"/>
      <c r="BA15" s="379"/>
      <c r="BB15" s="528"/>
      <c r="BC15" s="483"/>
      <c r="BD15" s="381"/>
      <c r="BE15" s="381"/>
      <c r="BF15" s="511"/>
      <c r="BG15" s="476"/>
      <c r="BH15" s="474"/>
      <c r="BI15" s="475"/>
      <c r="BJ15" s="521"/>
      <c r="BK15" s="508"/>
      <c r="BL15" s="394"/>
      <c r="BM15" s="394"/>
    </row>
    <row r="16" spans="1:65" ht="15.75" customHeight="1" x14ac:dyDescent="0.25">
      <c r="A16" s="485"/>
      <c r="B16" s="84" t="s">
        <v>44</v>
      </c>
      <c r="C16" s="6">
        <f t="shared" si="1"/>
        <v>0</v>
      </c>
      <c r="D16" s="12">
        <v>0</v>
      </c>
      <c r="E16" s="12">
        <v>0</v>
      </c>
      <c r="F16" s="38">
        <v>0</v>
      </c>
      <c r="G16" s="21">
        <v>0</v>
      </c>
      <c r="H16" s="18">
        <v>0</v>
      </c>
      <c r="I16" s="15">
        <v>0</v>
      </c>
      <c r="J16" s="19">
        <v>0</v>
      </c>
      <c r="K16" s="317">
        <f t="shared" si="2"/>
        <v>0</v>
      </c>
      <c r="L16" s="230">
        <f t="shared" si="3"/>
        <v>0</v>
      </c>
      <c r="M16" s="231">
        <f t="shared" si="4"/>
        <v>0</v>
      </c>
      <c r="N16" s="146">
        <v>0</v>
      </c>
      <c r="O16" s="5">
        <v>0</v>
      </c>
      <c r="P16" s="15">
        <v>0</v>
      </c>
      <c r="Q16" s="21">
        <v>0</v>
      </c>
      <c r="R16" s="21">
        <v>0</v>
      </c>
      <c r="S16" s="21">
        <v>0</v>
      </c>
      <c r="T16" s="102">
        <f t="shared" si="5"/>
        <v>0</v>
      </c>
      <c r="U16" s="440"/>
      <c r="V16" s="10">
        <f t="shared" si="0"/>
        <v>0</v>
      </c>
      <c r="W16" s="15">
        <v>0</v>
      </c>
      <c r="X16" s="17">
        <v>0</v>
      </c>
      <c r="Y16" s="443"/>
      <c r="Z16" s="443"/>
      <c r="AA16" s="443"/>
      <c r="AB16" s="21">
        <v>0</v>
      </c>
      <c r="AC16" s="9">
        <v>0</v>
      </c>
      <c r="AD16" s="115">
        <f t="shared" si="6"/>
        <v>45</v>
      </c>
      <c r="AE16" s="120">
        <f t="shared" si="7"/>
        <v>0</v>
      </c>
      <c r="AF16" s="121">
        <v>45</v>
      </c>
      <c r="AG16" s="30">
        <f t="shared" si="8"/>
        <v>0</v>
      </c>
      <c r="AH16" s="5">
        <v>0</v>
      </c>
      <c r="AI16" s="212"/>
      <c r="AJ16" s="515"/>
      <c r="AK16" s="494"/>
      <c r="AL16" s="480"/>
      <c r="AM16" s="480"/>
      <c r="AN16" s="480"/>
      <c r="AO16" s="381"/>
      <c r="AP16" s="381"/>
      <c r="AQ16" s="381"/>
      <c r="AR16" s="381"/>
      <c r="AS16" s="449"/>
      <c r="AT16" s="478"/>
      <c r="AU16" s="381"/>
      <c r="AV16" s="381"/>
      <c r="AW16" s="381"/>
      <c r="AX16" s="446"/>
      <c r="AY16" s="367"/>
      <c r="AZ16" s="381"/>
      <c r="BA16" s="379"/>
      <c r="BB16" s="528"/>
      <c r="BC16" s="483"/>
      <c r="BD16" s="381"/>
      <c r="BE16" s="381"/>
      <c r="BF16" s="511"/>
      <c r="BG16" s="476"/>
      <c r="BH16" s="474"/>
      <c r="BI16" s="475"/>
      <c r="BJ16" s="521"/>
      <c r="BK16" s="508"/>
      <c r="BL16" s="394"/>
      <c r="BM16" s="394"/>
    </row>
    <row r="17" spans="1:65" ht="15.75" customHeight="1" x14ac:dyDescent="0.25">
      <c r="A17" s="485"/>
      <c r="B17" s="84" t="s">
        <v>121</v>
      </c>
      <c r="C17" s="6">
        <v>0</v>
      </c>
      <c r="D17" s="12">
        <v>0</v>
      </c>
      <c r="E17" s="12">
        <v>0</v>
      </c>
      <c r="F17" s="38">
        <v>0</v>
      </c>
      <c r="G17" s="21">
        <v>0</v>
      </c>
      <c r="H17" s="18">
        <v>0</v>
      </c>
      <c r="I17" s="15">
        <v>0</v>
      </c>
      <c r="J17" s="19">
        <v>0</v>
      </c>
      <c r="K17" s="317">
        <f t="shared" si="2"/>
        <v>0</v>
      </c>
      <c r="L17" s="230">
        <f t="shared" si="3"/>
        <v>0</v>
      </c>
      <c r="M17" s="231">
        <f t="shared" si="4"/>
        <v>0</v>
      </c>
      <c r="N17" s="146">
        <v>0</v>
      </c>
      <c r="O17" s="5">
        <v>0</v>
      </c>
      <c r="P17" s="15">
        <v>5</v>
      </c>
      <c r="Q17" s="21">
        <v>0</v>
      </c>
      <c r="R17" s="21">
        <v>0</v>
      </c>
      <c r="S17" s="21">
        <v>0</v>
      </c>
      <c r="T17" s="102">
        <v>0</v>
      </c>
      <c r="U17" s="440"/>
      <c r="V17" s="10">
        <v>0</v>
      </c>
      <c r="W17" s="15">
        <v>0</v>
      </c>
      <c r="X17" s="17">
        <v>0</v>
      </c>
      <c r="Y17" s="443"/>
      <c r="Z17" s="443"/>
      <c r="AA17" s="443"/>
      <c r="AB17" s="21">
        <v>0</v>
      </c>
      <c r="AC17" s="9">
        <v>0</v>
      </c>
      <c r="AD17" s="115">
        <v>0</v>
      </c>
      <c r="AE17" s="120">
        <v>0</v>
      </c>
      <c r="AF17" s="121">
        <v>0</v>
      </c>
      <c r="AG17" s="30">
        <v>0</v>
      </c>
      <c r="AH17" s="5">
        <v>0</v>
      </c>
      <c r="AI17" s="212">
        <v>0</v>
      </c>
      <c r="AJ17" s="515"/>
      <c r="AK17" s="494"/>
      <c r="AL17" s="480"/>
      <c r="AM17" s="480"/>
      <c r="AN17" s="480"/>
      <c r="AO17" s="381"/>
      <c r="AP17" s="381"/>
      <c r="AQ17" s="381"/>
      <c r="AR17" s="381"/>
      <c r="AS17" s="449"/>
      <c r="AT17" s="478"/>
      <c r="AU17" s="381"/>
      <c r="AV17" s="381"/>
      <c r="AW17" s="381"/>
      <c r="AX17" s="446"/>
      <c r="AY17" s="367"/>
      <c r="AZ17" s="381"/>
      <c r="BA17" s="379"/>
      <c r="BB17" s="528"/>
      <c r="BC17" s="483"/>
      <c r="BD17" s="381"/>
      <c r="BE17" s="381"/>
      <c r="BF17" s="511"/>
      <c r="BG17" s="476"/>
      <c r="BH17" s="474"/>
      <c r="BI17" s="475"/>
      <c r="BJ17" s="521"/>
      <c r="BK17" s="508"/>
      <c r="BL17" s="394"/>
      <c r="BM17" s="394"/>
    </row>
    <row r="18" spans="1:65" ht="15.75" customHeight="1" x14ac:dyDescent="0.25">
      <c r="A18" s="485"/>
      <c r="B18" s="84" t="s">
        <v>45</v>
      </c>
      <c r="C18" s="6">
        <f t="shared" si="1"/>
        <v>0</v>
      </c>
      <c r="D18" s="12">
        <v>0</v>
      </c>
      <c r="E18" s="12">
        <v>0</v>
      </c>
      <c r="F18" s="38">
        <v>0</v>
      </c>
      <c r="G18" s="21">
        <v>0</v>
      </c>
      <c r="H18" s="18">
        <v>0</v>
      </c>
      <c r="I18" s="15">
        <v>0</v>
      </c>
      <c r="J18" s="19">
        <v>0</v>
      </c>
      <c r="K18" s="317">
        <f t="shared" si="2"/>
        <v>0</v>
      </c>
      <c r="L18" s="230">
        <f t="shared" si="3"/>
        <v>0</v>
      </c>
      <c r="M18" s="231">
        <f t="shared" si="4"/>
        <v>0</v>
      </c>
      <c r="N18" s="146">
        <v>0</v>
      </c>
      <c r="O18" s="5">
        <v>0</v>
      </c>
      <c r="P18" s="15">
        <v>0</v>
      </c>
      <c r="Q18" s="21">
        <v>0</v>
      </c>
      <c r="R18" s="21">
        <v>0</v>
      </c>
      <c r="S18" s="21">
        <v>0</v>
      </c>
      <c r="T18" s="102">
        <f t="shared" si="5"/>
        <v>0</v>
      </c>
      <c r="U18" s="440"/>
      <c r="V18" s="10">
        <f t="shared" si="0"/>
        <v>0</v>
      </c>
      <c r="W18" s="15">
        <v>0</v>
      </c>
      <c r="X18" s="17">
        <v>0</v>
      </c>
      <c r="Y18" s="443"/>
      <c r="Z18" s="443"/>
      <c r="AA18" s="443"/>
      <c r="AB18" s="21">
        <v>0</v>
      </c>
      <c r="AC18" s="9">
        <v>0</v>
      </c>
      <c r="AD18" s="115">
        <f t="shared" si="6"/>
        <v>25</v>
      </c>
      <c r="AE18" s="120">
        <f t="shared" si="7"/>
        <v>0</v>
      </c>
      <c r="AF18" s="121">
        <v>25</v>
      </c>
      <c r="AG18" s="30">
        <f t="shared" si="8"/>
        <v>0</v>
      </c>
      <c r="AH18" s="5">
        <v>0</v>
      </c>
      <c r="AI18" s="212"/>
      <c r="AJ18" s="515"/>
      <c r="AK18" s="494"/>
      <c r="AL18" s="480"/>
      <c r="AM18" s="480"/>
      <c r="AN18" s="480"/>
      <c r="AO18" s="381"/>
      <c r="AP18" s="381"/>
      <c r="AQ18" s="381"/>
      <c r="AR18" s="381"/>
      <c r="AS18" s="449"/>
      <c r="AT18" s="478"/>
      <c r="AU18" s="381"/>
      <c r="AV18" s="381"/>
      <c r="AW18" s="381"/>
      <c r="AX18" s="446"/>
      <c r="AY18" s="367"/>
      <c r="AZ18" s="381"/>
      <c r="BA18" s="379"/>
      <c r="BB18" s="528"/>
      <c r="BC18" s="483"/>
      <c r="BD18" s="381"/>
      <c r="BE18" s="381"/>
      <c r="BF18" s="511"/>
      <c r="BG18" s="476"/>
      <c r="BH18" s="474"/>
      <c r="BI18" s="475"/>
      <c r="BJ18" s="521"/>
      <c r="BK18" s="508"/>
      <c r="BL18" s="394"/>
      <c r="BM18" s="394"/>
    </row>
    <row r="19" spans="1:65" ht="15.75" customHeight="1" x14ac:dyDescent="0.25">
      <c r="A19" s="485"/>
      <c r="B19" s="84" t="s">
        <v>46</v>
      </c>
      <c r="C19" s="6">
        <f t="shared" si="1"/>
        <v>0</v>
      </c>
      <c r="D19" s="12">
        <v>0</v>
      </c>
      <c r="E19" s="12">
        <v>0</v>
      </c>
      <c r="F19" s="38">
        <v>0</v>
      </c>
      <c r="G19" s="21">
        <v>0</v>
      </c>
      <c r="H19" s="18">
        <v>0</v>
      </c>
      <c r="I19" s="15">
        <v>0</v>
      </c>
      <c r="J19" s="19">
        <v>0</v>
      </c>
      <c r="K19" s="317">
        <f t="shared" si="2"/>
        <v>0</v>
      </c>
      <c r="L19" s="230">
        <f t="shared" si="3"/>
        <v>0</v>
      </c>
      <c r="M19" s="231">
        <f t="shared" si="4"/>
        <v>0</v>
      </c>
      <c r="N19" s="146">
        <v>0</v>
      </c>
      <c r="O19" s="5">
        <v>0</v>
      </c>
      <c r="P19" s="15">
        <v>0</v>
      </c>
      <c r="Q19" s="21">
        <v>0</v>
      </c>
      <c r="R19" s="21">
        <v>0</v>
      </c>
      <c r="S19" s="21">
        <v>0</v>
      </c>
      <c r="T19" s="102">
        <f t="shared" si="5"/>
        <v>0</v>
      </c>
      <c r="U19" s="440"/>
      <c r="V19" s="10">
        <f t="shared" si="0"/>
        <v>0</v>
      </c>
      <c r="W19" s="15">
        <v>0</v>
      </c>
      <c r="X19" s="17">
        <v>0</v>
      </c>
      <c r="Y19" s="443"/>
      <c r="Z19" s="443"/>
      <c r="AA19" s="443"/>
      <c r="AB19" s="21">
        <v>0</v>
      </c>
      <c r="AC19" s="9">
        <v>0</v>
      </c>
      <c r="AD19" s="115">
        <f t="shared" si="6"/>
        <v>0</v>
      </c>
      <c r="AE19" s="120">
        <f t="shared" si="7"/>
        <v>0</v>
      </c>
      <c r="AF19" s="121">
        <v>0</v>
      </c>
      <c r="AG19" s="30">
        <f t="shared" si="8"/>
        <v>0</v>
      </c>
      <c r="AH19" s="5">
        <v>0</v>
      </c>
      <c r="AI19" s="212"/>
      <c r="AJ19" s="516"/>
      <c r="AK19" s="495"/>
      <c r="AL19" s="481"/>
      <c r="AM19" s="481"/>
      <c r="AN19" s="481"/>
      <c r="AO19" s="382"/>
      <c r="AP19" s="382"/>
      <c r="AQ19" s="382"/>
      <c r="AR19" s="382"/>
      <c r="AS19" s="450"/>
      <c r="AT19" s="478"/>
      <c r="AU19" s="382"/>
      <c r="AV19" s="382"/>
      <c r="AW19" s="382"/>
      <c r="AX19" s="447"/>
      <c r="AY19" s="368"/>
      <c r="AZ19" s="382"/>
      <c r="BA19" s="380"/>
      <c r="BB19" s="529"/>
      <c r="BC19" s="484"/>
      <c r="BD19" s="382"/>
      <c r="BE19" s="382"/>
      <c r="BF19" s="512"/>
      <c r="BG19" s="476"/>
      <c r="BH19" s="474"/>
      <c r="BI19" s="475"/>
      <c r="BJ19" s="522"/>
      <c r="BK19" s="509"/>
      <c r="BL19" s="394"/>
      <c r="BM19" s="395"/>
    </row>
    <row r="20" spans="1:65" ht="15.75" customHeight="1" x14ac:dyDescent="0.25">
      <c r="A20" s="485" t="s">
        <v>1</v>
      </c>
      <c r="B20" s="84" t="s">
        <v>11</v>
      </c>
      <c r="C20" s="6">
        <f t="shared" si="1"/>
        <v>0</v>
      </c>
      <c r="D20" s="12">
        <v>0</v>
      </c>
      <c r="E20" s="12">
        <v>0</v>
      </c>
      <c r="F20" s="38">
        <v>0</v>
      </c>
      <c r="G20" s="21">
        <v>250</v>
      </c>
      <c r="H20" s="18">
        <v>0</v>
      </c>
      <c r="I20" s="15">
        <v>0</v>
      </c>
      <c r="J20" s="19">
        <v>0</v>
      </c>
      <c r="K20" s="317">
        <f t="shared" si="2"/>
        <v>0</v>
      </c>
      <c r="L20" s="230">
        <f t="shared" si="3"/>
        <v>0</v>
      </c>
      <c r="M20" s="231">
        <f t="shared" si="4"/>
        <v>0</v>
      </c>
      <c r="N20" s="146">
        <v>0</v>
      </c>
      <c r="O20" s="5">
        <v>0</v>
      </c>
      <c r="P20" s="312">
        <v>14</v>
      </c>
      <c r="Q20" s="21">
        <v>0</v>
      </c>
      <c r="R20" s="21">
        <v>0</v>
      </c>
      <c r="S20" s="21">
        <v>0</v>
      </c>
      <c r="T20" s="102">
        <f t="shared" si="5"/>
        <v>246</v>
      </c>
      <c r="U20" s="440"/>
      <c r="V20" s="10">
        <f t="shared" si="0"/>
        <v>246</v>
      </c>
      <c r="W20" s="15">
        <v>246</v>
      </c>
      <c r="X20" s="17">
        <v>269</v>
      </c>
      <c r="Y20" s="443"/>
      <c r="Z20" s="443"/>
      <c r="AA20" s="443"/>
      <c r="AB20" s="21">
        <v>10</v>
      </c>
      <c r="AC20" s="9">
        <v>3</v>
      </c>
      <c r="AD20" s="115">
        <f t="shared" si="6"/>
        <v>0</v>
      </c>
      <c r="AE20" s="120">
        <f t="shared" si="7"/>
        <v>0</v>
      </c>
      <c r="AF20" s="121">
        <v>0</v>
      </c>
      <c r="AG20" s="30">
        <f t="shared" si="8"/>
        <v>0</v>
      </c>
      <c r="AH20" s="5">
        <v>0</v>
      </c>
      <c r="AI20" s="212"/>
      <c r="AJ20" s="496">
        <f>SUM(AM20,AO20,AQ20,AS20)</f>
        <v>13</v>
      </c>
      <c r="AK20" s="494">
        <f>SUM(AL20,AN20,AP20,AR20)</f>
        <v>5</v>
      </c>
      <c r="AL20" s="479">
        <v>5</v>
      </c>
      <c r="AM20" s="479">
        <v>13</v>
      </c>
      <c r="AN20" s="378">
        <v>0</v>
      </c>
      <c r="AO20" s="378">
        <v>0</v>
      </c>
      <c r="AP20" s="378">
        <v>0</v>
      </c>
      <c r="AQ20" s="378">
        <v>0</v>
      </c>
      <c r="AR20" s="378">
        <v>0</v>
      </c>
      <c r="AS20" s="448">
        <v>0</v>
      </c>
      <c r="AT20" s="478">
        <v>7</v>
      </c>
      <c r="AU20" s="506">
        <v>1</v>
      </c>
      <c r="AV20" s="378">
        <v>1</v>
      </c>
      <c r="AW20" s="378">
        <v>4</v>
      </c>
      <c r="AX20" s="445">
        <v>0</v>
      </c>
      <c r="AY20" s="476">
        <v>24</v>
      </c>
      <c r="AZ20" s="474">
        <v>10</v>
      </c>
      <c r="BA20" s="523">
        <v>112</v>
      </c>
      <c r="BB20" s="530">
        <v>0</v>
      </c>
      <c r="BC20" s="482">
        <v>4</v>
      </c>
      <c r="BD20" s="378">
        <v>4</v>
      </c>
      <c r="BE20" s="378">
        <v>7</v>
      </c>
      <c r="BF20" s="445">
        <v>1</v>
      </c>
      <c r="BG20" s="476">
        <v>155</v>
      </c>
      <c r="BH20" s="474">
        <v>430</v>
      </c>
      <c r="BI20" s="475">
        <v>44</v>
      </c>
      <c r="BJ20" s="520" t="s">
        <v>82</v>
      </c>
      <c r="BK20" s="507">
        <v>10</v>
      </c>
      <c r="BL20" s="393">
        <v>59</v>
      </c>
      <c r="BM20" s="393">
        <v>0</v>
      </c>
    </row>
    <row r="21" spans="1:65" ht="15.75" customHeight="1" x14ac:dyDescent="0.25">
      <c r="A21" s="485"/>
      <c r="B21" s="84" t="s">
        <v>12</v>
      </c>
      <c r="C21" s="6">
        <f t="shared" si="1"/>
        <v>0</v>
      </c>
      <c r="D21" s="12">
        <v>0</v>
      </c>
      <c r="E21" s="12">
        <v>0</v>
      </c>
      <c r="F21" s="38">
        <v>0</v>
      </c>
      <c r="G21" s="34">
        <v>246</v>
      </c>
      <c r="H21" s="18">
        <v>0</v>
      </c>
      <c r="I21" s="66">
        <v>0</v>
      </c>
      <c r="J21" s="31">
        <v>0</v>
      </c>
      <c r="K21" s="317">
        <f t="shared" si="2"/>
        <v>0</v>
      </c>
      <c r="L21" s="230">
        <f t="shared" si="3"/>
        <v>0</v>
      </c>
      <c r="M21" s="231">
        <f t="shared" si="4"/>
        <v>0</v>
      </c>
      <c r="N21" s="146">
        <v>0</v>
      </c>
      <c r="O21" s="5">
        <v>0</v>
      </c>
      <c r="P21" s="321">
        <v>11</v>
      </c>
      <c r="Q21" s="21">
        <v>0</v>
      </c>
      <c r="R21" s="21">
        <v>0</v>
      </c>
      <c r="S21" s="21">
        <v>0</v>
      </c>
      <c r="T21" s="102">
        <f t="shared" si="5"/>
        <v>62</v>
      </c>
      <c r="U21" s="440"/>
      <c r="V21" s="10">
        <f t="shared" si="0"/>
        <v>62</v>
      </c>
      <c r="W21" s="66">
        <v>62</v>
      </c>
      <c r="X21" s="17">
        <v>62</v>
      </c>
      <c r="Y21" s="443"/>
      <c r="Z21" s="443"/>
      <c r="AA21" s="443"/>
      <c r="AB21" s="34">
        <v>10</v>
      </c>
      <c r="AC21" s="303">
        <v>5</v>
      </c>
      <c r="AD21" s="115">
        <f t="shared" si="6"/>
        <v>0</v>
      </c>
      <c r="AE21" s="120">
        <f t="shared" si="7"/>
        <v>0</v>
      </c>
      <c r="AF21" s="122">
        <v>0</v>
      </c>
      <c r="AG21" s="30">
        <f t="shared" si="8"/>
        <v>0</v>
      </c>
      <c r="AH21" s="5">
        <v>0</v>
      </c>
      <c r="AI21" s="213"/>
      <c r="AJ21" s="497"/>
      <c r="AK21" s="494"/>
      <c r="AL21" s="480"/>
      <c r="AM21" s="480"/>
      <c r="AN21" s="381"/>
      <c r="AO21" s="381"/>
      <c r="AP21" s="381"/>
      <c r="AQ21" s="381"/>
      <c r="AR21" s="381"/>
      <c r="AS21" s="449"/>
      <c r="AT21" s="478"/>
      <c r="AU21" s="506"/>
      <c r="AV21" s="381"/>
      <c r="AW21" s="381"/>
      <c r="AX21" s="446"/>
      <c r="AY21" s="476"/>
      <c r="AZ21" s="474"/>
      <c r="BA21" s="524"/>
      <c r="BB21" s="530"/>
      <c r="BC21" s="483"/>
      <c r="BD21" s="381"/>
      <c r="BE21" s="381"/>
      <c r="BF21" s="446"/>
      <c r="BG21" s="476"/>
      <c r="BH21" s="474"/>
      <c r="BI21" s="475"/>
      <c r="BJ21" s="521"/>
      <c r="BK21" s="508"/>
      <c r="BL21" s="394"/>
      <c r="BM21" s="394"/>
    </row>
    <row r="22" spans="1:65" ht="15.75" customHeight="1" x14ac:dyDescent="0.25">
      <c r="A22" s="485"/>
      <c r="B22" s="84" t="s">
        <v>120</v>
      </c>
      <c r="C22" s="6">
        <f t="shared" si="1"/>
        <v>0</v>
      </c>
      <c r="D22" s="12">
        <v>0</v>
      </c>
      <c r="E22" s="12">
        <v>0</v>
      </c>
      <c r="F22" s="38">
        <v>0</v>
      </c>
      <c r="G22" s="21">
        <v>1304</v>
      </c>
      <c r="H22" s="18">
        <f>28+109</f>
        <v>137</v>
      </c>
      <c r="I22" s="12">
        <v>0</v>
      </c>
      <c r="J22" s="13">
        <v>2</v>
      </c>
      <c r="K22" s="317">
        <f t="shared" si="2"/>
        <v>0</v>
      </c>
      <c r="L22" s="230">
        <f t="shared" si="3"/>
        <v>0</v>
      </c>
      <c r="M22" s="231">
        <f t="shared" si="4"/>
        <v>2</v>
      </c>
      <c r="N22" s="146">
        <v>0</v>
      </c>
      <c r="O22" s="5">
        <v>0</v>
      </c>
      <c r="P22" s="312">
        <v>249</v>
      </c>
      <c r="Q22" s="21">
        <v>0</v>
      </c>
      <c r="R22" s="21">
        <v>0</v>
      </c>
      <c r="S22" s="21">
        <v>0</v>
      </c>
      <c r="T22" s="102">
        <f t="shared" si="5"/>
        <v>408</v>
      </c>
      <c r="U22" s="440"/>
      <c r="V22" s="10">
        <f t="shared" si="0"/>
        <v>408</v>
      </c>
      <c r="W22" s="47">
        <v>408</v>
      </c>
      <c r="X22" s="17">
        <v>412</v>
      </c>
      <c r="Y22" s="443"/>
      <c r="Z22" s="443"/>
      <c r="AA22" s="443"/>
      <c r="AB22" s="21">
        <v>0</v>
      </c>
      <c r="AC22" s="11">
        <v>3</v>
      </c>
      <c r="AD22" s="115">
        <f t="shared" si="6"/>
        <v>200</v>
      </c>
      <c r="AE22" s="120">
        <f t="shared" si="7"/>
        <v>0</v>
      </c>
      <c r="AF22" s="121">
        <v>200</v>
      </c>
      <c r="AG22" s="30">
        <f t="shared" si="8"/>
        <v>0</v>
      </c>
      <c r="AH22" s="5">
        <v>0</v>
      </c>
      <c r="AI22" s="214"/>
      <c r="AJ22" s="497"/>
      <c r="AK22" s="494"/>
      <c r="AL22" s="480"/>
      <c r="AM22" s="480"/>
      <c r="AN22" s="381"/>
      <c r="AO22" s="381"/>
      <c r="AP22" s="381"/>
      <c r="AQ22" s="381"/>
      <c r="AR22" s="381"/>
      <c r="AS22" s="449"/>
      <c r="AT22" s="478"/>
      <c r="AU22" s="506"/>
      <c r="AV22" s="381"/>
      <c r="AW22" s="381"/>
      <c r="AX22" s="446"/>
      <c r="AY22" s="476"/>
      <c r="AZ22" s="474"/>
      <c r="BA22" s="524"/>
      <c r="BB22" s="530"/>
      <c r="BC22" s="483"/>
      <c r="BD22" s="381"/>
      <c r="BE22" s="381"/>
      <c r="BF22" s="446"/>
      <c r="BG22" s="476"/>
      <c r="BH22" s="474"/>
      <c r="BI22" s="475"/>
      <c r="BJ22" s="521"/>
      <c r="BK22" s="508"/>
      <c r="BL22" s="394"/>
      <c r="BM22" s="394"/>
    </row>
    <row r="23" spans="1:65" ht="15.75" customHeight="1" x14ac:dyDescent="0.25">
      <c r="A23" s="485"/>
      <c r="B23" s="84" t="s">
        <v>13</v>
      </c>
      <c r="C23" s="6">
        <f t="shared" si="1"/>
        <v>0</v>
      </c>
      <c r="D23" s="12">
        <v>0</v>
      </c>
      <c r="E23" s="12">
        <v>0</v>
      </c>
      <c r="F23" s="38">
        <v>0</v>
      </c>
      <c r="G23" s="27">
        <v>0</v>
      </c>
      <c r="H23" s="319">
        <f>73+1834</f>
        <v>1907</v>
      </c>
      <c r="I23" s="320">
        <v>1</v>
      </c>
      <c r="J23" s="13">
        <v>1</v>
      </c>
      <c r="K23" s="317">
        <f t="shared" si="2"/>
        <v>0</v>
      </c>
      <c r="L23" s="230">
        <f t="shared" si="3"/>
        <v>1</v>
      </c>
      <c r="M23" s="231">
        <f t="shared" si="4"/>
        <v>1</v>
      </c>
      <c r="N23" s="146">
        <v>0</v>
      </c>
      <c r="O23" s="5">
        <v>74</v>
      </c>
      <c r="P23" s="322">
        <v>91</v>
      </c>
      <c r="Q23" s="21">
        <v>0</v>
      </c>
      <c r="R23" s="21">
        <v>5</v>
      </c>
      <c r="S23" s="21">
        <v>0</v>
      </c>
      <c r="T23" s="102">
        <f t="shared" si="5"/>
        <v>150</v>
      </c>
      <c r="U23" s="440"/>
      <c r="V23" s="10">
        <f t="shared" si="0"/>
        <v>150</v>
      </c>
      <c r="W23" s="12">
        <v>150</v>
      </c>
      <c r="X23" s="17">
        <v>300</v>
      </c>
      <c r="Y23" s="443"/>
      <c r="Z23" s="443"/>
      <c r="AA23" s="443"/>
      <c r="AB23" s="21">
        <v>0</v>
      </c>
      <c r="AC23" s="11">
        <v>3</v>
      </c>
      <c r="AD23" s="115">
        <f t="shared" si="6"/>
        <v>0</v>
      </c>
      <c r="AE23" s="120">
        <f t="shared" si="7"/>
        <v>0</v>
      </c>
      <c r="AF23" s="121">
        <v>0</v>
      </c>
      <c r="AG23" s="30">
        <f t="shared" si="8"/>
        <v>0</v>
      </c>
      <c r="AH23" s="5">
        <v>0</v>
      </c>
      <c r="AI23" s="214"/>
      <c r="AJ23" s="497"/>
      <c r="AK23" s="494"/>
      <c r="AL23" s="480"/>
      <c r="AM23" s="480"/>
      <c r="AN23" s="381"/>
      <c r="AO23" s="381"/>
      <c r="AP23" s="381"/>
      <c r="AQ23" s="381"/>
      <c r="AR23" s="381"/>
      <c r="AS23" s="449"/>
      <c r="AT23" s="478"/>
      <c r="AU23" s="506"/>
      <c r="AV23" s="381"/>
      <c r="AW23" s="381"/>
      <c r="AX23" s="446"/>
      <c r="AY23" s="476"/>
      <c r="AZ23" s="474"/>
      <c r="BA23" s="524"/>
      <c r="BB23" s="530"/>
      <c r="BC23" s="483"/>
      <c r="BD23" s="381"/>
      <c r="BE23" s="381"/>
      <c r="BF23" s="446"/>
      <c r="BG23" s="476"/>
      <c r="BH23" s="474"/>
      <c r="BI23" s="475"/>
      <c r="BJ23" s="521"/>
      <c r="BK23" s="508"/>
      <c r="BL23" s="394"/>
      <c r="BM23" s="394"/>
    </row>
    <row r="24" spans="1:65" ht="15.75" customHeight="1" x14ac:dyDescent="0.25">
      <c r="A24" s="485"/>
      <c r="B24" s="84" t="s">
        <v>27</v>
      </c>
      <c r="C24" s="6">
        <f t="shared" si="1"/>
        <v>0</v>
      </c>
      <c r="D24" s="12">
        <v>0</v>
      </c>
      <c r="E24" s="12">
        <v>0</v>
      </c>
      <c r="F24" s="38">
        <v>0</v>
      </c>
      <c r="G24" s="21">
        <v>492</v>
      </c>
      <c r="H24" s="18">
        <v>0</v>
      </c>
      <c r="I24" s="12">
        <v>0</v>
      </c>
      <c r="J24" s="13">
        <v>0</v>
      </c>
      <c r="K24" s="317">
        <f t="shared" si="2"/>
        <v>0</v>
      </c>
      <c r="L24" s="230">
        <f t="shared" si="3"/>
        <v>0</v>
      </c>
      <c r="M24" s="231">
        <f t="shared" si="4"/>
        <v>0</v>
      </c>
      <c r="N24" s="146">
        <v>0</v>
      </c>
      <c r="O24" s="5">
        <v>0</v>
      </c>
      <c r="P24" s="143">
        <v>0</v>
      </c>
      <c r="Q24" s="21">
        <v>0</v>
      </c>
      <c r="R24" s="21">
        <v>0</v>
      </c>
      <c r="S24" s="21">
        <v>0</v>
      </c>
      <c r="T24" s="102">
        <f t="shared" si="5"/>
        <v>0</v>
      </c>
      <c r="U24" s="440"/>
      <c r="V24" s="10">
        <f t="shared" si="0"/>
        <v>0</v>
      </c>
      <c r="W24" s="12">
        <v>0</v>
      </c>
      <c r="X24" s="17">
        <v>0</v>
      </c>
      <c r="Y24" s="443"/>
      <c r="Z24" s="443"/>
      <c r="AA24" s="443"/>
      <c r="AB24" s="21">
        <v>0</v>
      </c>
      <c r="AC24" s="11">
        <v>1</v>
      </c>
      <c r="AD24" s="115">
        <f t="shared" si="6"/>
        <v>200</v>
      </c>
      <c r="AE24" s="120">
        <f t="shared" si="7"/>
        <v>0</v>
      </c>
      <c r="AF24" s="121">
        <v>200</v>
      </c>
      <c r="AG24" s="30">
        <f t="shared" si="8"/>
        <v>0</v>
      </c>
      <c r="AH24" s="5">
        <v>0</v>
      </c>
      <c r="AI24" s="214"/>
      <c r="AJ24" s="497"/>
      <c r="AK24" s="494"/>
      <c r="AL24" s="480"/>
      <c r="AM24" s="480"/>
      <c r="AN24" s="381"/>
      <c r="AO24" s="381"/>
      <c r="AP24" s="381"/>
      <c r="AQ24" s="381"/>
      <c r="AR24" s="381"/>
      <c r="AS24" s="449"/>
      <c r="AT24" s="478"/>
      <c r="AU24" s="506"/>
      <c r="AV24" s="381"/>
      <c r="AW24" s="381"/>
      <c r="AX24" s="446"/>
      <c r="AY24" s="476"/>
      <c r="AZ24" s="474"/>
      <c r="BA24" s="524"/>
      <c r="BB24" s="530"/>
      <c r="BC24" s="483"/>
      <c r="BD24" s="381"/>
      <c r="BE24" s="381"/>
      <c r="BF24" s="446"/>
      <c r="BG24" s="476"/>
      <c r="BH24" s="474"/>
      <c r="BI24" s="475"/>
      <c r="BJ24" s="521"/>
      <c r="BK24" s="508"/>
      <c r="BL24" s="394"/>
      <c r="BM24" s="394"/>
    </row>
    <row r="25" spans="1:65" ht="15.75" customHeight="1" x14ac:dyDescent="0.25">
      <c r="A25" s="485"/>
      <c r="B25" s="84" t="s">
        <v>34</v>
      </c>
      <c r="C25" s="6">
        <f t="shared" si="1"/>
        <v>0</v>
      </c>
      <c r="D25" s="12">
        <v>0</v>
      </c>
      <c r="E25" s="12">
        <v>0</v>
      </c>
      <c r="F25" s="38">
        <v>0</v>
      </c>
      <c r="G25" s="21">
        <v>124</v>
      </c>
      <c r="H25" s="18">
        <v>0</v>
      </c>
      <c r="I25" s="12">
        <v>0</v>
      </c>
      <c r="J25" s="13">
        <v>0</v>
      </c>
      <c r="K25" s="317">
        <f t="shared" si="2"/>
        <v>0</v>
      </c>
      <c r="L25" s="230">
        <f t="shared" si="3"/>
        <v>0</v>
      </c>
      <c r="M25" s="231">
        <f t="shared" si="4"/>
        <v>0</v>
      </c>
      <c r="N25" s="146">
        <v>0</v>
      </c>
      <c r="O25" s="5">
        <v>0</v>
      </c>
      <c r="P25" s="143">
        <v>0</v>
      </c>
      <c r="Q25" s="21">
        <v>0</v>
      </c>
      <c r="R25" s="21">
        <v>6</v>
      </c>
      <c r="S25" s="21">
        <v>0</v>
      </c>
      <c r="T25" s="102">
        <f t="shared" si="5"/>
        <v>0</v>
      </c>
      <c r="U25" s="440"/>
      <c r="V25" s="10">
        <f t="shared" si="0"/>
        <v>0</v>
      </c>
      <c r="W25" s="12">
        <v>0</v>
      </c>
      <c r="X25" s="17">
        <v>0</v>
      </c>
      <c r="Y25" s="443"/>
      <c r="Z25" s="443"/>
      <c r="AA25" s="443"/>
      <c r="AB25" s="21">
        <v>0</v>
      </c>
      <c r="AC25" s="11">
        <v>3</v>
      </c>
      <c r="AD25" s="115">
        <f t="shared" si="6"/>
        <v>145</v>
      </c>
      <c r="AE25" s="120">
        <f t="shared" si="7"/>
        <v>0</v>
      </c>
      <c r="AF25" s="121">
        <v>145</v>
      </c>
      <c r="AG25" s="30">
        <f t="shared" si="8"/>
        <v>0</v>
      </c>
      <c r="AH25" s="5">
        <v>0</v>
      </c>
      <c r="AI25" s="214"/>
      <c r="AJ25" s="497"/>
      <c r="AK25" s="494"/>
      <c r="AL25" s="480"/>
      <c r="AM25" s="480"/>
      <c r="AN25" s="381"/>
      <c r="AO25" s="381"/>
      <c r="AP25" s="381"/>
      <c r="AQ25" s="381"/>
      <c r="AR25" s="381"/>
      <c r="AS25" s="449"/>
      <c r="AT25" s="478"/>
      <c r="AU25" s="506"/>
      <c r="AV25" s="381"/>
      <c r="AW25" s="381"/>
      <c r="AX25" s="446"/>
      <c r="AY25" s="476"/>
      <c r="AZ25" s="474"/>
      <c r="BA25" s="524"/>
      <c r="BB25" s="530"/>
      <c r="BC25" s="483"/>
      <c r="BD25" s="381"/>
      <c r="BE25" s="381"/>
      <c r="BF25" s="446"/>
      <c r="BG25" s="476"/>
      <c r="BH25" s="474"/>
      <c r="BI25" s="475"/>
      <c r="BJ25" s="521"/>
      <c r="BK25" s="508"/>
      <c r="BL25" s="394"/>
      <c r="BM25" s="394"/>
    </row>
    <row r="26" spans="1:65" ht="15.75" customHeight="1" x14ac:dyDescent="0.25">
      <c r="A26" s="485"/>
      <c r="B26" s="84" t="s">
        <v>28</v>
      </c>
      <c r="C26" s="6">
        <f t="shared" si="1"/>
        <v>0</v>
      </c>
      <c r="D26" s="12">
        <v>0</v>
      </c>
      <c r="E26" s="12">
        <v>0</v>
      </c>
      <c r="F26" s="38">
        <v>0</v>
      </c>
      <c r="G26" s="21">
        <v>0</v>
      </c>
      <c r="H26" s="18">
        <v>0</v>
      </c>
      <c r="I26" s="12">
        <v>0</v>
      </c>
      <c r="J26" s="13">
        <v>0</v>
      </c>
      <c r="K26" s="317">
        <f t="shared" si="2"/>
        <v>0</v>
      </c>
      <c r="L26" s="230">
        <f t="shared" si="3"/>
        <v>0</v>
      </c>
      <c r="M26" s="231">
        <f t="shared" si="4"/>
        <v>0</v>
      </c>
      <c r="N26" s="146">
        <v>0</v>
      </c>
      <c r="O26" s="5">
        <v>0</v>
      </c>
      <c r="P26" s="143">
        <v>0</v>
      </c>
      <c r="Q26" s="21">
        <v>0</v>
      </c>
      <c r="R26" s="21">
        <v>0</v>
      </c>
      <c r="S26" s="21">
        <v>0</v>
      </c>
      <c r="T26" s="102">
        <f t="shared" si="5"/>
        <v>0</v>
      </c>
      <c r="U26" s="440"/>
      <c r="V26" s="10">
        <f t="shared" si="0"/>
        <v>0</v>
      </c>
      <c r="W26" s="12">
        <v>0</v>
      </c>
      <c r="X26" s="17">
        <v>0</v>
      </c>
      <c r="Y26" s="443"/>
      <c r="Z26" s="443"/>
      <c r="AA26" s="443"/>
      <c r="AB26" s="21">
        <v>0</v>
      </c>
      <c r="AC26" s="11">
        <v>0</v>
      </c>
      <c r="AD26" s="115">
        <f t="shared" si="6"/>
        <v>200</v>
      </c>
      <c r="AE26" s="120">
        <f t="shared" si="7"/>
        <v>0</v>
      </c>
      <c r="AF26" s="121">
        <v>200</v>
      </c>
      <c r="AG26" s="30">
        <f t="shared" si="8"/>
        <v>0</v>
      </c>
      <c r="AH26" s="5">
        <v>0</v>
      </c>
      <c r="AI26" s="214"/>
      <c r="AJ26" s="497"/>
      <c r="AK26" s="494"/>
      <c r="AL26" s="480"/>
      <c r="AM26" s="480"/>
      <c r="AN26" s="381"/>
      <c r="AO26" s="381"/>
      <c r="AP26" s="381"/>
      <c r="AQ26" s="381"/>
      <c r="AR26" s="381"/>
      <c r="AS26" s="449"/>
      <c r="AT26" s="478"/>
      <c r="AU26" s="506"/>
      <c r="AV26" s="381"/>
      <c r="AW26" s="381"/>
      <c r="AX26" s="446"/>
      <c r="AY26" s="476"/>
      <c r="AZ26" s="474"/>
      <c r="BA26" s="524"/>
      <c r="BB26" s="530"/>
      <c r="BC26" s="483"/>
      <c r="BD26" s="381"/>
      <c r="BE26" s="381"/>
      <c r="BF26" s="446"/>
      <c r="BG26" s="476"/>
      <c r="BH26" s="474"/>
      <c r="BI26" s="475"/>
      <c r="BJ26" s="521"/>
      <c r="BK26" s="508"/>
      <c r="BL26" s="394"/>
      <c r="BM26" s="394"/>
    </row>
    <row r="27" spans="1:65" ht="15.75" customHeight="1" x14ac:dyDescent="0.25">
      <c r="A27" s="485"/>
      <c r="B27" s="84" t="s">
        <v>29</v>
      </c>
      <c r="C27" s="6">
        <f t="shared" si="1"/>
        <v>0</v>
      </c>
      <c r="D27" s="12">
        <v>0</v>
      </c>
      <c r="E27" s="12">
        <v>0</v>
      </c>
      <c r="F27" s="38">
        <v>0</v>
      </c>
      <c r="G27" s="21">
        <v>0</v>
      </c>
      <c r="H27" s="18">
        <v>0</v>
      </c>
      <c r="I27" s="12">
        <v>0</v>
      </c>
      <c r="J27" s="13">
        <v>0</v>
      </c>
      <c r="K27" s="317">
        <f t="shared" si="2"/>
        <v>0</v>
      </c>
      <c r="L27" s="230">
        <f t="shared" si="3"/>
        <v>0</v>
      </c>
      <c r="M27" s="231">
        <f t="shared" si="4"/>
        <v>0</v>
      </c>
      <c r="N27" s="146">
        <v>0</v>
      </c>
      <c r="O27" s="5">
        <v>0</v>
      </c>
      <c r="P27" s="143">
        <v>0</v>
      </c>
      <c r="Q27" s="21">
        <v>0</v>
      </c>
      <c r="R27" s="21">
        <v>0</v>
      </c>
      <c r="S27" s="21">
        <v>0</v>
      </c>
      <c r="T27" s="102">
        <f t="shared" si="5"/>
        <v>0</v>
      </c>
      <c r="U27" s="440"/>
      <c r="V27" s="10">
        <f t="shared" si="0"/>
        <v>0</v>
      </c>
      <c r="W27" s="12">
        <v>0</v>
      </c>
      <c r="X27" s="17">
        <v>0</v>
      </c>
      <c r="Y27" s="443"/>
      <c r="Z27" s="443"/>
      <c r="AA27" s="443"/>
      <c r="AB27" s="21">
        <v>0</v>
      </c>
      <c r="AC27" s="11">
        <v>0</v>
      </c>
      <c r="AD27" s="115">
        <f t="shared" si="6"/>
        <v>200</v>
      </c>
      <c r="AE27" s="120">
        <f t="shared" si="7"/>
        <v>0</v>
      </c>
      <c r="AF27" s="121">
        <v>200</v>
      </c>
      <c r="AG27" s="30">
        <f t="shared" si="8"/>
        <v>0</v>
      </c>
      <c r="AH27" s="5">
        <v>0</v>
      </c>
      <c r="AI27" s="214"/>
      <c r="AJ27" s="497"/>
      <c r="AK27" s="494"/>
      <c r="AL27" s="480"/>
      <c r="AM27" s="480"/>
      <c r="AN27" s="381"/>
      <c r="AO27" s="381"/>
      <c r="AP27" s="381"/>
      <c r="AQ27" s="381"/>
      <c r="AR27" s="381"/>
      <c r="AS27" s="449"/>
      <c r="AT27" s="478"/>
      <c r="AU27" s="506"/>
      <c r="AV27" s="381"/>
      <c r="AW27" s="381"/>
      <c r="AX27" s="446"/>
      <c r="AY27" s="476"/>
      <c r="AZ27" s="474"/>
      <c r="BA27" s="524"/>
      <c r="BB27" s="530"/>
      <c r="BC27" s="483"/>
      <c r="BD27" s="381"/>
      <c r="BE27" s="381"/>
      <c r="BF27" s="446"/>
      <c r="BG27" s="476"/>
      <c r="BH27" s="474"/>
      <c r="BI27" s="475"/>
      <c r="BJ27" s="521"/>
      <c r="BK27" s="508"/>
      <c r="BL27" s="394"/>
      <c r="BM27" s="394"/>
    </row>
    <row r="28" spans="1:65" ht="15.75" customHeight="1" x14ac:dyDescent="0.25">
      <c r="A28" s="485"/>
      <c r="B28" s="84" t="s">
        <v>30</v>
      </c>
      <c r="C28" s="6">
        <f t="shared" si="1"/>
        <v>0</v>
      </c>
      <c r="D28" s="12">
        <v>0</v>
      </c>
      <c r="E28" s="12">
        <v>0</v>
      </c>
      <c r="F28" s="38">
        <v>0</v>
      </c>
      <c r="G28" s="21">
        <v>0</v>
      </c>
      <c r="H28" s="18">
        <v>0</v>
      </c>
      <c r="I28" s="12">
        <v>0</v>
      </c>
      <c r="J28" s="13">
        <v>0</v>
      </c>
      <c r="K28" s="317">
        <f t="shared" si="2"/>
        <v>0</v>
      </c>
      <c r="L28" s="230">
        <f t="shared" si="3"/>
        <v>0</v>
      </c>
      <c r="M28" s="231">
        <f t="shared" si="4"/>
        <v>0</v>
      </c>
      <c r="N28" s="146">
        <v>0</v>
      </c>
      <c r="O28" s="5">
        <v>0</v>
      </c>
      <c r="P28" s="143">
        <v>0</v>
      </c>
      <c r="Q28" s="21">
        <v>0</v>
      </c>
      <c r="R28" s="21">
        <v>0</v>
      </c>
      <c r="S28" s="21">
        <v>0</v>
      </c>
      <c r="T28" s="102">
        <f t="shared" si="5"/>
        <v>0</v>
      </c>
      <c r="U28" s="440"/>
      <c r="V28" s="10">
        <f t="shared" si="0"/>
        <v>0</v>
      </c>
      <c r="W28" s="12">
        <v>0</v>
      </c>
      <c r="X28" s="17">
        <v>0</v>
      </c>
      <c r="Y28" s="443"/>
      <c r="Z28" s="443"/>
      <c r="AA28" s="443"/>
      <c r="AB28" s="21">
        <v>0</v>
      </c>
      <c r="AC28" s="11">
        <v>0</v>
      </c>
      <c r="AD28" s="115">
        <f t="shared" si="6"/>
        <v>200</v>
      </c>
      <c r="AE28" s="120">
        <f t="shared" si="7"/>
        <v>0</v>
      </c>
      <c r="AF28" s="121">
        <v>200</v>
      </c>
      <c r="AG28" s="30">
        <f t="shared" si="8"/>
        <v>0</v>
      </c>
      <c r="AH28" s="5">
        <v>0</v>
      </c>
      <c r="AI28" s="214"/>
      <c r="AJ28" s="497"/>
      <c r="AK28" s="494"/>
      <c r="AL28" s="480"/>
      <c r="AM28" s="480"/>
      <c r="AN28" s="381"/>
      <c r="AO28" s="381"/>
      <c r="AP28" s="381"/>
      <c r="AQ28" s="381"/>
      <c r="AR28" s="381"/>
      <c r="AS28" s="449"/>
      <c r="AT28" s="478"/>
      <c r="AU28" s="506"/>
      <c r="AV28" s="381"/>
      <c r="AW28" s="381"/>
      <c r="AX28" s="446"/>
      <c r="AY28" s="476"/>
      <c r="AZ28" s="474"/>
      <c r="BA28" s="524"/>
      <c r="BB28" s="530"/>
      <c r="BC28" s="483"/>
      <c r="BD28" s="381"/>
      <c r="BE28" s="381"/>
      <c r="BF28" s="446"/>
      <c r="BG28" s="476"/>
      <c r="BH28" s="474"/>
      <c r="BI28" s="475"/>
      <c r="BJ28" s="521"/>
      <c r="BK28" s="508"/>
      <c r="BL28" s="394"/>
      <c r="BM28" s="394"/>
    </row>
    <row r="29" spans="1:65" ht="15.75" customHeight="1" x14ac:dyDescent="0.25">
      <c r="A29" s="485"/>
      <c r="B29" s="84" t="s">
        <v>31</v>
      </c>
      <c r="C29" s="6">
        <f t="shared" si="1"/>
        <v>0</v>
      </c>
      <c r="D29" s="12">
        <v>0</v>
      </c>
      <c r="E29" s="12">
        <v>0</v>
      </c>
      <c r="F29" s="38">
        <v>0</v>
      </c>
      <c r="G29" s="21">
        <v>0</v>
      </c>
      <c r="H29" s="18">
        <v>0</v>
      </c>
      <c r="I29" s="12">
        <v>0</v>
      </c>
      <c r="J29" s="13">
        <v>0</v>
      </c>
      <c r="K29" s="317">
        <f t="shared" si="2"/>
        <v>0</v>
      </c>
      <c r="L29" s="230">
        <f t="shared" si="3"/>
        <v>0</v>
      </c>
      <c r="M29" s="231">
        <f t="shared" si="4"/>
        <v>0</v>
      </c>
      <c r="N29" s="146">
        <v>0</v>
      </c>
      <c r="O29" s="5">
        <v>0</v>
      </c>
      <c r="P29" s="143">
        <v>0</v>
      </c>
      <c r="Q29" s="21">
        <v>0</v>
      </c>
      <c r="R29" s="21">
        <v>0</v>
      </c>
      <c r="S29" s="21">
        <v>0</v>
      </c>
      <c r="T29" s="102">
        <f t="shared" si="5"/>
        <v>0</v>
      </c>
      <c r="U29" s="440"/>
      <c r="V29" s="10">
        <f t="shared" si="0"/>
        <v>0</v>
      </c>
      <c r="W29" s="12">
        <v>0</v>
      </c>
      <c r="X29" s="17">
        <v>0</v>
      </c>
      <c r="Y29" s="443"/>
      <c r="Z29" s="443"/>
      <c r="AA29" s="443"/>
      <c r="AB29" s="21">
        <v>0</v>
      </c>
      <c r="AC29" s="11">
        <v>0</v>
      </c>
      <c r="AD29" s="115">
        <f t="shared" si="6"/>
        <v>200</v>
      </c>
      <c r="AE29" s="120">
        <f t="shared" si="7"/>
        <v>0</v>
      </c>
      <c r="AF29" s="121">
        <v>200</v>
      </c>
      <c r="AG29" s="30">
        <f t="shared" si="8"/>
        <v>0</v>
      </c>
      <c r="AH29" s="5">
        <v>0</v>
      </c>
      <c r="AI29" s="214"/>
      <c r="AJ29" s="497"/>
      <c r="AK29" s="494"/>
      <c r="AL29" s="480"/>
      <c r="AM29" s="480"/>
      <c r="AN29" s="381"/>
      <c r="AO29" s="381"/>
      <c r="AP29" s="381"/>
      <c r="AQ29" s="381"/>
      <c r="AR29" s="381"/>
      <c r="AS29" s="449"/>
      <c r="AT29" s="478"/>
      <c r="AU29" s="506"/>
      <c r="AV29" s="381"/>
      <c r="AW29" s="381"/>
      <c r="AX29" s="446"/>
      <c r="AY29" s="476"/>
      <c r="AZ29" s="474"/>
      <c r="BA29" s="524"/>
      <c r="BB29" s="530"/>
      <c r="BC29" s="483"/>
      <c r="BD29" s="381"/>
      <c r="BE29" s="381"/>
      <c r="BF29" s="446"/>
      <c r="BG29" s="476"/>
      <c r="BH29" s="474"/>
      <c r="BI29" s="475"/>
      <c r="BJ29" s="521"/>
      <c r="BK29" s="508"/>
      <c r="BL29" s="394"/>
      <c r="BM29" s="394"/>
    </row>
    <row r="30" spans="1:65" ht="15.75" customHeight="1" x14ac:dyDescent="0.25">
      <c r="A30" s="485"/>
      <c r="B30" s="84" t="s">
        <v>32</v>
      </c>
      <c r="C30" s="6">
        <f t="shared" si="1"/>
        <v>0</v>
      </c>
      <c r="D30" s="12">
        <v>0</v>
      </c>
      <c r="E30" s="12">
        <v>0</v>
      </c>
      <c r="F30" s="38">
        <v>0</v>
      </c>
      <c r="G30" s="21">
        <v>0</v>
      </c>
      <c r="H30" s="18">
        <v>0</v>
      </c>
      <c r="I30" s="12">
        <v>0</v>
      </c>
      <c r="J30" s="13">
        <v>0</v>
      </c>
      <c r="K30" s="317">
        <f t="shared" si="2"/>
        <v>0</v>
      </c>
      <c r="L30" s="230">
        <f t="shared" si="3"/>
        <v>0</v>
      </c>
      <c r="M30" s="231">
        <f t="shared" si="4"/>
        <v>0</v>
      </c>
      <c r="N30" s="146">
        <v>0</v>
      </c>
      <c r="O30" s="5">
        <v>0</v>
      </c>
      <c r="P30" s="143">
        <v>0</v>
      </c>
      <c r="Q30" s="21">
        <v>0</v>
      </c>
      <c r="R30" s="21">
        <v>0</v>
      </c>
      <c r="S30" s="21">
        <v>0</v>
      </c>
      <c r="T30" s="102">
        <f t="shared" si="5"/>
        <v>0</v>
      </c>
      <c r="U30" s="440"/>
      <c r="V30" s="10">
        <f t="shared" si="0"/>
        <v>0</v>
      </c>
      <c r="W30" s="12">
        <v>0</v>
      </c>
      <c r="X30" s="17">
        <v>0</v>
      </c>
      <c r="Y30" s="443"/>
      <c r="Z30" s="443"/>
      <c r="AA30" s="443"/>
      <c r="AB30" s="21">
        <v>0</v>
      </c>
      <c r="AC30" s="11">
        <v>0</v>
      </c>
      <c r="AD30" s="115">
        <f t="shared" si="6"/>
        <v>200</v>
      </c>
      <c r="AE30" s="120">
        <f t="shared" si="7"/>
        <v>0</v>
      </c>
      <c r="AF30" s="121">
        <v>200</v>
      </c>
      <c r="AG30" s="30">
        <f t="shared" si="8"/>
        <v>0</v>
      </c>
      <c r="AH30" s="5">
        <v>0</v>
      </c>
      <c r="AI30" s="214"/>
      <c r="AJ30" s="497"/>
      <c r="AK30" s="494"/>
      <c r="AL30" s="480"/>
      <c r="AM30" s="480"/>
      <c r="AN30" s="381"/>
      <c r="AO30" s="381"/>
      <c r="AP30" s="381"/>
      <c r="AQ30" s="381"/>
      <c r="AR30" s="381"/>
      <c r="AS30" s="449"/>
      <c r="AT30" s="478"/>
      <c r="AU30" s="506"/>
      <c r="AV30" s="381"/>
      <c r="AW30" s="381"/>
      <c r="AX30" s="446"/>
      <c r="AY30" s="476"/>
      <c r="AZ30" s="474"/>
      <c r="BA30" s="524"/>
      <c r="BB30" s="530"/>
      <c r="BC30" s="483"/>
      <c r="BD30" s="381"/>
      <c r="BE30" s="381"/>
      <c r="BF30" s="446"/>
      <c r="BG30" s="476"/>
      <c r="BH30" s="474"/>
      <c r="BI30" s="475"/>
      <c r="BJ30" s="521"/>
      <c r="BK30" s="508"/>
      <c r="BL30" s="394"/>
      <c r="BM30" s="394"/>
    </row>
    <row r="31" spans="1:65" ht="15.75" customHeight="1" x14ac:dyDescent="0.25">
      <c r="A31" s="485"/>
      <c r="B31" s="84" t="s">
        <v>80</v>
      </c>
      <c r="C31" s="6">
        <v>0</v>
      </c>
      <c r="D31" s="12">
        <v>0</v>
      </c>
      <c r="E31" s="12">
        <v>0</v>
      </c>
      <c r="F31" s="38">
        <v>0</v>
      </c>
      <c r="G31" s="21"/>
      <c r="H31" s="18">
        <v>0</v>
      </c>
      <c r="I31" s="12">
        <v>0</v>
      </c>
      <c r="J31" s="13">
        <v>0</v>
      </c>
      <c r="K31" s="317">
        <f t="shared" si="2"/>
        <v>0</v>
      </c>
      <c r="L31" s="230">
        <f t="shared" si="3"/>
        <v>0</v>
      </c>
      <c r="M31" s="231">
        <f t="shared" si="4"/>
        <v>0</v>
      </c>
      <c r="N31" s="146">
        <v>0</v>
      </c>
      <c r="O31" s="5">
        <v>0</v>
      </c>
      <c r="P31" s="143">
        <v>0</v>
      </c>
      <c r="Q31" s="21">
        <v>0</v>
      </c>
      <c r="R31" s="21">
        <v>0</v>
      </c>
      <c r="S31" s="21">
        <v>0</v>
      </c>
      <c r="T31" s="102">
        <f t="shared" si="5"/>
        <v>0</v>
      </c>
      <c r="U31" s="440"/>
      <c r="V31" s="10">
        <f t="shared" si="0"/>
        <v>0</v>
      </c>
      <c r="W31" s="12"/>
      <c r="X31" s="17">
        <v>0</v>
      </c>
      <c r="Y31" s="443"/>
      <c r="Z31" s="443"/>
      <c r="AA31" s="443"/>
      <c r="AB31" s="21">
        <v>0</v>
      </c>
      <c r="AC31" s="11">
        <v>0</v>
      </c>
      <c r="AD31" s="115">
        <f t="shared" si="6"/>
        <v>0</v>
      </c>
      <c r="AE31" s="120">
        <f t="shared" si="7"/>
        <v>0</v>
      </c>
      <c r="AF31" s="121">
        <v>0</v>
      </c>
      <c r="AG31" s="30">
        <f t="shared" si="8"/>
        <v>0</v>
      </c>
      <c r="AH31" s="5">
        <v>0</v>
      </c>
      <c r="AI31" s="214"/>
      <c r="AJ31" s="497"/>
      <c r="AK31" s="494"/>
      <c r="AL31" s="480"/>
      <c r="AM31" s="480"/>
      <c r="AN31" s="381"/>
      <c r="AO31" s="381"/>
      <c r="AP31" s="381"/>
      <c r="AQ31" s="381"/>
      <c r="AR31" s="381"/>
      <c r="AS31" s="449"/>
      <c r="AT31" s="478"/>
      <c r="AU31" s="506"/>
      <c r="AV31" s="381"/>
      <c r="AW31" s="381"/>
      <c r="AX31" s="446"/>
      <c r="AY31" s="476"/>
      <c r="AZ31" s="474"/>
      <c r="BA31" s="524"/>
      <c r="BB31" s="530"/>
      <c r="BC31" s="483"/>
      <c r="BD31" s="381"/>
      <c r="BE31" s="381"/>
      <c r="BF31" s="446"/>
      <c r="BG31" s="476"/>
      <c r="BH31" s="474"/>
      <c r="BI31" s="475"/>
      <c r="BJ31" s="521"/>
      <c r="BK31" s="508"/>
      <c r="BL31" s="394"/>
      <c r="BM31" s="394"/>
    </row>
    <row r="32" spans="1:65" ht="15.75" customHeight="1" x14ac:dyDescent="0.25">
      <c r="A32" s="485"/>
      <c r="B32" s="84" t="s">
        <v>33</v>
      </c>
      <c r="C32" s="6">
        <f t="shared" si="1"/>
        <v>0</v>
      </c>
      <c r="D32" s="12">
        <v>0</v>
      </c>
      <c r="E32" s="12">
        <v>0</v>
      </c>
      <c r="F32" s="38">
        <v>0</v>
      </c>
      <c r="G32" s="21">
        <v>0</v>
      </c>
      <c r="H32" s="18">
        <v>0</v>
      </c>
      <c r="I32" s="12">
        <v>0</v>
      </c>
      <c r="J32" s="13">
        <v>0</v>
      </c>
      <c r="K32" s="317">
        <f t="shared" si="2"/>
        <v>0</v>
      </c>
      <c r="L32" s="230">
        <f t="shared" si="3"/>
        <v>0</v>
      </c>
      <c r="M32" s="231">
        <f t="shared" si="4"/>
        <v>0</v>
      </c>
      <c r="N32" s="146">
        <v>0</v>
      </c>
      <c r="O32" s="5">
        <v>0</v>
      </c>
      <c r="P32" s="143">
        <v>0</v>
      </c>
      <c r="Q32" s="21">
        <v>0</v>
      </c>
      <c r="R32" s="21">
        <v>0</v>
      </c>
      <c r="S32" s="21">
        <v>0</v>
      </c>
      <c r="T32" s="102">
        <f t="shared" si="5"/>
        <v>0</v>
      </c>
      <c r="U32" s="440"/>
      <c r="V32" s="10">
        <f t="shared" si="0"/>
        <v>0</v>
      </c>
      <c r="W32" s="12">
        <v>0</v>
      </c>
      <c r="X32" s="17">
        <v>0</v>
      </c>
      <c r="Y32" s="443"/>
      <c r="Z32" s="443"/>
      <c r="AA32" s="443"/>
      <c r="AB32" s="21">
        <v>0</v>
      </c>
      <c r="AC32" s="11">
        <v>0</v>
      </c>
      <c r="AD32" s="115">
        <f t="shared" si="6"/>
        <v>0</v>
      </c>
      <c r="AE32" s="120">
        <f t="shared" si="7"/>
        <v>0</v>
      </c>
      <c r="AF32" s="121">
        <v>0</v>
      </c>
      <c r="AG32" s="30">
        <f t="shared" si="8"/>
        <v>0</v>
      </c>
      <c r="AH32" s="5">
        <v>0</v>
      </c>
      <c r="AI32" s="214"/>
      <c r="AJ32" s="497"/>
      <c r="AK32" s="494"/>
      <c r="AL32" s="480"/>
      <c r="AM32" s="480"/>
      <c r="AN32" s="381"/>
      <c r="AO32" s="381"/>
      <c r="AP32" s="381"/>
      <c r="AQ32" s="381"/>
      <c r="AR32" s="381"/>
      <c r="AS32" s="449"/>
      <c r="AT32" s="478"/>
      <c r="AU32" s="506"/>
      <c r="AV32" s="381"/>
      <c r="AW32" s="381"/>
      <c r="AX32" s="446"/>
      <c r="AY32" s="476"/>
      <c r="AZ32" s="474"/>
      <c r="BA32" s="524"/>
      <c r="BB32" s="530"/>
      <c r="BC32" s="483"/>
      <c r="BD32" s="381"/>
      <c r="BE32" s="381"/>
      <c r="BF32" s="446"/>
      <c r="BG32" s="476"/>
      <c r="BH32" s="474"/>
      <c r="BI32" s="475"/>
      <c r="BJ32" s="521"/>
      <c r="BK32" s="508"/>
      <c r="BL32" s="394"/>
      <c r="BM32" s="394"/>
    </row>
    <row r="33" spans="1:65" ht="15.75" customHeight="1" x14ac:dyDescent="0.25">
      <c r="A33" s="485"/>
      <c r="B33" s="84" t="s">
        <v>335</v>
      </c>
      <c r="C33" s="6"/>
      <c r="D33" s="12"/>
      <c r="E33" s="12"/>
      <c r="F33" s="38"/>
      <c r="G33" s="21"/>
      <c r="H33" s="18">
        <v>59</v>
      </c>
      <c r="I33" s="12"/>
      <c r="J33" s="13">
        <v>1</v>
      </c>
      <c r="K33" s="317">
        <f t="shared" si="2"/>
        <v>0</v>
      </c>
      <c r="L33" s="230">
        <f t="shared" si="3"/>
        <v>0</v>
      </c>
      <c r="M33" s="231">
        <f t="shared" si="4"/>
        <v>1</v>
      </c>
      <c r="N33" s="146"/>
      <c r="O33" s="5"/>
      <c r="P33" s="143"/>
      <c r="Q33" s="21"/>
      <c r="R33" s="21"/>
      <c r="S33" s="21"/>
      <c r="T33" s="102"/>
      <c r="U33" s="440"/>
      <c r="V33" s="10">
        <v>0</v>
      </c>
      <c r="W33" s="12">
        <v>0</v>
      </c>
      <c r="X33" s="17"/>
      <c r="Y33" s="443"/>
      <c r="Z33" s="443"/>
      <c r="AA33" s="443"/>
      <c r="AB33" s="21">
        <v>0</v>
      </c>
      <c r="AC33" s="11">
        <v>5</v>
      </c>
      <c r="AD33" s="115"/>
      <c r="AE33" s="304"/>
      <c r="AF33" s="121"/>
      <c r="AG33" s="30"/>
      <c r="AH33" s="5"/>
      <c r="AI33" s="214"/>
      <c r="AJ33" s="497"/>
      <c r="AK33" s="494"/>
      <c r="AL33" s="480"/>
      <c r="AM33" s="480"/>
      <c r="AN33" s="381"/>
      <c r="AO33" s="381"/>
      <c r="AP33" s="381"/>
      <c r="AQ33" s="381"/>
      <c r="AR33" s="381"/>
      <c r="AS33" s="449"/>
      <c r="AT33" s="478"/>
      <c r="AU33" s="506"/>
      <c r="AV33" s="381"/>
      <c r="AW33" s="381"/>
      <c r="AX33" s="446"/>
      <c r="AY33" s="476"/>
      <c r="AZ33" s="474"/>
      <c r="BA33" s="524"/>
      <c r="BB33" s="530"/>
      <c r="BC33" s="483"/>
      <c r="BD33" s="381"/>
      <c r="BE33" s="381"/>
      <c r="BF33" s="446"/>
      <c r="BG33" s="476"/>
      <c r="BH33" s="474"/>
      <c r="BI33" s="475"/>
      <c r="BJ33" s="521"/>
      <c r="BK33" s="508"/>
      <c r="BL33" s="394"/>
      <c r="BM33" s="394"/>
    </row>
    <row r="34" spans="1:65" ht="15.75" customHeight="1" x14ac:dyDescent="0.25">
      <c r="A34" s="485"/>
      <c r="B34" s="84" t="s">
        <v>35</v>
      </c>
      <c r="C34" s="6">
        <f t="shared" si="1"/>
        <v>0</v>
      </c>
      <c r="D34" s="12">
        <v>0</v>
      </c>
      <c r="E34" s="12">
        <v>0</v>
      </c>
      <c r="F34" s="38">
        <v>0</v>
      </c>
      <c r="G34" s="21">
        <v>0</v>
      </c>
      <c r="H34" s="18">
        <v>0</v>
      </c>
      <c r="I34" s="12">
        <v>0</v>
      </c>
      <c r="J34" s="13">
        <v>0</v>
      </c>
      <c r="K34" s="317">
        <f t="shared" si="2"/>
        <v>0</v>
      </c>
      <c r="L34" s="230">
        <f t="shared" si="3"/>
        <v>0</v>
      </c>
      <c r="M34" s="231">
        <f t="shared" si="4"/>
        <v>0</v>
      </c>
      <c r="N34" s="146">
        <v>0</v>
      </c>
      <c r="O34" s="5">
        <v>0</v>
      </c>
      <c r="P34" s="143">
        <v>0</v>
      </c>
      <c r="Q34" s="21">
        <v>0</v>
      </c>
      <c r="R34" s="21">
        <v>0</v>
      </c>
      <c r="S34" s="21">
        <v>0</v>
      </c>
      <c r="T34" s="102">
        <f t="shared" si="5"/>
        <v>0</v>
      </c>
      <c r="U34" s="440"/>
      <c r="V34" s="10">
        <f t="shared" si="0"/>
        <v>0</v>
      </c>
      <c r="W34" s="12">
        <v>0</v>
      </c>
      <c r="X34" s="17">
        <v>0</v>
      </c>
      <c r="Y34" s="444"/>
      <c r="Z34" s="444"/>
      <c r="AA34" s="444"/>
      <c r="AB34" s="21">
        <v>0</v>
      </c>
      <c r="AC34" s="11">
        <v>0</v>
      </c>
      <c r="AD34" s="115">
        <f>SUM(AE34:AF34)</f>
        <v>0</v>
      </c>
      <c r="AE34" s="120">
        <f t="shared" si="7"/>
        <v>0</v>
      </c>
      <c r="AF34" s="121">
        <v>0</v>
      </c>
      <c r="AG34" s="30">
        <f t="shared" si="8"/>
        <v>0</v>
      </c>
      <c r="AH34" s="5">
        <v>0</v>
      </c>
      <c r="AI34" s="214"/>
      <c r="AJ34" s="498"/>
      <c r="AK34" s="495"/>
      <c r="AL34" s="481"/>
      <c r="AM34" s="481"/>
      <c r="AN34" s="382"/>
      <c r="AO34" s="382"/>
      <c r="AP34" s="382"/>
      <c r="AQ34" s="382"/>
      <c r="AR34" s="382"/>
      <c r="AS34" s="450"/>
      <c r="AT34" s="478"/>
      <c r="AU34" s="506"/>
      <c r="AV34" s="382"/>
      <c r="AW34" s="382"/>
      <c r="AX34" s="447"/>
      <c r="AY34" s="476"/>
      <c r="AZ34" s="474"/>
      <c r="BA34" s="525"/>
      <c r="BB34" s="530"/>
      <c r="BC34" s="484"/>
      <c r="BD34" s="382"/>
      <c r="BE34" s="382"/>
      <c r="BF34" s="447"/>
      <c r="BG34" s="476"/>
      <c r="BH34" s="474"/>
      <c r="BI34" s="475"/>
      <c r="BJ34" s="522"/>
      <c r="BK34" s="509"/>
      <c r="BL34" s="324"/>
      <c r="BM34" s="395"/>
    </row>
    <row r="35" spans="1:65" s="91" customFormat="1" ht="15.75" customHeight="1" thickBot="1" x14ac:dyDescent="0.3">
      <c r="B35" s="92"/>
      <c r="C35" s="486" t="str">
        <f>"Total Households covered for indicator S1: "&amp; SUM(C5:C34)</f>
        <v>Total Households covered for indicator S1: 0</v>
      </c>
      <c r="D35" s="487"/>
      <c r="E35" s="487"/>
      <c r="F35" s="488"/>
      <c r="G35" s="93" t="str">
        <f>"Total Households covered for indicator S2: "&amp;SUM(G5:G34)</f>
        <v>Total Households covered for indicator S2: 3694</v>
      </c>
      <c r="H35" s="489" t="str">
        <f>"Total Households covered for indicator W1, W2, &amp;W3: "&amp;SUM(H5:H34)</f>
        <v>Total Households covered for indicator W1, W2, &amp;W3: 2613</v>
      </c>
      <c r="I35" s="477"/>
      <c r="J35" s="477"/>
      <c r="K35" s="94" t="str">
        <f>"Total #s covered for indicator WX1: "&amp;SUM(K5:K34)</f>
        <v>Total #s covered for indicator WX1: 0</v>
      </c>
      <c r="L35" s="489" t="str">
        <f>"Total # covered for indicator W2, &amp;W3: "&amp;SUM(L5:M34)</f>
        <v>Total # covered for indicator W2, &amp;W3: 8</v>
      </c>
      <c r="M35" s="493"/>
      <c r="N35" s="418" t="str">
        <f>"# constructed/repaired for indicator R1&amp;R2: "&amp;SUM(O5:O34)+SUM(N5:N34)</f>
        <v># constructed/repaired for indicator R1&amp;R2: 74</v>
      </c>
      <c r="O35" s="420"/>
      <c r="P35" s="141" t="str">
        <f>"# constructed for indicator R3: "&amp;SUM(P5:P34)</f>
        <v># constructed for indicator R3: 435</v>
      </c>
      <c r="Q35" s="418" t="str">
        <f>"Total # built/repaired for indicator R4:"&amp;SUM(Q5:Q34)+SUM(R5:R34)</f>
        <v>Total # built/repaired for indicator R4:18</v>
      </c>
      <c r="R35" s="420"/>
      <c r="S35" s="94" t="str">
        <f>"# constructed for indicator R5: "&amp;SUM(S5:S34)</f>
        <v># constructed for indicator R5: 0</v>
      </c>
      <c r="T35" s="94" t="str">
        <f>"Total Households covered for indicator R6: "&amp;ROUND(SUM(T5:T34),0)</f>
        <v>Total Households covered for indicator R6: 1697</v>
      </c>
      <c r="U35" s="441"/>
      <c r="V35" s="489" t="str">
        <f>"Total # of HK distributed for indicator H2: "&amp;ROUND(SUM(V5:V34),0)</f>
        <v>Total # of HK distributed for indicator H2: 1697</v>
      </c>
      <c r="W35" s="477"/>
      <c r="X35" s="493"/>
      <c r="Y35" s="418" t="str">
        <f>"Total # Trained for indicator H3:"&amp;ROUND(SUM(Y5:Y34,Z5,AA5),0)</f>
        <v>Total # Trained for indicator H3:31</v>
      </c>
      <c r="Z35" s="419"/>
      <c r="AA35" s="419"/>
      <c r="AB35" s="420"/>
      <c r="AC35" s="117" t="str">
        <f>"Total # Trained for indicator H4: "&amp;ROUND(SUM(AC5:AC34),0)</f>
        <v>Total # Trained for indicator H4: 108</v>
      </c>
      <c r="AD35" s="490" t="str">
        <f>"Total # Trained for indicator L1: "&amp;ROUND(SUM(AF5:AF34),0)</f>
        <v>Total # Trained for indicator L1: 2626</v>
      </c>
      <c r="AE35" s="491"/>
      <c r="AF35" s="492"/>
      <c r="AG35" s="489" t="str">
        <f>"Total HH covered for indicator L3: "&amp;ROUND(SUM(AG5:AG34),0)</f>
        <v>Total HH covered for indicator L3: 0</v>
      </c>
      <c r="AH35" s="493"/>
      <c r="AI35" s="215">
        <v>0</v>
      </c>
      <c r="AJ35" s="418" t="str">
        <f>"Total # of beneficiaries covered for indicator P1: "&amp;SUM(AJ5,AJ20)</f>
        <v>Total # of beneficiaries covered for indicator P1: 49</v>
      </c>
      <c r="AK35" s="419"/>
      <c r="AL35" s="419"/>
      <c r="AM35" s="419"/>
      <c r="AN35" s="419"/>
      <c r="AO35" s="419"/>
      <c r="AP35" s="419"/>
      <c r="AQ35" s="419"/>
      <c r="AR35" s="419"/>
      <c r="AS35" s="420"/>
      <c r="AT35" s="418" t="str">
        <f>"Total networks formed for indicator P2: "&amp;ROUND(SUM(AT5:AT34),0)</f>
        <v>Total networks formed for indicator P2: 9</v>
      </c>
      <c r="AU35" s="419"/>
      <c r="AV35" s="419"/>
      <c r="AW35" s="419"/>
      <c r="AX35" s="419"/>
      <c r="AY35" s="390" t="str">
        <f>"Total # of beneficiaries for indicator PX2: "&amp;ROUND(SUM(AY5,AZ5,BA5,BB5,BB20,BA20,AZ20,AY20),0)</f>
        <v>Total # of beneficiaries for indicator PX2: 191</v>
      </c>
      <c r="AZ35" s="391"/>
      <c r="BA35" s="391"/>
      <c r="BB35" s="392"/>
      <c r="BC35" s="94" t="str">
        <f>"Total spaces created for indicator P3: "&amp;ROUND(SUM(BC5:BC34),0)</f>
        <v>Total spaces created for indicator P3: 6</v>
      </c>
      <c r="BD35" s="477" t="str">
        <f>"Total # of RA for indicator P4: "&amp;ROUND(SUM(BD5,BE5,BF5,BF20,BE20,BD20),0)</f>
        <v>Total # of RA for indicator P4: 35</v>
      </c>
      <c r="BE35" s="477"/>
      <c r="BF35" s="477"/>
      <c r="BG35" s="471" t="str">
        <f>"Total # of beneficiaries for indicator PX4: "&amp;ROUND(SUM(BG5,BH5,BI5,BI20,BG20),0)</f>
        <v>Total # of beneficiaries for indicator PX4: 1025</v>
      </c>
      <c r="BH35" s="472"/>
      <c r="BI35" s="473"/>
      <c r="BJ35" s="93" t="s">
        <v>266</v>
      </c>
      <c r="BK35" s="486" t="str">
        <f>"Total # trained for indicator PX5: "&amp;ROUND(SUM(BK5:BL19,BK20:BL34),0)</f>
        <v>Total # trained for indicator PX5: 69</v>
      </c>
      <c r="BL35" s="488"/>
      <c r="BM35" s="130" t="str">
        <f>"Total # for indicator P6: "&amp;ROUND(SUM(BM32:BM34),0)</f>
        <v>Total # for indicator P6: 0</v>
      </c>
    </row>
    <row r="37" spans="1:65" ht="15" customHeight="1" x14ac:dyDescent="0.25"/>
    <row r="40" spans="1:65" x14ac:dyDescent="0.25">
      <c r="AF40">
        <f>187</f>
        <v>187</v>
      </c>
    </row>
    <row r="44" spans="1:65" x14ac:dyDescent="0.25">
      <c r="B44" s="90"/>
    </row>
  </sheetData>
  <sheetProtection formatCells="0" formatColumns="0" formatRows="0" insertColumns="0" insertRows="0" insertHyperlinks="0" deleteColumns="0" deleteRows="0" sort="0" autoFilter="0" pivotTables="0"/>
  <mergeCells count="103">
    <mergeCell ref="BK35:BL35"/>
    <mergeCell ref="H2:M2"/>
    <mergeCell ref="BK3:BL3"/>
    <mergeCell ref="BL5:BL19"/>
    <mergeCell ref="BL20:BL33"/>
    <mergeCell ref="BK5:BK19"/>
    <mergeCell ref="BJ5:BJ19"/>
    <mergeCell ref="BJ20:BJ34"/>
    <mergeCell ref="AV5:AV19"/>
    <mergeCell ref="AW5:AW19"/>
    <mergeCell ref="AX5:AX19"/>
    <mergeCell ref="AX20:AX34"/>
    <mergeCell ref="BC20:BC34"/>
    <mergeCell ref="AY5:AY19"/>
    <mergeCell ref="AY20:AY34"/>
    <mergeCell ref="AZ20:AZ34"/>
    <mergeCell ref="BA20:BA34"/>
    <mergeCell ref="AZ5:AZ19"/>
    <mergeCell ref="BA5:BA19"/>
    <mergeCell ref="BB5:BB19"/>
    <mergeCell ref="BB20:BB34"/>
    <mergeCell ref="AG35:AH35"/>
    <mergeCell ref="AL5:AL19"/>
    <mergeCell ref="BD3:BF3"/>
    <mergeCell ref="AL2:BM2"/>
    <mergeCell ref="AJ3:AS3"/>
    <mergeCell ref="AT3:AX3"/>
    <mergeCell ref="AU5:AU19"/>
    <mergeCell ref="AU20:AU34"/>
    <mergeCell ref="AV20:AV34"/>
    <mergeCell ref="AW20:AW34"/>
    <mergeCell ref="BG5:BG19"/>
    <mergeCell ref="BM5:BM19"/>
    <mergeCell ref="BM20:BM34"/>
    <mergeCell ref="BK20:BK34"/>
    <mergeCell ref="BE5:BE19"/>
    <mergeCell ref="BE20:BE34"/>
    <mergeCell ref="BF20:BF34"/>
    <mergeCell ref="BF5:BF19"/>
    <mergeCell ref="BD5:BD19"/>
    <mergeCell ref="AY3:BB3"/>
    <mergeCell ref="AK5:AK19"/>
    <mergeCell ref="AJ5:AJ19"/>
    <mergeCell ref="AM5:AM19"/>
    <mergeCell ref="AO5:AO19"/>
    <mergeCell ref="AQ5:AQ19"/>
    <mergeCell ref="AR5:AR19"/>
    <mergeCell ref="BG3:BI3"/>
    <mergeCell ref="A2:B4"/>
    <mergeCell ref="A5:A19"/>
    <mergeCell ref="V3:X3"/>
    <mergeCell ref="AG3:AH3"/>
    <mergeCell ref="AD3:AF3"/>
    <mergeCell ref="AD2:AI2"/>
    <mergeCell ref="N3:O3"/>
    <mergeCell ref="Q3:R3"/>
    <mergeCell ref="N2:T2"/>
    <mergeCell ref="C2:G2"/>
    <mergeCell ref="C3:F3"/>
    <mergeCell ref="H3:J3"/>
    <mergeCell ref="U2:AC2"/>
    <mergeCell ref="L3:M3"/>
    <mergeCell ref="A20:A34"/>
    <mergeCell ref="C35:F35"/>
    <mergeCell ref="H35:J35"/>
    <mergeCell ref="AD35:AF35"/>
    <mergeCell ref="N35:O35"/>
    <mergeCell ref="Q35:R35"/>
    <mergeCell ref="V35:X35"/>
    <mergeCell ref="L35:M35"/>
    <mergeCell ref="AY35:BB35"/>
    <mergeCell ref="AK20:AK34"/>
    <mergeCell ref="AJ20:AJ34"/>
    <mergeCell ref="AR20:AR34"/>
    <mergeCell ref="AQ20:AQ34"/>
    <mergeCell ref="AO20:AO34"/>
    <mergeCell ref="AM20:AM34"/>
    <mergeCell ref="AS20:AS34"/>
    <mergeCell ref="AJ35:AS35"/>
    <mergeCell ref="AL20:AL34"/>
    <mergeCell ref="AT35:AX35"/>
    <mergeCell ref="AN20:AN34"/>
    <mergeCell ref="AP20:AP34"/>
    <mergeCell ref="AT20:AT34"/>
    <mergeCell ref="BG35:BI35"/>
    <mergeCell ref="BH5:BH19"/>
    <mergeCell ref="BI5:BI19"/>
    <mergeCell ref="BG20:BG34"/>
    <mergeCell ref="BH20:BH34"/>
    <mergeCell ref="BI20:BI34"/>
    <mergeCell ref="Y3:AB3"/>
    <mergeCell ref="U4:U35"/>
    <mergeCell ref="Y5:Y34"/>
    <mergeCell ref="Z5:Z34"/>
    <mergeCell ref="Y35:AB35"/>
    <mergeCell ref="AA5:AA34"/>
    <mergeCell ref="BD35:BF35"/>
    <mergeCell ref="AT5:AT19"/>
    <mergeCell ref="AN5:AN19"/>
    <mergeCell ref="AP5:AP19"/>
    <mergeCell ref="AS5:AS19"/>
    <mergeCell ref="BC5:BC19"/>
    <mergeCell ref="BD20:BD34"/>
  </mergeCells>
  <pageMargins left="0.7" right="0.7" top="0.75" bottom="0.75" header="0.3" footer="0.3"/>
  <pageSetup paperSize="9" orientation="portrait" r:id="rId1"/>
  <ignoredErrors>
    <ignoredError sqref="C34 C18:C30 C10:C16 C32 C5:C8"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BX25"/>
  <sheetViews>
    <sheetView tabSelected="1" zoomScale="90" zoomScaleNormal="90" zoomScaleSheetLayoutView="80" workbookViewId="0">
      <pane xSplit="1" topLeftCell="B1" activePane="topRight" state="frozen"/>
      <selection pane="topRight" activeCell="I24" sqref="I24"/>
    </sheetView>
  </sheetViews>
  <sheetFormatPr defaultRowHeight="15" x14ac:dyDescent="0.25"/>
  <cols>
    <col min="1" max="1" width="11.140625" customWidth="1"/>
    <col min="2" max="2" width="25.140625" bestFit="1" customWidth="1"/>
    <col min="3" max="3" width="8.140625" bestFit="1" customWidth="1"/>
    <col min="4" max="4" width="8.85546875" bestFit="1" customWidth="1"/>
    <col min="5" max="5" width="5.7109375" bestFit="1" customWidth="1"/>
    <col min="6" max="6" width="14.85546875" bestFit="1" customWidth="1"/>
    <col min="7" max="7" width="9.28515625" bestFit="1" customWidth="1"/>
    <col min="8" max="8" width="56.140625" bestFit="1" customWidth="1"/>
    <col min="9" max="9" width="51" bestFit="1" customWidth="1"/>
    <col min="10" max="10" width="38.28515625" bestFit="1" customWidth="1"/>
    <col min="11" max="11" width="22" bestFit="1" customWidth="1"/>
    <col min="12" max="12" width="22" customWidth="1"/>
    <col min="13" max="13" width="32.140625" bestFit="1" customWidth="1"/>
    <col min="14" max="14" width="40.85546875" bestFit="1" customWidth="1"/>
    <col min="15" max="15" width="28.42578125" customWidth="1"/>
    <col min="16" max="16" width="38.42578125" bestFit="1" customWidth="1"/>
    <col min="17" max="17" width="30.7109375" customWidth="1"/>
    <col min="18" max="18" width="38" bestFit="1" customWidth="1"/>
    <col min="19" max="19" width="61.28515625" bestFit="1" customWidth="1"/>
    <col min="20" max="20" width="78.140625" bestFit="1" customWidth="1"/>
    <col min="21" max="21" width="24.85546875" bestFit="1" customWidth="1"/>
    <col min="22" max="22" width="26.28515625" bestFit="1" customWidth="1"/>
    <col min="23" max="23" width="41.42578125" bestFit="1" customWidth="1"/>
    <col min="24" max="24" width="34.140625" bestFit="1" customWidth="1"/>
    <col min="25" max="25" width="34.140625" customWidth="1"/>
    <col min="26" max="26" width="47.7109375" bestFit="1" customWidth="1"/>
    <col min="27" max="27" width="41.5703125" bestFit="1" customWidth="1"/>
    <col min="28" max="28" width="61" bestFit="1" customWidth="1"/>
    <col min="29" max="29" width="54.28515625" bestFit="1" customWidth="1"/>
    <col min="30" max="30" width="54.28515625" customWidth="1"/>
    <col min="31" max="31" width="65" customWidth="1"/>
    <col min="32" max="32" width="42" bestFit="1" customWidth="1"/>
    <col min="33" max="35" width="28.5703125" bestFit="1" customWidth="1"/>
    <col min="36" max="36" width="34.5703125" bestFit="1" customWidth="1"/>
    <col min="37" max="37" width="41" bestFit="1" customWidth="1"/>
    <col min="38" max="38" width="33" bestFit="1" customWidth="1"/>
    <col min="39" max="39" width="48.7109375" bestFit="1" customWidth="1"/>
    <col min="40" max="40" width="23.85546875" bestFit="1" customWidth="1"/>
    <col min="41" max="41" width="15.5703125" bestFit="1" customWidth="1"/>
    <col min="42" max="42" width="20.7109375" bestFit="1" customWidth="1"/>
    <col min="43" max="43" width="30.85546875" bestFit="1" customWidth="1"/>
    <col min="44" max="44" width="30" bestFit="1" customWidth="1"/>
    <col min="45" max="45" width="37.5703125" bestFit="1" customWidth="1"/>
    <col min="46" max="46" width="26.140625" bestFit="1" customWidth="1"/>
    <col min="47" max="47" width="61.42578125" bestFit="1" customWidth="1"/>
    <col min="48" max="48" width="90.5703125" bestFit="1" customWidth="1"/>
  </cols>
  <sheetData>
    <row r="1" spans="1:76" ht="15.75" thickBot="1" x14ac:dyDescent="0.3">
      <c r="A1" s="123" t="str">
        <f>Overview!A1</f>
        <v>NERP file designed by Biju &amp; updated as of 07.10.2015</v>
      </c>
      <c r="B1" s="123"/>
      <c r="C1" s="123"/>
      <c r="D1" s="123"/>
      <c r="E1" s="123"/>
      <c r="F1" s="123"/>
      <c r="G1" s="123"/>
      <c r="H1" s="123"/>
      <c r="I1" s="123"/>
      <c r="J1" s="123"/>
    </row>
    <row r="2" spans="1:76" ht="15.75" customHeight="1" thickBot="1" x14ac:dyDescent="0.3">
      <c r="A2" s="550" t="s">
        <v>138</v>
      </c>
      <c r="B2" s="359" t="s">
        <v>360</v>
      </c>
      <c r="C2" s="355"/>
      <c r="D2" s="355"/>
      <c r="E2" s="355"/>
      <c r="F2" s="355"/>
      <c r="G2" s="356"/>
      <c r="H2" s="359" t="s">
        <v>356</v>
      </c>
      <c r="I2" s="355"/>
      <c r="J2" s="356"/>
      <c r="K2" s="355" t="s">
        <v>60</v>
      </c>
      <c r="L2" s="355"/>
      <c r="M2" s="355"/>
      <c r="N2" s="355"/>
      <c r="O2" s="355"/>
      <c r="P2" s="355"/>
      <c r="Q2" s="355"/>
      <c r="R2" s="355"/>
      <c r="S2" s="355"/>
      <c r="T2" s="355"/>
      <c r="U2" s="355"/>
      <c r="V2" s="355"/>
      <c r="W2" s="355"/>
      <c r="X2" s="355"/>
      <c r="Y2" s="355"/>
      <c r="Z2" s="355"/>
      <c r="AA2" s="355"/>
      <c r="AB2" s="355"/>
      <c r="AC2" s="355"/>
      <c r="AD2" s="355"/>
      <c r="AE2" s="355"/>
      <c r="AF2" s="355"/>
      <c r="AG2" s="355"/>
      <c r="AH2" s="355"/>
      <c r="AI2" s="355"/>
      <c r="AJ2" s="355"/>
      <c r="AK2" s="355"/>
      <c r="AL2" s="355"/>
      <c r="AM2" s="355"/>
      <c r="AN2" s="355"/>
      <c r="AO2" s="355"/>
      <c r="AP2" s="355"/>
      <c r="AQ2" s="355"/>
      <c r="AR2" s="355"/>
      <c r="AS2" s="355"/>
      <c r="AT2" s="355"/>
      <c r="AU2" s="356"/>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row>
    <row r="3" spans="1:76" ht="85.5" customHeight="1" thickBot="1" x14ac:dyDescent="0.3">
      <c r="A3" s="550"/>
      <c r="B3" s="540" t="str">
        <f>Overview!B3</f>
        <v>Indicator S1: NFI (Tarp, Blanket, Matt etcetera) for maintaining a safe and adequate temporary shelter.
ACT Target: 10000 HH</v>
      </c>
      <c r="C3" s="541"/>
      <c r="D3" s="541"/>
      <c r="E3" s="541"/>
      <c r="F3" s="541"/>
      <c r="G3" s="542"/>
      <c r="H3" s="363" t="str">
        <f>Overview!P3</f>
        <v xml:space="preserve">Indicator L1: Distribution of food items to 10,000 affected families during the emergency period.
ACT Target: 10000HH
</v>
      </c>
      <c r="I3" s="364"/>
      <c r="J3" s="364"/>
      <c r="K3" s="363" t="s">
        <v>132</v>
      </c>
      <c r="L3" s="364"/>
      <c r="M3" s="364"/>
      <c r="N3" s="364"/>
      <c r="O3" s="364"/>
      <c r="P3" s="364"/>
      <c r="Q3" s="364"/>
      <c r="R3" s="364"/>
      <c r="S3" s="364"/>
      <c r="T3" s="365"/>
      <c r="U3" s="363" t="s">
        <v>129</v>
      </c>
      <c r="V3" s="364"/>
      <c r="W3" s="364"/>
      <c r="X3" s="364"/>
      <c r="Y3" s="364"/>
      <c r="Z3" s="365"/>
      <c r="AA3" s="363" t="s">
        <v>290</v>
      </c>
      <c r="AB3" s="364"/>
      <c r="AC3" s="364"/>
      <c r="AD3" s="364"/>
      <c r="AE3" s="365"/>
      <c r="AF3" s="201" t="s">
        <v>126</v>
      </c>
      <c r="AG3" s="503" t="str">
        <f>Overview!W3</f>
        <v>Indicator P4: Culturally appropriate recreational activities for girls, boys and adolescents organized in affected communities.
ACT Target: tbc</v>
      </c>
      <c r="AH3" s="551"/>
      <c r="AI3" s="504"/>
      <c r="AJ3" s="363" t="s">
        <v>295</v>
      </c>
      <c r="AK3" s="364"/>
      <c r="AL3" s="365"/>
      <c r="AM3" s="63" t="str">
        <f>Overview!Y3</f>
        <v>Indicator P5: Increased levels of knowledge on CBPS among participants.
ACT Target: tbc</v>
      </c>
      <c r="AN3" s="363" t="str">
        <f>Overview!Z3</f>
        <v>(ACT member staff and community/social workers and staff of partners trained in community based psychosocial support and/or psychological first aid.
Target: tbc</v>
      </c>
      <c r="AO3" s="364"/>
      <c r="AP3" s="364"/>
      <c r="AQ3" s="364"/>
      <c r="AR3" s="364"/>
      <c r="AS3" s="364"/>
      <c r="AT3" s="365"/>
      <c r="AU3" s="63" t="s">
        <v>130</v>
      </c>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row>
    <row r="4" spans="1:76" ht="15.75" customHeight="1" x14ac:dyDescent="0.25">
      <c r="A4" s="550"/>
      <c r="B4" s="336" t="s">
        <v>367</v>
      </c>
      <c r="C4" s="339" t="s">
        <v>47</v>
      </c>
      <c r="D4" s="337" t="s">
        <v>19</v>
      </c>
      <c r="E4" s="337" t="s">
        <v>361</v>
      </c>
      <c r="F4" s="337" t="s">
        <v>362</v>
      </c>
      <c r="G4" s="338" t="s">
        <v>363</v>
      </c>
      <c r="H4" s="331" t="s">
        <v>364</v>
      </c>
      <c r="I4" s="331" t="s">
        <v>365</v>
      </c>
      <c r="J4" s="333" t="s">
        <v>366</v>
      </c>
      <c r="K4" s="170" t="s">
        <v>133</v>
      </c>
      <c r="L4" s="170" t="s">
        <v>240</v>
      </c>
      <c r="M4" s="78" t="s">
        <v>287</v>
      </c>
      <c r="N4" s="204" t="s">
        <v>277</v>
      </c>
      <c r="O4" s="204" t="s">
        <v>256</v>
      </c>
      <c r="P4" s="204" t="s">
        <v>288</v>
      </c>
      <c r="Q4" s="150" t="s">
        <v>259</v>
      </c>
      <c r="R4" s="150" t="s">
        <v>260</v>
      </c>
      <c r="S4" s="150" t="s">
        <v>261</v>
      </c>
      <c r="T4" s="208" t="s">
        <v>289</v>
      </c>
      <c r="U4" s="76" t="s">
        <v>59</v>
      </c>
      <c r="V4" s="72" t="s">
        <v>139</v>
      </c>
      <c r="W4" s="72" t="s">
        <v>127</v>
      </c>
      <c r="X4" s="72" t="s">
        <v>125</v>
      </c>
      <c r="Y4" s="83" t="s">
        <v>341</v>
      </c>
      <c r="Z4" s="83" t="s">
        <v>140</v>
      </c>
      <c r="AA4" s="209" t="s">
        <v>291</v>
      </c>
      <c r="AB4" s="72" t="s">
        <v>292</v>
      </c>
      <c r="AC4" s="72" t="s">
        <v>293</v>
      </c>
      <c r="AD4" s="83" t="s">
        <v>342</v>
      </c>
      <c r="AE4" s="73" t="s">
        <v>294</v>
      </c>
      <c r="AF4" s="166" t="s">
        <v>58</v>
      </c>
      <c r="AG4" s="204" t="s">
        <v>285</v>
      </c>
      <c r="AH4" s="204" t="s">
        <v>286</v>
      </c>
      <c r="AI4" s="203" t="s">
        <v>296</v>
      </c>
      <c r="AJ4" s="79" t="s">
        <v>250</v>
      </c>
      <c r="AK4" s="79" t="s">
        <v>297</v>
      </c>
      <c r="AL4" s="79" t="s">
        <v>254</v>
      </c>
      <c r="AM4" s="77" t="s">
        <v>82</v>
      </c>
      <c r="AN4" s="77" t="s">
        <v>299</v>
      </c>
      <c r="AO4" s="77" t="s">
        <v>343</v>
      </c>
      <c r="AP4" s="77" t="s">
        <v>344</v>
      </c>
      <c r="AQ4" s="77" t="s">
        <v>346</v>
      </c>
      <c r="AR4" s="77" t="s">
        <v>347</v>
      </c>
      <c r="AS4" s="77" t="s">
        <v>348</v>
      </c>
      <c r="AT4" s="77" t="s">
        <v>349</v>
      </c>
      <c r="AU4" s="77" t="s">
        <v>141</v>
      </c>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row>
    <row r="5" spans="1:76" ht="15.75" customHeight="1" x14ac:dyDescent="0.25">
      <c r="A5" s="329" t="s">
        <v>0</v>
      </c>
      <c r="B5" s="328">
        <f>SUM(C5:G5)</f>
        <v>204</v>
      </c>
      <c r="C5" s="340">
        <v>4</v>
      </c>
      <c r="D5" s="326">
        <v>2</v>
      </c>
      <c r="E5" s="326">
        <v>196</v>
      </c>
      <c r="F5" s="326">
        <v>1</v>
      </c>
      <c r="G5" s="327">
        <v>1</v>
      </c>
      <c r="H5" s="330">
        <f>790/5</f>
        <v>158</v>
      </c>
      <c r="I5" s="330">
        <v>65</v>
      </c>
      <c r="J5" s="332">
        <v>2</v>
      </c>
      <c r="K5" s="170">
        <f>SUM(N5,P5,R5,T5)</f>
        <v>2315</v>
      </c>
      <c r="L5" s="170">
        <f>SUM(M5,O5,Q5,S5)</f>
        <v>0</v>
      </c>
      <c r="M5" s="78">
        <v>0</v>
      </c>
      <c r="N5" s="204">
        <v>193</v>
      </c>
      <c r="O5" s="204">
        <v>0</v>
      </c>
      <c r="P5" s="204">
        <v>0</v>
      </c>
      <c r="Q5" s="150">
        <v>0</v>
      </c>
      <c r="R5" s="150">
        <v>2122</v>
      </c>
      <c r="S5" s="150">
        <v>0</v>
      </c>
      <c r="T5" s="208">
        <v>0</v>
      </c>
      <c r="U5" s="76">
        <v>0</v>
      </c>
      <c r="V5" s="83">
        <v>0</v>
      </c>
      <c r="W5" s="83">
        <v>0</v>
      </c>
      <c r="X5" s="83">
        <v>0</v>
      </c>
      <c r="Y5" s="83">
        <v>0</v>
      </c>
      <c r="Z5" s="83">
        <v>0</v>
      </c>
      <c r="AA5" s="220">
        <v>0</v>
      </c>
      <c r="AB5" s="41">
        <v>0</v>
      </c>
      <c r="AC5" s="41">
        <v>0</v>
      </c>
      <c r="AD5" s="323">
        <v>3159</v>
      </c>
      <c r="AE5" s="42">
        <v>0</v>
      </c>
      <c r="AF5" s="167">
        <v>0</v>
      </c>
      <c r="AG5" s="78">
        <v>0</v>
      </c>
      <c r="AH5" s="78">
        <v>0</v>
      </c>
      <c r="AI5" s="79">
        <v>0</v>
      </c>
      <c r="AJ5" s="79">
        <v>0</v>
      </c>
      <c r="AK5" s="79">
        <v>162</v>
      </c>
      <c r="AL5" s="79">
        <v>0</v>
      </c>
      <c r="AM5" s="219"/>
      <c r="AN5" s="219">
        <v>0</v>
      </c>
      <c r="AO5" s="219">
        <v>21</v>
      </c>
      <c r="AP5" s="219">
        <v>18</v>
      </c>
      <c r="AQ5" s="219">
        <v>5</v>
      </c>
      <c r="AR5" s="219">
        <v>20</v>
      </c>
      <c r="AS5" s="219">
        <v>20</v>
      </c>
      <c r="AT5" s="219">
        <v>0</v>
      </c>
      <c r="AU5" s="77">
        <v>7</v>
      </c>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row>
    <row r="6" spans="1:76" x14ac:dyDescent="0.25">
      <c r="A6" s="329" t="s">
        <v>1</v>
      </c>
      <c r="B6" s="328">
        <f>SUM(C6:G6)</f>
        <v>30</v>
      </c>
      <c r="C6" s="340">
        <v>24</v>
      </c>
      <c r="D6" s="326">
        <v>1</v>
      </c>
      <c r="E6" s="326">
        <v>0</v>
      </c>
      <c r="F6" s="326">
        <v>1</v>
      </c>
      <c r="G6" s="327">
        <v>4</v>
      </c>
      <c r="H6" s="334">
        <f>(50+250+325)/5</f>
        <v>125</v>
      </c>
      <c r="I6" s="334">
        <v>95</v>
      </c>
      <c r="J6" s="335">
        <v>16</v>
      </c>
      <c r="K6" s="170">
        <f>SUM(N6,P6,R6,T6)</f>
        <v>713</v>
      </c>
      <c r="L6" s="170">
        <f>SUM(M6,O6,Q6,S6)</f>
        <v>0</v>
      </c>
      <c r="M6" s="78">
        <v>0</v>
      </c>
      <c r="N6" s="221">
        <v>134</v>
      </c>
      <c r="O6" s="221">
        <v>0</v>
      </c>
      <c r="P6" s="222">
        <v>0</v>
      </c>
      <c r="Q6" s="223">
        <v>0</v>
      </c>
      <c r="R6" s="224">
        <v>579</v>
      </c>
      <c r="S6" s="224">
        <v>0</v>
      </c>
      <c r="T6" s="225">
        <v>0</v>
      </c>
      <c r="U6" s="169">
        <v>0</v>
      </c>
      <c r="V6" s="126">
        <v>0</v>
      </c>
      <c r="W6" s="126">
        <v>0</v>
      </c>
      <c r="X6" s="126">
        <v>0</v>
      </c>
      <c r="Y6" s="126">
        <v>0</v>
      </c>
      <c r="Z6" s="126">
        <v>0</v>
      </c>
      <c r="AA6" s="120">
        <v>0</v>
      </c>
      <c r="AB6" s="125">
        <v>0</v>
      </c>
      <c r="AC6" s="125">
        <v>0</v>
      </c>
      <c r="AD6" s="126">
        <v>1278</v>
      </c>
      <c r="AE6" s="127">
        <v>0</v>
      </c>
      <c r="AF6" s="167">
        <v>0</v>
      </c>
      <c r="AG6" s="226">
        <v>0</v>
      </c>
      <c r="AH6" s="226">
        <v>0</v>
      </c>
      <c r="AI6" s="227">
        <v>0</v>
      </c>
      <c r="AJ6" s="227">
        <v>0</v>
      </c>
      <c r="AK6" s="227">
        <v>414</v>
      </c>
      <c r="AL6" s="227">
        <v>0</v>
      </c>
      <c r="AM6" s="172"/>
      <c r="AN6" s="228">
        <v>0</v>
      </c>
      <c r="AO6" s="228">
        <v>7</v>
      </c>
      <c r="AP6" s="228">
        <v>7</v>
      </c>
      <c r="AQ6" s="228">
        <v>14</v>
      </c>
      <c r="AR6" s="228">
        <v>22</v>
      </c>
      <c r="AS6" s="228">
        <v>0</v>
      </c>
      <c r="AT6" s="228">
        <v>22</v>
      </c>
      <c r="AU6" s="77">
        <v>0</v>
      </c>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row>
    <row r="7" spans="1:76" s="128" customFormat="1" ht="15.75" thickBot="1" x14ac:dyDescent="0.3">
      <c r="A7" s="156"/>
      <c r="B7" s="543" t="str">
        <f>"Total # of HHs benifited for indicator L1: "&amp;SUM(B5:B6)</f>
        <v>Total # of HHs benifited for indicator L1: 234</v>
      </c>
      <c r="C7" s="544"/>
      <c r="D7" s="544"/>
      <c r="E7" s="544"/>
      <c r="F7" s="544"/>
      <c r="G7" s="545"/>
      <c r="H7" s="549" t="str">
        <f>"Total # of HHs benifited for indicator L1: "&amp;SUM(H5:I6)</f>
        <v>Total # of HHs benifited for indicator L1: 443</v>
      </c>
      <c r="I7" s="549"/>
      <c r="J7" s="549"/>
      <c r="K7" s="383" t="str">
        <f>"Total # of beneficiaries for indicator P1: "&amp;SUM(K5:K6)</f>
        <v>Total # of beneficiaries for indicator P1: 3028</v>
      </c>
      <c r="L7" s="384"/>
      <c r="M7" s="384"/>
      <c r="N7" s="384"/>
      <c r="O7" s="384"/>
      <c r="P7" s="384"/>
      <c r="Q7" s="384"/>
      <c r="R7" s="384"/>
      <c r="S7" s="384"/>
      <c r="T7" s="384"/>
      <c r="U7" s="383" t="str">
        <f>"Total networks formed for indicator P2: "&amp;ROUND(SUM(U5:U6),0)</f>
        <v>Total networks formed for indicator P2: 0</v>
      </c>
      <c r="V7" s="384"/>
      <c r="W7" s="384"/>
      <c r="X7" s="384"/>
      <c r="Y7" s="384"/>
      <c r="Z7" s="384"/>
      <c r="AA7" s="383" t="str">
        <f>"Total # of beneficiaries for indicator PX2: "&amp;ROUND(SUM(AA5:AE6),0)</f>
        <v>Total # of beneficiaries for indicator PX2: 4437</v>
      </c>
      <c r="AB7" s="384"/>
      <c r="AC7" s="384"/>
      <c r="AD7" s="384"/>
      <c r="AE7" s="438"/>
      <c r="AF7" s="202" t="str">
        <f>"Total # of spaces created for indicator P3: "&amp;ROUND(SUM(AF5:AF6),0)</f>
        <v>Total # of spaces created for indicator P3: 0</v>
      </c>
      <c r="AG7" s="384" t="str">
        <f>"Total # of activities conducted for indicator P4: "&amp;ROUND(SUM(AG5:AI6),0)</f>
        <v>Total # of activities conducted for indicator P4: 0</v>
      </c>
      <c r="AH7" s="384"/>
      <c r="AI7" s="438"/>
      <c r="AJ7" s="383" t="str">
        <f>"Total # of beneficiaries for PX4: "&amp;ROUND(SUM(AJ5:AL6),0)</f>
        <v>Total # of beneficiaries for PX4: 576</v>
      </c>
      <c r="AK7" s="384"/>
      <c r="AL7" s="438"/>
      <c r="AM7" s="130" t="s">
        <v>82</v>
      </c>
      <c r="AN7" s="486" t="str">
        <f>"Total # trained for indicator PX5: "&amp;SUM(AN5:AT6)</f>
        <v>Total # trained for indicator PX5: 156</v>
      </c>
      <c r="AO7" s="487"/>
      <c r="AP7" s="488"/>
      <c r="AQ7" s="307"/>
      <c r="AR7" s="307"/>
      <c r="AS7" s="307"/>
      <c r="AT7" s="307"/>
      <c r="AU7" s="130" t="str">
        <f>"Total # for indicator P6: "&amp;ROUND(SUM(AU5:AU6),0)</f>
        <v>Total # for indicator P6: 7</v>
      </c>
    </row>
    <row r="8" spans="1:76" ht="15.75" thickBot="1" x14ac:dyDescent="0.3"/>
    <row r="9" spans="1:76" ht="15" customHeight="1" x14ac:dyDescent="0.25">
      <c r="B9" s="531" t="s">
        <v>368</v>
      </c>
      <c r="C9" s="532"/>
      <c r="D9" s="532"/>
      <c r="E9" s="532"/>
      <c r="F9" s="532"/>
      <c r="G9" s="533"/>
      <c r="H9" s="546" t="s">
        <v>357</v>
      </c>
      <c r="I9" s="531" t="s">
        <v>358</v>
      </c>
      <c r="J9" s="546" t="s">
        <v>359</v>
      </c>
      <c r="K9" s="532" t="s">
        <v>147</v>
      </c>
      <c r="L9" s="532"/>
      <c r="M9" s="532"/>
      <c r="N9" s="532"/>
      <c r="O9" s="532"/>
      <c r="P9" s="532"/>
      <c r="Q9" s="532"/>
      <c r="R9" s="532"/>
      <c r="S9" s="532"/>
      <c r="T9" s="533"/>
      <c r="U9" s="46"/>
      <c r="V9" s="46"/>
      <c r="W9" s="198"/>
      <c r="X9" s="46"/>
      <c r="Y9" s="46"/>
      <c r="Z9" s="46"/>
      <c r="AA9" s="46"/>
      <c r="AB9" s="46"/>
      <c r="AC9" s="46"/>
      <c r="AD9" s="46"/>
      <c r="AE9" s="46"/>
      <c r="AF9" s="46"/>
      <c r="AG9" s="46"/>
      <c r="AH9" s="46"/>
      <c r="AI9" s="46"/>
      <c r="AJ9" s="46"/>
      <c r="AK9" s="46"/>
      <c r="AL9" s="46"/>
      <c r="AM9" s="46"/>
      <c r="AN9" s="46"/>
      <c r="AO9" s="46"/>
      <c r="AP9" s="46"/>
      <c r="AQ9" s="46"/>
      <c r="AR9" s="46"/>
      <c r="AS9" s="46"/>
      <c r="AT9" s="46"/>
      <c r="AU9" s="46"/>
    </row>
    <row r="10" spans="1:76" x14ac:dyDescent="0.25">
      <c r="B10" s="534"/>
      <c r="C10" s="535"/>
      <c r="D10" s="535"/>
      <c r="E10" s="535"/>
      <c r="F10" s="535"/>
      <c r="G10" s="536"/>
      <c r="H10" s="547"/>
      <c r="I10" s="534"/>
      <c r="J10" s="547"/>
      <c r="K10" s="535"/>
      <c r="L10" s="535"/>
      <c r="M10" s="535"/>
      <c r="N10" s="535"/>
      <c r="O10" s="535"/>
      <c r="P10" s="535"/>
      <c r="Q10" s="535"/>
      <c r="R10" s="535"/>
      <c r="S10" s="535"/>
      <c r="T10" s="536"/>
      <c r="U10" s="46"/>
      <c r="V10" s="46"/>
      <c r="W10" s="198"/>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row>
    <row r="11" spans="1:76" x14ac:dyDescent="0.25">
      <c r="B11" s="534"/>
      <c r="C11" s="535"/>
      <c r="D11" s="535"/>
      <c r="E11" s="535"/>
      <c r="F11" s="535"/>
      <c r="G11" s="536"/>
      <c r="H11" s="547"/>
      <c r="I11" s="534"/>
      <c r="J11" s="547"/>
      <c r="K11" s="535"/>
      <c r="L11" s="535"/>
      <c r="M11" s="535"/>
      <c r="N11" s="535"/>
      <c r="O11" s="535"/>
      <c r="P11" s="535"/>
      <c r="Q11" s="535"/>
      <c r="R11" s="535"/>
      <c r="S11" s="535"/>
      <c r="T11" s="53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row>
    <row r="12" spans="1:76" ht="15.75" thickBot="1" x14ac:dyDescent="0.3">
      <c r="B12" s="534"/>
      <c r="C12" s="535"/>
      <c r="D12" s="535"/>
      <c r="E12" s="535"/>
      <c r="F12" s="535"/>
      <c r="G12" s="536"/>
      <c r="H12" s="547"/>
      <c r="I12" s="534"/>
      <c r="J12" s="547"/>
      <c r="K12" s="538"/>
      <c r="L12" s="538"/>
      <c r="M12" s="538"/>
      <c r="N12" s="538"/>
      <c r="O12" s="538"/>
      <c r="P12" s="538"/>
      <c r="Q12" s="538"/>
      <c r="R12" s="538"/>
      <c r="S12" s="538"/>
      <c r="T12" s="539"/>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row>
    <row r="13" spans="1:76" x14ac:dyDescent="0.25">
      <c r="B13" s="534"/>
      <c r="C13" s="535"/>
      <c r="D13" s="535"/>
      <c r="E13" s="535"/>
      <c r="F13" s="535"/>
      <c r="G13" s="536"/>
      <c r="H13" s="547"/>
      <c r="I13" s="534"/>
      <c r="J13" s="547"/>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row>
    <row r="14" spans="1:76" ht="15.75" thickBot="1" x14ac:dyDescent="0.3">
      <c r="B14" s="534"/>
      <c r="C14" s="535"/>
      <c r="D14" s="535"/>
      <c r="E14" s="535"/>
      <c r="F14" s="535"/>
      <c r="G14" s="536"/>
      <c r="H14" s="547"/>
      <c r="I14" s="537"/>
      <c r="J14" s="547"/>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row>
    <row r="15" spans="1:76" x14ac:dyDescent="0.25">
      <c r="B15" s="534"/>
      <c r="C15" s="535"/>
      <c r="D15" s="535"/>
      <c r="E15" s="535"/>
      <c r="F15" s="535"/>
      <c r="G15" s="536"/>
      <c r="H15" s="547"/>
      <c r="J15" s="547"/>
    </row>
    <row r="16" spans="1:76" ht="15.75" thickBot="1" x14ac:dyDescent="0.3">
      <c r="B16" s="537"/>
      <c r="C16" s="538"/>
      <c r="D16" s="538"/>
      <c r="E16" s="538"/>
      <c r="F16" s="538"/>
      <c r="G16" s="539"/>
      <c r="H16" s="547"/>
      <c r="J16" s="547"/>
    </row>
    <row r="17" spans="8:10" x14ac:dyDescent="0.25">
      <c r="H17" s="547"/>
      <c r="J17" s="547"/>
    </row>
    <row r="18" spans="8:10" ht="15.75" thickBot="1" x14ac:dyDescent="0.3">
      <c r="H18" s="547"/>
      <c r="J18" s="548"/>
    </row>
    <row r="19" spans="8:10" x14ac:dyDescent="0.25">
      <c r="H19" s="547"/>
    </row>
    <row r="20" spans="8:10" x14ac:dyDescent="0.25">
      <c r="H20" s="547"/>
    </row>
    <row r="21" spans="8:10" x14ac:dyDescent="0.25">
      <c r="H21" s="547"/>
    </row>
    <row r="22" spans="8:10" x14ac:dyDescent="0.25">
      <c r="H22" s="547"/>
    </row>
    <row r="23" spans="8:10" x14ac:dyDescent="0.25">
      <c r="H23" s="547"/>
    </row>
    <row r="24" spans="8:10" x14ac:dyDescent="0.25">
      <c r="H24" s="547"/>
    </row>
    <row r="25" spans="8:10" ht="15.75" thickBot="1" x14ac:dyDescent="0.3">
      <c r="H25" s="548"/>
    </row>
  </sheetData>
  <sheetProtection formatCells="0" formatColumns="0" formatRows="0" insertColumns="0" insertRows="0" insertHyperlinks="0" deleteColumns="0" deleteRows="0" sort="0" autoFilter="0" pivotTables="0"/>
  <mergeCells count="25">
    <mergeCell ref="AA7:AE7"/>
    <mergeCell ref="AG7:AI7"/>
    <mergeCell ref="AJ7:AL7"/>
    <mergeCell ref="AN7:AP7"/>
    <mergeCell ref="A2:A4"/>
    <mergeCell ref="K3:T3"/>
    <mergeCell ref="U3:Z3"/>
    <mergeCell ref="AA3:AE3"/>
    <mergeCell ref="AG3:AI3"/>
    <mergeCell ref="B9:G16"/>
    <mergeCell ref="B3:G3"/>
    <mergeCell ref="B2:G2"/>
    <mergeCell ref="B7:G7"/>
    <mergeCell ref="AN3:AT3"/>
    <mergeCell ref="H9:H25"/>
    <mergeCell ref="I9:I14"/>
    <mergeCell ref="H7:J7"/>
    <mergeCell ref="J9:J18"/>
    <mergeCell ref="H3:J3"/>
    <mergeCell ref="H2:J2"/>
    <mergeCell ref="K2:AU2"/>
    <mergeCell ref="K9:T12"/>
    <mergeCell ref="AJ3:AL3"/>
    <mergeCell ref="K7:T7"/>
    <mergeCell ref="U7:Z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
  <sheetViews>
    <sheetView zoomScale="90" zoomScaleNormal="80" workbookViewId="0">
      <pane xSplit="1" topLeftCell="AD1" activePane="topRight" state="frozen"/>
      <selection pane="topRight" activeCell="AD3" sqref="AD3:AF3"/>
    </sheetView>
  </sheetViews>
  <sheetFormatPr defaultRowHeight="15" x14ac:dyDescent="0.25"/>
  <cols>
    <col min="1" max="1" width="11.140625" customWidth="1"/>
    <col min="2" max="2" width="22" bestFit="1" customWidth="1"/>
    <col min="3" max="3" width="22" customWidth="1"/>
    <col min="4" max="4" width="32.140625" bestFit="1" customWidth="1"/>
    <col min="5" max="5" width="40.85546875" bestFit="1" customWidth="1"/>
    <col min="6" max="6" width="28.42578125" customWidth="1"/>
    <col min="7" max="7" width="38.42578125" bestFit="1" customWidth="1"/>
    <col min="8" max="8" width="30.7109375" customWidth="1"/>
    <col min="9" max="9" width="38" bestFit="1" customWidth="1"/>
    <col min="10" max="10" width="61.28515625" bestFit="1" customWidth="1"/>
    <col min="11" max="11" width="78.140625" bestFit="1" customWidth="1"/>
    <col min="12" max="12" width="24.85546875" bestFit="1" customWidth="1"/>
    <col min="13" max="13" width="26.28515625" bestFit="1" customWidth="1"/>
    <col min="14" max="14" width="41.42578125" bestFit="1" customWidth="1"/>
    <col min="15" max="15" width="34.140625" bestFit="1" customWidth="1"/>
    <col min="16" max="16" width="47.7109375" bestFit="1" customWidth="1"/>
    <col min="17" max="17" width="41.5703125" bestFit="1" customWidth="1"/>
    <col min="18" max="18" width="61" bestFit="1" customWidth="1"/>
    <col min="19" max="19" width="54.28515625" bestFit="1" customWidth="1"/>
    <col min="20" max="20" width="54.28515625" customWidth="1"/>
    <col min="21" max="21" width="65" customWidth="1"/>
    <col min="22" max="22" width="42" bestFit="1" customWidth="1"/>
    <col min="23" max="25" width="28.5703125" bestFit="1" customWidth="1"/>
    <col min="26" max="26" width="34.5703125" bestFit="1" customWidth="1"/>
    <col min="27" max="27" width="41" bestFit="1" customWidth="1"/>
    <col min="28" max="28" width="33" bestFit="1" customWidth="1"/>
    <col min="29" max="29" width="48.7109375" bestFit="1" customWidth="1"/>
    <col min="30" max="30" width="23.85546875" bestFit="1" customWidth="1"/>
    <col min="31" max="31" width="58.7109375" bestFit="1" customWidth="1"/>
    <col min="32" max="32" width="48.7109375" customWidth="1"/>
    <col min="33" max="33" width="61.42578125" bestFit="1" customWidth="1"/>
    <col min="34" max="34" width="90.5703125" bestFit="1" customWidth="1"/>
  </cols>
  <sheetData>
    <row r="1" spans="1:62" ht="15.75" thickBot="1" x14ac:dyDescent="0.3">
      <c r="A1" s="123" t="str">
        <f>Overview!A1</f>
        <v>NERP file designed by Biju &amp; updated as of 07.10.2015</v>
      </c>
    </row>
    <row r="2" spans="1:62" ht="17.25" thickBot="1" x14ac:dyDescent="0.3">
      <c r="A2" s="552" t="s">
        <v>138</v>
      </c>
      <c r="B2" s="355" t="s">
        <v>60</v>
      </c>
      <c r="C2" s="355"/>
      <c r="D2" s="355"/>
      <c r="E2" s="355"/>
      <c r="F2" s="355"/>
      <c r="G2" s="355"/>
      <c r="H2" s="355"/>
      <c r="I2" s="355"/>
      <c r="J2" s="355"/>
      <c r="K2" s="355"/>
      <c r="L2" s="355"/>
      <c r="M2" s="355"/>
      <c r="N2" s="355"/>
      <c r="O2" s="355"/>
      <c r="P2" s="355"/>
      <c r="Q2" s="355"/>
      <c r="R2" s="355"/>
      <c r="S2" s="355"/>
      <c r="T2" s="355"/>
      <c r="U2" s="355"/>
      <c r="V2" s="355"/>
      <c r="W2" s="355"/>
      <c r="X2" s="355"/>
      <c r="Y2" s="355"/>
      <c r="Z2" s="355"/>
      <c r="AA2" s="355"/>
      <c r="AB2" s="355"/>
      <c r="AC2" s="355"/>
      <c r="AD2" s="355"/>
      <c r="AE2" s="355"/>
      <c r="AF2" s="355"/>
      <c r="AG2" s="356"/>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row>
    <row r="3" spans="1:62" ht="85.5" customHeight="1" thickBot="1" x14ac:dyDescent="0.3">
      <c r="A3" s="550"/>
      <c r="B3" s="363" t="s">
        <v>132</v>
      </c>
      <c r="C3" s="364"/>
      <c r="D3" s="364"/>
      <c r="E3" s="364"/>
      <c r="F3" s="364"/>
      <c r="G3" s="364"/>
      <c r="H3" s="364"/>
      <c r="I3" s="364"/>
      <c r="J3" s="364"/>
      <c r="K3" s="365"/>
      <c r="L3" s="363" t="s">
        <v>129</v>
      </c>
      <c r="M3" s="364"/>
      <c r="N3" s="364"/>
      <c r="O3" s="364"/>
      <c r="P3" s="365"/>
      <c r="Q3" s="363" t="s">
        <v>290</v>
      </c>
      <c r="R3" s="364"/>
      <c r="S3" s="364"/>
      <c r="T3" s="364"/>
      <c r="U3" s="365"/>
      <c r="V3" s="201" t="s">
        <v>126</v>
      </c>
      <c r="W3" s="503" t="str">
        <f>Overview!W3</f>
        <v>Indicator P4: Culturally appropriate recreational activities for girls, boys and adolescents organized in affected communities.
ACT Target: tbc</v>
      </c>
      <c r="X3" s="551"/>
      <c r="Y3" s="504"/>
      <c r="Z3" s="363" t="s">
        <v>295</v>
      </c>
      <c r="AA3" s="364"/>
      <c r="AB3" s="365"/>
      <c r="AC3" s="63" t="str">
        <f>Overview!Y3</f>
        <v>Indicator P5: Increased levels of knowledge on CBPS among participants.
ACT Target: tbc</v>
      </c>
      <c r="AD3" s="363" t="str">
        <f>Overview!Z3</f>
        <v>(ACT member staff and community/social workers and staff of partners trained in community based psychosocial support and/or psychological first aid.
Target: tbc</v>
      </c>
      <c r="AE3" s="364"/>
      <c r="AF3" s="365"/>
      <c r="AG3" s="63" t="s">
        <v>130</v>
      </c>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row>
    <row r="4" spans="1:62" ht="15.75" customHeight="1" x14ac:dyDescent="0.25">
      <c r="A4" s="552"/>
      <c r="B4" s="170" t="s">
        <v>133</v>
      </c>
      <c r="C4" s="170" t="s">
        <v>240</v>
      </c>
      <c r="D4" s="78" t="s">
        <v>287</v>
      </c>
      <c r="E4" s="204" t="s">
        <v>277</v>
      </c>
      <c r="F4" s="204" t="s">
        <v>256</v>
      </c>
      <c r="G4" s="204" t="s">
        <v>288</v>
      </c>
      <c r="H4" s="150" t="s">
        <v>259</v>
      </c>
      <c r="I4" s="150" t="s">
        <v>260</v>
      </c>
      <c r="J4" s="150" t="s">
        <v>261</v>
      </c>
      <c r="K4" s="208" t="s">
        <v>289</v>
      </c>
      <c r="L4" s="76" t="s">
        <v>59</v>
      </c>
      <c r="M4" s="72" t="s">
        <v>139</v>
      </c>
      <c r="N4" s="72" t="s">
        <v>127</v>
      </c>
      <c r="O4" s="72" t="s">
        <v>125</v>
      </c>
      <c r="P4" s="83" t="s">
        <v>140</v>
      </c>
      <c r="Q4" s="209" t="s">
        <v>291</v>
      </c>
      <c r="R4" s="72" t="s">
        <v>292</v>
      </c>
      <c r="S4" s="72" t="s">
        <v>293</v>
      </c>
      <c r="T4" s="83" t="s">
        <v>350</v>
      </c>
      <c r="U4" s="73" t="s">
        <v>294</v>
      </c>
      <c r="V4" s="166" t="s">
        <v>58</v>
      </c>
      <c r="W4" s="204" t="s">
        <v>285</v>
      </c>
      <c r="X4" s="204" t="s">
        <v>286</v>
      </c>
      <c r="Y4" s="203" t="s">
        <v>296</v>
      </c>
      <c r="Z4" s="79" t="s">
        <v>250</v>
      </c>
      <c r="AA4" s="79" t="s">
        <v>297</v>
      </c>
      <c r="AB4" s="79" t="s">
        <v>254</v>
      </c>
      <c r="AC4" s="77" t="s">
        <v>82</v>
      </c>
      <c r="AD4" s="77" t="s">
        <v>299</v>
      </c>
      <c r="AE4" s="77" t="s">
        <v>351</v>
      </c>
      <c r="AF4" s="77" t="s">
        <v>352</v>
      </c>
      <c r="AG4" s="77" t="s">
        <v>141</v>
      </c>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row>
    <row r="5" spans="1:62" x14ac:dyDescent="0.25">
      <c r="A5" s="168" t="s">
        <v>145</v>
      </c>
      <c r="B5" s="170">
        <f>SUM(E5,G5,I5,K5)</f>
        <v>7548</v>
      </c>
      <c r="C5" s="170">
        <f>SUM(D5,F5,H5,J5)</f>
        <v>155</v>
      </c>
      <c r="D5" s="78">
        <v>15</v>
      </c>
      <c r="E5" s="221">
        <v>341</v>
      </c>
      <c r="F5" s="221">
        <v>13</v>
      </c>
      <c r="G5" s="222">
        <v>93</v>
      </c>
      <c r="H5" s="223">
        <v>81</v>
      </c>
      <c r="I5" s="224">
        <v>4093</v>
      </c>
      <c r="J5" s="224">
        <v>46</v>
      </c>
      <c r="K5" s="225">
        <v>3021</v>
      </c>
      <c r="L5" s="169">
        <v>3</v>
      </c>
      <c r="M5" s="126"/>
      <c r="N5" s="126"/>
      <c r="O5" s="126"/>
      <c r="P5" s="126"/>
      <c r="Q5" s="120"/>
      <c r="R5" s="125">
        <v>176</v>
      </c>
      <c r="S5" s="125"/>
      <c r="T5" s="126">
        <v>440</v>
      </c>
      <c r="U5" s="127"/>
      <c r="V5" s="167">
        <v>9</v>
      </c>
      <c r="W5" s="226">
        <v>3</v>
      </c>
      <c r="X5" s="226">
        <v>58</v>
      </c>
      <c r="Y5" s="227">
        <v>3</v>
      </c>
      <c r="Z5" s="227">
        <v>149</v>
      </c>
      <c r="AA5" s="227">
        <v>2091</v>
      </c>
      <c r="AB5" s="227">
        <v>201</v>
      </c>
      <c r="AC5" s="172" t="s">
        <v>82</v>
      </c>
      <c r="AD5" s="228">
        <v>7</v>
      </c>
      <c r="AE5" s="228">
        <v>31</v>
      </c>
      <c r="AF5" s="228"/>
      <c r="AG5" s="77"/>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row>
    <row r="6" spans="1:62" s="128" customFormat="1" ht="15.75" thickBot="1" x14ac:dyDescent="0.3">
      <c r="A6" s="156"/>
      <c r="B6" s="383" t="str">
        <f>"Total # of beneficiaries for indicator P1: "&amp;B5</f>
        <v>Total # of beneficiaries for indicator P1: 7548</v>
      </c>
      <c r="C6" s="384"/>
      <c r="D6" s="384"/>
      <c r="E6" s="384"/>
      <c r="F6" s="384"/>
      <c r="G6" s="384"/>
      <c r="H6" s="384"/>
      <c r="I6" s="384"/>
      <c r="J6" s="384"/>
      <c r="K6" s="384"/>
      <c r="L6" s="383" t="str">
        <f>"Total networks formed for indicator P2: "&amp;ROUND(SUM(L5),0)</f>
        <v>Total networks formed for indicator P2: 3</v>
      </c>
      <c r="M6" s="384"/>
      <c r="N6" s="384"/>
      <c r="O6" s="384"/>
      <c r="P6" s="384"/>
      <c r="Q6" s="383" t="str">
        <f>"Total # of beneficiaries for indicator PX2: "&amp;ROUND(SUM(Q5:U5),0)</f>
        <v>Total # of beneficiaries for indicator PX2: 616</v>
      </c>
      <c r="R6" s="384"/>
      <c r="S6" s="384"/>
      <c r="T6" s="384"/>
      <c r="U6" s="438"/>
      <c r="V6" s="155" t="str">
        <f>"Total # of spaces created for indicator P3: "&amp;ROUND(SUM(V5:V5),0)</f>
        <v>Total # of spaces created for indicator P3: 9</v>
      </c>
      <c r="W6" s="384" t="str">
        <f>"Total # of activities conducted for indicator P4: "&amp;ROUND(SUM(W5,X5,Y5),0)</f>
        <v>Total # of activities conducted for indicator P4: 64</v>
      </c>
      <c r="X6" s="384"/>
      <c r="Y6" s="438"/>
      <c r="Z6" s="383" t="str">
        <f>"Total # of beneficiaries for PX4: "&amp;ROUND(SUM(Z5,AA5,AB5),0)</f>
        <v>Total # of beneficiaries for PX4: 2441</v>
      </c>
      <c r="AA6" s="384"/>
      <c r="AB6" s="438"/>
      <c r="AC6" s="130" t="s">
        <v>298</v>
      </c>
      <c r="AD6" s="486" t="str">
        <f>"Total # trained for indicator PX5: "&amp;SUM(AD5:AF5)</f>
        <v>Total # trained for indicator PX5: 38</v>
      </c>
      <c r="AE6" s="487"/>
      <c r="AF6" s="488"/>
      <c r="AG6" s="130" t="str">
        <f>"Total # for indicator P6: "&amp;ROUND(SUM(AG5:AG5),0)</f>
        <v>Total # for indicator P6: 0</v>
      </c>
    </row>
    <row r="7" spans="1:62" ht="15.75" thickBot="1" x14ac:dyDescent="0.3"/>
    <row r="8" spans="1:62" ht="15" customHeight="1" x14ac:dyDescent="0.25">
      <c r="B8" s="531" t="s">
        <v>147</v>
      </c>
      <c r="C8" s="532"/>
      <c r="D8" s="532"/>
      <c r="E8" s="532"/>
      <c r="F8" s="532"/>
      <c r="G8" s="532"/>
      <c r="H8" s="532"/>
      <c r="I8" s="532"/>
      <c r="J8" s="532"/>
      <c r="K8" s="533"/>
      <c r="L8" s="46"/>
      <c r="M8" s="46"/>
      <c r="N8" s="198"/>
      <c r="O8" s="46"/>
      <c r="P8" s="46"/>
      <c r="Q8" s="46"/>
      <c r="R8" s="46"/>
      <c r="S8" s="46"/>
      <c r="T8" s="46"/>
      <c r="U8" s="46"/>
      <c r="V8" s="46"/>
      <c r="W8" s="46"/>
      <c r="X8" s="46"/>
      <c r="Y8" s="46"/>
      <c r="Z8" s="46"/>
      <c r="AA8" s="46"/>
      <c r="AB8" s="46"/>
      <c r="AC8" s="46"/>
      <c r="AD8" s="46"/>
      <c r="AE8" s="46"/>
      <c r="AF8" s="46"/>
      <c r="AG8" s="46"/>
    </row>
    <row r="9" spans="1:62" x14ac:dyDescent="0.25">
      <c r="B9" s="534"/>
      <c r="C9" s="535"/>
      <c r="D9" s="535"/>
      <c r="E9" s="535"/>
      <c r="F9" s="535"/>
      <c r="G9" s="535"/>
      <c r="H9" s="535"/>
      <c r="I9" s="535"/>
      <c r="J9" s="535"/>
      <c r="K9" s="536"/>
      <c r="L9" s="46"/>
      <c r="M9" s="46"/>
      <c r="N9" s="198"/>
      <c r="O9" s="46"/>
      <c r="P9" s="46"/>
      <c r="Q9" s="46"/>
      <c r="R9" s="46"/>
      <c r="S9" s="46"/>
      <c r="T9" s="46"/>
      <c r="U9" s="46"/>
      <c r="V9" s="46"/>
      <c r="W9" s="46"/>
      <c r="X9" s="46"/>
      <c r="Y9" s="46"/>
      <c r="Z9" s="46"/>
      <c r="AA9" s="46"/>
      <c r="AB9" s="46"/>
      <c r="AC9" s="46"/>
      <c r="AD9" s="46"/>
      <c r="AE9" s="46"/>
      <c r="AF9" s="46"/>
      <c r="AG9" s="46"/>
    </row>
    <row r="10" spans="1:62" x14ac:dyDescent="0.25">
      <c r="B10" s="534"/>
      <c r="C10" s="535"/>
      <c r="D10" s="535"/>
      <c r="E10" s="535"/>
      <c r="F10" s="535"/>
      <c r="G10" s="535"/>
      <c r="H10" s="535"/>
      <c r="I10" s="535"/>
      <c r="J10" s="535"/>
      <c r="K10" s="536"/>
      <c r="L10" s="46"/>
      <c r="M10" s="46"/>
      <c r="N10" s="46"/>
      <c r="O10" s="46"/>
      <c r="P10" s="46"/>
      <c r="Q10" s="46"/>
      <c r="R10" s="46"/>
      <c r="S10" s="46"/>
      <c r="T10" s="46"/>
      <c r="U10" s="46"/>
      <c r="V10" s="46"/>
      <c r="W10" s="46"/>
      <c r="X10" s="46"/>
      <c r="Y10" s="46"/>
      <c r="Z10" s="46"/>
      <c r="AA10" s="46"/>
      <c r="AB10" s="46"/>
      <c r="AC10" s="46"/>
      <c r="AD10" s="46"/>
      <c r="AE10" s="46"/>
      <c r="AF10" s="46"/>
      <c r="AG10" s="46"/>
    </row>
    <row r="11" spans="1:62" ht="15.75" thickBot="1" x14ac:dyDescent="0.3">
      <c r="B11" s="537"/>
      <c r="C11" s="538"/>
      <c r="D11" s="538"/>
      <c r="E11" s="538"/>
      <c r="F11" s="538"/>
      <c r="G11" s="538"/>
      <c r="H11" s="538"/>
      <c r="I11" s="538"/>
      <c r="J11" s="538"/>
      <c r="K11" s="539"/>
      <c r="L11" s="46"/>
      <c r="M11" s="46"/>
      <c r="N11" s="46"/>
      <c r="O11" s="46"/>
      <c r="P11" s="46"/>
      <c r="Q11" s="46"/>
      <c r="R11" s="46"/>
      <c r="S11" s="46"/>
      <c r="T11" s="46"/>
      <c r="U11" s="46"/>
      <c r="V11" s="46"/>
      <c r="W11" s="46"/>
      <c r="X11" s="46"/>
      <c r="Y11" s="46"/>
      <c r="Z11" s="46"/>
      <c r="AA11" s="46"/>
      <c r="AB11" s="46"/>
      <c r="AC11" s="46"/>
      <c r="AD11" s="46"/>
      <c r="AE11" s="46"/>
      <c r="AF11" s="46"/>
      <c r="AG11" s="46"/>
    </row>
    <row r="12" spans="1:62" x14ac:dyDescent="0.25">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row>
    <row r="13" spans="1:62" x14ac:dyDescent="0.25">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row>
    <row r="14" spans="1:62" x14ac:dyDescent="0.25">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row>
    <row r="15" spans="1:62" x14ac:dyDescent="0.25">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row>
    <row r="16" spans="1:62" x14ac:dyDescent="0.25">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row>
    <row r="17" spans="2:33" x14ac:dyDescent="0.25">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row>
    <row r="18" spans="2:33" x14ac:dyDescent="0.25">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row>
    <row r="19" spans="2:33" x14ac:dyDescent="0.25">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row>
  </sheetData>
  <sheetProtection formatCells="0" formatColumns="0" formatRows="0" insertColumns="0" insertRows="0" insertHyperlinks="0" deleteColumns="0" deleteRows="0" sort="0" autoFilter="0" pivotTables="0"/>
  <mergeCells count="15">
    <mergeCell ref="B8:K11"/>
    <mergeCell ref="A2:A4"/>
    <mergeCell ref="B2:AG2"/>
    <mergeCell ref="B3:K3"/>
    <mergeCell ref="L3:P3"/>
    <mergeCell ref="W3:Y3"/>
    <mergeCell ref="B6:K6"/>
    <mergeCell ref="L6:P6"/>
    <mergeCell ref="W6:Y6"/>
    <mergeCell ref="Q3:U3"/>
    <mergeCell ref="Q6:U6"/>
    <mergeCell ref="Z3:AB3"/>
    <mergeCell ref="Z6:AB6"/>
    <mergeCell ref="AD6:AF6"/>
    <mergeCell ref="AD3:AF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Indicator Tracking</vt:lpstr>
      <vt:lpstr>Overview</vt:lpstr>
      <vt:lpstr>ECO-Nepal (Gorkha)</vt:lpstr>
      <vt:lpstr>FAYA-Nepal (Dhading)</vt:lpstr>
      <vt:lpstr>FSCN (LTP &amp; BKT)</vt:lpstr>
      <vt:lpstr>WOREC LTP &amp; BKT)</vt:lpstr>
      <vt:lpstr>POURAKHI (Dhading)</vt:lpstr>
    </vt:vector>
  </TitlesOfParts>
  <Manager/>
  <Company>DCA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NERP File - EEP 2015</dc:title>
  <dc:subject>EEP Beneficiary Tracking</dc:subject>
  <dc:creator>bial@dca.dk;Biju Ale</dc:creator>
  <cp:keywords>Beneficiary Tracking</cp:keywords>
  <cp:lastModifiedBy>Biju Ale</cp:lastModifiedBy>
  <dcterms:created xsi:type="dcterms:W3CDTF">2006-09-16T00:00:00Z</dcterms:created>
  <dcterms:modified xsi:type="dcterms:W3CDTF">2015-10-15T04:50:18Z</dcterms:modified>
  <cp:contentStatus>Living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Biju Ale; Andrew Pearlman; David Smith</vt:lpwstr>
  </property>
  <property fmtid="{D5CDD505-2E9C-101B-9397-08002B2CF9AE}" pid="3" name="Division">
    <vt:lpwstr>Humanitarian Response</vt:lpwstr>
  </property>
  <property fmtid="{D5CDD505-2E9C-101B-9397-08002B2CF9AE}" pid="4" name="Project">
    <vt:lpwstr>Nepal Earthquake Emergency Response Project-2015/16</vt:lpwstr>
  </property>
  <property fmtid="{D5CDD505-2E9C-101B-9397-08002B2CF9AE}" pid="5" name="Publisher">
    <vt:lpwstr>Biju Ale</vt:lpwstr>
  </property>
  <property fmtid="{D5CDD505-2E9C-101B-9397-08002B2CF9AE}" pid="6" name="Office">
    <vt:lpwstr>DanChurchAid SARO-Nepal</vt:lpwstr>
  </property>
  <property fmtid="{D5CDD505-2E9C-101B-9397-08002B2CF9AE}" pid="7" name="Language">
    <vt:lpwstr>English (EN)</vt:lpwstr>
  </property>
</Properties>
</file>