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Excel/"/>
    </mc:Choice>
  </mc:AlternateContent>
  <xr:revisionPtr revIDLastSave="119" documentId="11_347BEA9B713D796AD758F3B623390FAC947E4A14" xr6:coauthVersionLast="47" xr6:coauthVersionMax="47" xr10:uidLastSave="{D85F0643-99C9-47D9-A38F-00A0F290D4CD}"/>
  <bookViews>
    <workbookView xWindow="-110" yWindow="-110" windowWidth="19420" windowHeight="10420" xr2:uid="{00000000-000D-0000-FFFF-FFFF00000000}"/>
  </bookViews>
  <sheets>
    <sheet name="О ПРОГРАММЕ" sheetId="23" r:id="rId1"/>
    <sheet name="ФИНАНСОВАЯ МОДЕЛЬ" sheetId="3" r:id="rId2"/>
    <sheet name="ТРАФИК САЙТА" sheetId="4" r:id="rId3"/>
    <sheet name="ВЫРУЧКА" sheetId="21" r:id="rId4"/>
    <sheet name="СЕБЕСТОИМОСТЬ" sheetId="22" r:id="rId5"/>
    <sheet name="РАСХОДЫ НА МАРКЕТИНГ" sheetId="7" r:id="rId6"/>
    <sheet name="ЗАКАЗ" sheetId="5" r:id="rId7"/>
    <sheet name="КЛИЕНТЫ" sheetId="6" r:id="rId8"/>
    <sheet name="ОПЕРАЦИОННЫЕ РАСХОДЫ" sheetId="19" r:id="rId9"/>
    <sheet name="CData" sheetId="20" state="hidden" r:id="rId10"/>
    <sheet name="_SSC" sheetId="24" state="veryHidden" r:id="rId11"/>
  </sheets>
  <externalReferences>
    <externalReference r:id="rId12"/>
  </externalReferences>
  <definedNames>
    <definedName name="_Ctrl_1" hidden="1">'ФИНАНСОВАЯ МОДЕЛЬ'!$B$8</definedName>
    <definedName name="_Ctrl_10" hidden="1">ВЫРУЧКА!$C$16</definedName>
    <definedName name="_Ctrl_1000" hidden="1">'[1]Валовая прибыль и наценка'!#REF!</definedName>
    <definedName name="_Ctrl_1010" hidden="1">'[1]Валовая прибыль и наценка'!#REF!</definedName>
    <definedName name="_Ctrl_11" hidden="1">ВЫРУЧКА!$C$17</definedName>
    <definedName name="_Ctrl_12" hidden="1">ВЫРУЧКА!$C$18</definedName>
    <definedName name="_Ctrl_13" hidden="1">ВЫРУЧКА!$C$19</definedName>
    <definedName name="_Ctrl_14" hidden="1">ВЫРУЧКА!$C$20</definedName>
    <definedName name="_Ctrl_15" hidden="1">СЕБЕСТОИМОСТЬ!$C$16</definedName>
    <definedName name="_Ctrl_16" hidden="1">'РАСХОДЫ НА МАРКЕТИНГ'!$C$24</definedName>
    <definedName name="_Ctrl_17" hidden="1">'РАСХОДЫ НА МАРКЕТИНГ'!$C$25</definedName>
    <definedName name="_Ctrl_18" hidden="1">'РАСХОДЫ НА МАРКЕТИНГ'!$C$26</definedName>
    <definedName name="_Ctrl_19" hidden="1">'РАСХОДЫ НА МАРКЕТИНГ'!$C$27</definedName>
    <definedName name="_Ctrl_2" hidden="1">'ТРАФИК САЙТА'!$C$16</definedName>
    <definedName name="_Ctrl_20" hidden="1">ЗАКАЗ!$C$16</definedName>
    <definedName name="_Ctrl_21" hidden="1">ЗАКАЗ!$C$20</definedName>
    <definedName name="_Ctrl_22" hidden="1">ЗАКАЗ!$C$21</definedName>
    <definedName name="_Ctrl_23" hidden="1">КЛИЕНТЫ!$C$10</definedName>
    <definedName name="_Ctrl_24" hidden="1">КЛИЕНТЫ!$C$11</definedName>
    <definedName name="_Ctrl_25" hidden="1">'ОПЕРАЦИОННЫЕ РАСХОДЫ'!$C$41</definedName>
    <definedName name="_Ctrl_26" hidden="1">'ОПЕРАЦИОННЫЕ РАСХОДЫ'!$C$42</definedName>
    <definedName name="_Ctrl_27" hidden="1">'ОПЕРАЦИОННЫЕ РАСХОДЫ'!$C$43</definedName>
    <definedName name="_Ctrl_28" hidden="1">'ОПЕРАЦИОННЫЕ РАСХОДЫ'!$C$48</definedName>
    <definedName name="_Ctrl_29" hidden="1">'ОПЕРАЦИОННЫЕ РАСХОДЫ'!$C$49</definedName>
    <definedName name="_Ctrl_3" hidden="1">'ТРАФИК САЙТА'!$C$17</definedName>
    <definedName name="_Ctrl_30" hidden="1">'ОПЕРАЦИОННЫЕ РАСХОДЫ'!$C$50</definedName>
    <definedName name="_Ctrl_31" hidden="1">'ОПЕРАЦИОННЫЕ РАСХОДЫ'!$C$55</definedName>
    <definedName name="_Ctrl_32" hidden="1">'ОПЕРАЦИОННЫЕ РАСХОДЫ'!$C$56</definedName>
    <definedName name="_Ctrl_33" hidden="1">'ОПЕРАЦИОННЫЕ РАСХОДЫ'!$C$57</definedName>
    <definedName name="_Ctrl_34" hidden="1">'ОПЕРАЦИОННЫЕ РАСХОДЫ'!$C$62</definedName>
    <definedName name="_Ctrl_35" hidden="1">'ОПЕРАЦИОННЫЕ РАСХОДЫ'!$C$63</definedName>
    <definedName name="_Ctrl_36" hidden="1">'ОПЕРАЦИОННЫЕ РАСХОДЫ'!$C$64</definedName>
    <definedName name="_Ctrl_37" hidden="1">'ОПЕРАЦИОННЫЕ РАСХОДЫ'!$C$69</definedName>
    <definedName name="_Ctrl_38" hidden="1">'ОПЕРАЦИОННЫЕ РАСХОДЫ'!$C$70</definedName>
    <definedName name="_Ctrl_39" hidden="1">'ОПЕРАЦИОННЫЕ РАСХОДЫ'!$C$71</definedName>
    <definedName name="_Ctrl_4" hidden="1">'ТРАФИК САЙТА'!$C$18</definedName>
    <definedName name="_Ctrl_40" hidden="1">'ОПЕРАЦИОННЫЕ РАСХОДЫ'!$C$76</definedName>
    <definedName name="_Ctrl_41" hidden="1">'ОПЕРАЦИОННЫЕ РАСХОДЫ'!$C$77</definedName>
    <definedName name="_Ctrl_42" hidden="1">'ОПЕРАЦИОННЫЕ РАСХОДЫ'!$C$78</definedName>
    <definedName name="_Ctrl_43" hidden="1">'ОПЕРАЦИОННЫЕ РАСХОДЫ'!$C$83</definedName>
    <definedName name="_Ctrl_44" hidden="1">'ОПЕРАЦИОННЫЕ РАСХОДЫ'!$C$84</definedName>
    <definedName name="_Ctrl_45" hidden="1">'ОПЕРАЦИОННЫЕ РАСХОДЫ'!$C$85</definedName>
    <definedName name="_Ctrl_46" hidden="1">'ОПЕРАЦИОННЫЕ РАСХОДЫ'!$C$86</definedName>
    <definedName name="_Ctrl_47" hidden="1">'ОПЕРАЦИОННЫЕ РАСХОДЫ'!$C$87</definedName>
    <definedName name="_Ctrl_48" hidden="1">'ОПЕРАЦИОННЫЕ РАСХОДЫ'!$C$88</definedName>
    <definedName name="_Ctrl_49" hidden="1">'ОПЕРАЦИОННЫЕ РАСХОДЫ'!$C$89</definedName>
    <definedName name="_Ctrl_5" hidden="1">'ТРАФИК САЙТА'!$C$19</definedName>
    <definedName name="_Ctrl_50" hidden="1">'ОПЕРАЦИОННЫЕ РАСХОДЫ'!$C$90</definedName>
    <definedName name="_Ctrl_51" hidden="1">'ОПЕРАЦИОННЫЕ РАСХОДЫ'!$C$91</definedName>
    <definedName name="_Ctrl_52" hidden="1">'ОПЕРАЦИОННЫЕ РАСХОДЫ'!$C$92</definedName>
    <definedName name="_Ctrl_53" hidden="1">'ОПЕРАЦИОННЫЕ РАСХОДЫ'!$C$93</definedName>
    <definedName name="_Ctrl_54" hidden="1">'ОПЕРАЦИОННЫЕ РАСХОДЫ'!$C$94</definedName>
    <definedName name="_Ctrl_55" hidden="1">'ОПЕРАЦИОННЫЕ РАСХОДЫ'!$C$95</definedName>
    <definedName name="_Ctrl_56" hidden="1">'ОПЕРАЦИОННЫЕ РАСХОДЫ'!$C$96</definedName>
    <definedName name="_Ctrl_57" hidden="1">'ОПЕРАЦИОННЫЕ РАСХОДЫ'!$C$97</definedName>
    <definedName name="_Ctrl_58" hidden="1">'ОПЕРАЦИОННЫЕ РАСХОДЫ'!$C$98</definedName>
    <definedName name="_Ctrl_59" hidden="1">'ФИНАНСОВАЯ МОДЕЛЬ'!#REF!</definedName>
    <definedName name="_Ctrl_6" hidden="1">'ТРАФИК САЙТА'!$C$30</definedName>
    <definedName name="_Ctrl_60" hidden="1">#REF!</definedName>
    <definedName name="_Ctrl_60_H" hidden="1">#REF!</definedName>
    <definedName name="_Ctrl_61" hidden="1">#REF!</definedName>
    <definedName name="_Ctrl_61_H" hidden="1">#REF!</definedName>
    <definedName name="_Ctrl_62" hidden="1">'ОПЕРАЦИОННЫЕ РАСХОДЫ'!$C$31</definedName>
    <definedName name="_Ctrl_7" hidden="1">'ТРАФИК САЙТА'!$C$31</definedName>
    <definedName name="_Ctrl_8" hidden="1">'ТРАФИК САЙТА'!$C$32</definedName>
    <definedName name="_Ctrl_9" hidden="1">'ТРАФИК САЙТА'!$C$33</definedName>
    <definedName name="CIQWBGuid" hidden="1">"3a76856e-063b-4329-b2c5-ae285df6792b"</definedName>
    <definedName name="CTRL_2" hidden="1">'[1]Валовая прибыль и наценка'!#REF!</definedName>
    <definedName name="CTRL_2_H" hidden="1">'[1]Валовая прибыль и наценка'!#REF!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Titles" localSheetId="8">'ОПЕРАЦИОННЫЕ РАСХОДЫ'!#REF!</definedName>
    <definedName name="_xlnm.Print_Titles" localSheetId="2">'ТРАФИК САЙТА'!#REF!</definedName>
    <definedName name="_xlnm.Print_Titles" localSheetId="1">'ФИНАНСОВАЯ МОДЕЛЬ'!#REF!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4" l="1"/>
  <c r="C24" i="4"/>
  <c r="C25" i="4"/>
  <c r="C26" i="4"/>
  <c r="C27" i="4"/>
  <c r="C21" i="7"/>
  <c r="C21" i="21"/>
  <c r="C22" i="21"/>
  <c r="C37" i="4"/>
  <c r="C38" i="4"/>
  <c r="C39" i="4"/>
  <c r="C40" i="4"/>
  <c r="C41" i="4"/>
  <c r="C3" i="21"/>
  <c r="C2" i="21"/>
  <c r="C4" i="3"/>
  <c r="C30" i="19"/>
  <c r="C17" i="3"/>
  <c r="C18" i="3"/>
  <c r="C20" i="19"/>
  <c r="C26" i="21"/>
  <c r="C17" i="7"/>
  <c r="C18" i="7"/>
  <c r="C20" i="7"/>
  <c r="B11" i="19"/>
  <c r="B10" i="19"/>
  <c r="B2" i="19"/>
  <c r="B6" i="4"/>
  <c r="B5" i="4"/>
  <c r="B4" i="4"/>
  <c r="B3" i="4"/>
  <c r="B2" i="4"/>
  <c r="C99" i="19"/>
  <c r="C38" i="3"/>
  <c r="C79" i="19"/>
  <c r="C36" i="3"/>
  <c r="C72" i="19"/>
  <c r="C34" i="3"/>
  <c r="C65" i="19"/>
  <c r="C32" i="3"/>
  <c r="C58" i="19"/>
  <c r="C30" i="3"/>
  <c r="C51" i="19"/>
  <c r="C28" i="3"/>
  <c r="C44" i="19"/>
  <c r="B18" i="22"/>
  <c r="B4" i="21"/>
  <c r="C22" i="5"/>
  <c r="B25" i="7"/>
  <c r="B26" i="7"/>
  <c r="B27" i="7"/>
  <c r="B24" i="7"/>
  <c r="B38" i="4"/>
  <c r="B39" i="4"/>
  <c r="B40" i="4"/>
  <c r="B37" i="4"/>
  <c r="B31" i="4"/>
  <c r="B32" i="4"/>
  <c r="B33" i="4"/>
  <c r="B30" i="4"/>
  <c r="B21" i="7"/>
  <c r="B16" i="7"/>
  <c r="B26" i="4"/>
  <c r="B20" i="7"/>
  <c r="B25" i="4"/>
  <c r="B19" i="7"/>
  <c r="B24" i="4"/>
  <c r="B18" i="7"/>
  <c r="B23" i="4"/>
  <c r="B17" i="7"/>
  <c r="C20" i="4"/>
  <c r="C19" i="7"/>
  <c r="C102" i="19"/>
  <c r="C26" i="3"/>
  <c r="C40" i="3"/>
  <c r="C18" i="22"/>
  <c r="C13" i="6"/>
  <c r="C14" i="6"/>
  <c r="C16" i="6"/>
  <c r="C17" i="6"/>
  <c r="C25" i="21"/>
  <c r="C27" i="21"/>
  <c r="C4" i="21"/>
  <c r="C13" i="5"/>
  <c r="C26" i="5"/>
  <c r="C25" i="19"/>
  <c r="C34" i="4"/>
  <c r="C17" i="22"/>
  <c r="C19" i="22"/>
  <c r="C5" i="3"/>
  <c r="C3" i="22"/>
  <c r="C5" i="21"/>
  <c r="C6" i="21"/>
  <c r="C24" i="5"/>
  <c r="C20" i="22"/>
  <c r="C17" i="5"/>
  <c r="C19" i="19"/>
  <c r="C13" i="3"/>
  <c r="C27" i="5"/>
  <c r="C25" i="5"/>
  <c r="C23" i="19"/>
  <c r="C27" i="19"/>
  <c r="C15" i="3"/>
  <c r="C28" i="5"/>
  <c r="C29" i="5" s="1"/>
  <c r="C103" i="19"/>
  <c r="C2" i="5"/>
  <c r="C2" i="22"/>
  <c r="C16" i="3"/>
  <c r="C7" i="3"/>
  <c r="C2" i="4"/>
  <c r="C39" i="3"/>
  <c r="C35" i="3"/>
  <c r="C31" i="3"/>
  <c r="C27" i="3"/>
  <c r="C14" i="3"/>
  <c r="C6" i="3"/>
  <c r="C4" i="22"/>
  <c r="C66" i="19"/>
  <c r="C24" i="19"/>
  <c r="C59" i="19"/>
  <c r="C28" i="19"/>
  <c r="C2" i="19"/>
  <c r="C2" i="7"/>
  <c r="C41" i="3"/>
  <c r="C37" i="3"/>
  <c r="C33" i="3"/>
  <c r="C29" i="3"/>
  <c r="C52" i="19"/>
  <c r="C100" i="19"/>
  <c r="C73" i="19"/>
  <c r="C26" i="19"/>
  <c r="C80" i="19"/>
  <c r="C45" i="19"/>
  <c r="C5" i="22"/>
  <c r="C8" i="3"/>
  <c r="C6" i="22"/>
  <c r="C28" i="7"/>
  <c r="C13" i="7"/>
  <c r="C14" i="7" s="1"/>
  <c r="C18" i="19" s="1"/>
  <c r="C17" i="19"/>
  <c r="C11" i="3"/>
  <c r="C12" i="3" s="1"/>
  <c r="C4" i="4" s="1"/>
  <c r="C19" i="3"/>
  <c r="C20" i="3" s="1"/>
  <c r="C22" i="3"/>
  <c r="C58" i="3"/>
  <c r="C52" i="3"/>
  <c r="C50" i="3"/>
  <c r="C54" i="3"/>
  <c r="C10" i="4"/>
  <c r="C6" i="19"/>
  <c r="C8" i="7"/>
  <c r="C10" i="22"/>
  <c r="C10" i="21"/>
  <c r="C8" i="5"/>
  <c r="C4" i="6"/>
  <c r="C56" i="3"/>
  <c r="C11" i="21"/>
  <c r="C11" i="22"/>
  <c r="C11" i="4"/>
  <c r="C5" i="6"/>
  <c r="C9" i="7"/>
  <c r="C9" i="5"/>
  <c r="C7" i="19"/>
  <c r="C9" i="21"/>
  <c r="C7" i="7"/>
  <c r="C7" i="5"/>
  <c r="C9" i="22"/>
  <c r="C9" i="4"/>
  <c r="C3" i="6"/>
  <c r="C5" i="19"/>
  <c r="C12" i="4"/>
  <c r="C12" i="22"/>
  <c r="C12" i="21"/>
  <c r="C10" i="5"/>
  <c r="C6" i="6"/>
  <c r="C8" i="19"/>
  <c r="C10" i="7"/>
  <c r="C43" i="3"/>
  <c r="C44" i="3"/>
  <c r="C11" i="19"/>
  <c r="C10" i="19"/>
  <c r="C23" i="3"/>
  <c r="C6" i="4"/>
  <c r="C4" i="5"/>
  <c r="C4" i="7"/>
  <c r="C5" i="4"/>
  <c r="C3" i="5"/>
  <c r="C3" i="7"/>
  <c r="C8" i="22"/>
  <c r="C8" i="21"/>
  <c r="C8" i="4"/>
  <c r="C6" i="5"/>
  <c r="C2" i="6"/>
  <c r="C4" i="19"/>
  <c r="C6" i="7"/>
  <c r="C33" i="19"/>
  <c r="C34" i="19" s="1"/>
  <c r="C3" i="4"/>
</calcChain>
</file>

<file path=xl/sharedStrings.xml><?xml version="1.0" encoding="utf-8"?>
<sst xmlns="http://schemas.openxmlformats.org/spreadsheetml/2006/main" count="379" uniqueCount="270">
  <si>
    <t>СИСТЕМА БИЗНЕС КАЛЬКУЛЯТОР.PRO</t>
  </si>
  <si>
    <t>ФИНАНСОВАЯ МОДЕЛЬ E-COMMERCE V2.1</t>
  </si>
  <si>
    <t>© Корягин Ю.В. , 2018-2022</t>
  </si>
  <si>
    <t>https://businesscalculator.pro/ecommerce/shop/</t>
  </si>
  <si>
    <t>ПРОГНОЗНЫЙ ОТЧЕТ О ПРИБЫЛЯХ И УБЫТКАХ</t>
  </si>
  <si>
    <t>12 МЕС</t>
  </si>
  <si>
    <t>Выручка</t>
  </si>
  <si>
    <t>Себестоимость проданных товаров</t>
  </si>
  <si>
    <t>% от выручки</t>
  </si>
  <si>
    <t>Валовая прибыль</t>
  </si>
  <si>
    <t>Валовая рентабельность, %</t>
  </si>
  <si>
    <t>Переменные операционные расходы</t>
  </si>
  <si>
    <t>Расходы на маркетинг</t>
  </si>
  <si>
    <t>Услуги платежных систем</t>
  </si>
  <si>
    <t>Расходы на выполнение заказа</t>
  </si>
  <si>
    <t>Прочие переменные расходы</t>
  </si>
  <si>
    <t>Итого, Переменные операционные расходы</t>
  </si>
  <si>
    <t>Маржинальная прибыль</t>
  </si>
  <si>
    <t>Маржинальная рентабельность, %</t>
  </si>
  <si>
    <t>Постоянные операционные расходы</t>
  </si>
  <si>
    <t>Заработная плата</t>
  </si>
  <si>
    <t>Расходы на аренду</t>
  </si>
  <si>
    <t>Расходы на ИТ</t>
  </si>
  <si>
    <t>Расходы на организацию бизнеса</t>
  </si>
  <si>
    <t>Административные расходы</t>
  </si>
  <si>
    <t>Итого, Постоянные операционные расходы</t>
  </si>
  <si>
    <t>Операционная прибыль (EBITDA)</t>
  </si>
  <si>
    <t>Рентабельность по EBITDA, %</t>
  </si>
  <si>
    <t>КЛЮЧЕВЫЕ МЕТРИКИ И ПОКАЗАТЕЛИ</t>
  </si>
  <si>
    <t>Customer Acquisition Cost (CAC) [ Стоимость привлечения клиента ]</t>
  </si>
  <si>
    <t>Lifetime Value (LTV) [ Ценность клиента ]</t>
  </si>
  <si>
    <t>LTV/CAC Ratio</t>
  </si>
  <si>
    <t>Payback (# of orders) [ Окупаемость CAC (количество заказов) ]</t>
  </si>
  <si>
    <t>Contribution Margin Per Order [ Маржинальная прибыль на Заказ ]</t>
  </si>
  <si>
    <t>(* без расходов на маркетинг)</t>
  </si>
  <si>
    <t>CAC</t>
  </si>
  <si>
    <t>LTV</t>
  </si>
  <si>
    <t>Payback (# of orders)</t>
  </si>
  <si>
    <t>Contribution Margin Per Order</t>
  </si>
  <si>
    <t>Трафик сайта (среднемесячное количество посетителей)</t>
  </si>
  <si>
    <t xml:space="preserve">Почтовая рассылка </t>
  </si>
  <si>
    <t xml:space="preserve">Органический поиск </t>
  </si>
  <si>
    <t>Платный поиск</t>
  </si>
  <si>
    <t xml:space="preserve">Партнерские программы </t>
  </si>
  <si>
    <t xml:space="preserve">Итого, Посещений в месяц </t>
  </si>
  <si>
    <t>Трафик сайта (годовой - 12 мес)</t>
  </si>
  <si>
    <t xml:space="preserve">Итого, Посещений в год </t>
  </si>
  <si>
    <t>Коэффициент конверсии</t>
  </si>
  <si>
    <t>Итого, Коэффициент конверсии</t>
  </si>
  <si>
    <t>Количество размещенных заказов ( 12 мес )</t>
  </si>
  <si>
    <t>Итого, Количество размещенных заказов</t>
  </si>
  <si>
    <t>Количество размещенных заказов</t>
  </si>
  <si>
    <t xml:space="preserve">Акции, продвижение, скидки </t>
  </si>
  <si>
    <t>% от валовой выручки</t>
  </si>
  <si>
    <t>Расчет Заказа</t>
  </si>
  <si>
    <t>Средняя цена за единицу</t>
  </si>
  <si>
    <t xml:space="preserve">Количество единиц в заказе </t>
  </si>
  <si>
    <t>Среднее снижение цены (уценка)</t>
  </si>
  <si>
    <t>Среднее снижение цены (скидка)</t>
  </si>
  <si>
    <t>Средняя акционная скидка</t>
  </si>
  <si>
    <t xml:space="preserve">Cтоимость заказа, без учета уценки/скидки/акций </t>
  </si>
  <si>
    <t xml:space="preserve">Cтоимость заказа, с учетом уценки/скидки/акций </t>
  </si>
  <si>
    <t>Валовая выручка</t>
  </si>
  <si>
    <t>Расчет себестоимости проданных товаров</t>
  </si>
  <si>
    <t>Себестоимость проданных товаров, % от валовой выручки</t>
  </si>
  <si>
    <t>Переменные расходы, стоимость за клик</t>
  </si>
  <si>
    <t>Средняя стоимость за клик</t>
  </si>
  <si>
    <t>Оплата заказа [ переменные расходы ]</t>
  </si>
  <si>
    <t>Услуги платежных систем, % от выручки</t>
  </si>
  <si>
    <t>Выполнение заказа [ переменные расходы ]</t>
  </si>
  <si>
    <t>Стоимость доставки заказа</t>
  </si>
  <si>
    <t>Стоимость обработки заказа</t>
  </si>
  <si>
    <t xml:space="preserve">Итого, Выполнение заказа </t>
  </si>
  <si>
    <t>Расходы на доставку товара покупателю</t>
  </si>
  <si>
    <t>Расходы на упаковку товара</t>
  </si>
  <si>
    <t>Итого, Расходы на выполнение заказа</t>
  </si>
  <si>
    <t>Количество активных клиентов</t>
  </si>
  <si>
    <t>Коэффициент оттока, % [ Churn Rate ]</t>
  </si>
  <si>
    <t>Количество активных клиентов на начало периода</t>
  </si>
  <si>
    <t>(+) Количество новых клиентов за период</t>
  </si>
  <si>
    <t>Итого количество клиентов за период</t>
  </si>
  <si>
    <t>(-) Отток клиентов за период</t>
  </si>
  <si>
    <t xml:space="preserve">Количество активных клиентов на конец периода </t>
  </si>
  <si>
    <t>ПЕРЕМЕННЫЕ ОПЕРАЦИОННЫЕ РАСХОДЫ</t>
  </si>
  <si>
    <t>ПОСТОЯННЫЕ ОПЕРАЦИОННЫЕ РАСХОДЫ</t>
  </si>
  <si>
    <t>Налоги на заработную плату</t>
  </si>
  <si>
    <t>Прочие расходы на заработную плату</t>
  </si>
  <si>
    <t>Итого, Заработная плата</t>
  </si>
  <si>
    <t>Маркетинговые исследования</t>
  </si>
  <si>
    <t>Брендинг</t>
  </si>
  <si>
    <t>Прочие маркетинговые расходы</t>
  </si>
  <si>
    <t>Итого, Расходы на маркетинг</t>
  </si>
  <si>
    <t>Прочие расходы на выполнение заказа</t>
  </si>
  <si>
    <t>Аренда офиса</t>
  </si>
  <si>
    <t>Аренда склада</t>
  </si>
  <si>
    <t>Прочие расходы на аренду</t>
  </si>
  <si>
    <t>Итого, Расходы на аренду</t>
  </si>
  <si>
    <t xml:space="preserve">Аренда ПО и тех. поддержка </t>
  </si>
  <si>
    <t>Аренда оборудования / интернет / хостинг</t>
  </si>
  <si>
    <t>Расходы на тех. обслуживание</t>
  </si>
  <si>
    <t>Итого, Расходы на ИТ</t>
  </si>
  <si>
    <t>Юридические услуги</t>
  </si>
  <si>
    <t>Услуги кадровых агентств</t>
  </si>
  <si>
    <t>Прочие расходы на организацию бизнеса</t>
  </si>
  <si>
    <t>Итого, Расходы на организацию бизнеса</t>
  </si>
  <si>
    <t>Услуги банка (РКО, эквайринг)</t>
  </si>
  <si>
    <t>Расходы на связь (мобильная/проводная)</t>
  </si>
  <si>
    <t>Расходы на хознужды / канцелярские товары</t>
  </si>
  <si>
    <t>Обучение, тренинги</t>
  </si>
  <si>
    <t>Профессиональные услуги</t>
  </si>
  <si>
    <t>( Резерв 1 )</t>
  </si>
  <si>
    <t>( Резерв 2 )</t>
  </si>
  <si>
    <t>( Резерв 3 )</t>
  </si>
  <si>
    <t>( Резерв 4 )</t>
  </si>
  <si>
    <t>( Резерв 5 )</t>
  </si>
  <si>
    <t>( Резерв 6 )</t>
  </si>
  <si>
    <t>( Резерв 7 )</t>
  </si>
  <si>
    <t>( Резерв 8 )</t>
  </si>
  <si>
    <t>( Резерв 9 )</t>
  </si>
  <si>
    <t>Прочие административные расходы</t>
  </si>
  <si>
    <t>Итого, административные расходы</t>
  </si>
  <si>
    <t>Параметры системы</t>
  </si>
  <si>
    <t>Количество месяцев в году</t>
  </si>
  <si>
    <t>Количество дней в году</t>
  </si>
  <si>
    <t>Временной период</t>
  </si>
  <si>
    <t>год</t>
  </si>
  <si>
    <t>1 период</t>
  </si>
  <si>
    <t>2 период</t>
  </si>
  <si>
    <t>3 период</t>
  </si>
  <si>
    <t>4 период</t>
  </si>
  <si>
    <t>5 период</t>
  </si>
  <si>
    <t>6 период</t>
  </si>
  <si>
    <t>7 период</t>
  </si>
  <si>
    <t>_Ctrl_1</t>
  </si>
  <si>
    <t>{"WidgetClassification":3,"State":1,"IsHidden":false,"CellName":"_Ctrl_1","CellAddress":"='ФИНАНСОВАЯ МОДЕЛЬ'!$C$9","WidgetName":20,"HiddenRow":1,"SheetCodeName":null,"ControlId":null}</t>
  </si>
  <si>
    <t>{"IsHide":false,"SheetId":0,"Name":"ФИНАНСОВАЯ МОДЕЛЬ","HiddenRow":0,"VisibleRange":"","SheetTheme":{"TabColor":"","BodyColor":"","BodyImage":""}}</t>
  </si>
  <si>
    <t>{"ButtonStyle":0,"Name":"ФИНАНСОВАЯ МОДЕЛЬ E-COMMERCE V2 (023.102.018)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0},"Layout":2,"LayoutConfig":{"IsSamePagesHeight":false},"Toolbar":{"Position":1,"IsSubmit":false,"IsPrint":true,"IsPrintAll":false,"IsReset":true,"IsUpdate":true},"InputDetection":2,"ConfigureSubmit":{"IsShowCaptcha":false,"IsUseSscWebServer":true,"ReceiverCode":"yuriy.koryagin@gmail.com ","IsFreeService":true,"IsAdvanceService":fals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fals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</si>
  <si>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Select"},"WizardButton":{"Next":"Next","Previous":"Previous","Cancel":"Cancel","Finish":"Finish"},"ToolbarButton":{"Submit":"Submit","Print":"Печать","PrintAll":"Печать 2","Reset":"Отменить","Update":"Расчет","Back":"Меню"},"BrowserAndLocation":{"Browsers":[{"Name":"chrome.exe"}],"ConversionPath":"C:\\1E-COM"},"AdvancedSettingsModels":[],"Dropbox":{"AccessToken":"","AccessSecret":""},"SpreadsheetServer":{"Username":"","Password":"","ServerUrl":""},"ConfigureSubmitDefault":{"Email":"yuriy.koryagin@gmail.com"},"MessageBubble":{"Close":false,"TopMsg":0},"CustomizeTheme":{"Theme":"C:\\Users\\Yukon\\AppData\\Local\\ssc\\customfiles\\Calc2.css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</si>
  <si>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_Ctrl_2</t>
  </si>
  <si>
    <t>{"WidgetClassification":0,"State":1,"IsRequired":false,"IsMultiline":false,"IsHidden":false,"Placeholder":"","InputType":0,"Rows":3,"IsMergeJustify":false,"CellName":"_Ctrl_2","CellAddress":"='ТРАФИК САЙТА'!$C$13","WidgetName":4,"HiddenRow":2,"SheetCodeName":null,"ControlId":"TR_POST"}</t>
  </si>
  <si>
    <t>{"IsHide":false,"SheetId":0,"Name":"ТРАФИК САЙТА","HiddenRow":0,"VisibleRange":"","SheetTheme":{"TabColor":"","BodyColor":"","BodyImage":""}}</t>
  </si>
  <si>
    <t>_Ctrl_3</t>
  </si>
  <si>
    <t>{"WidgetClassification":0,"State":1,"IsRequired":false,"IsMultiline":false,"IsHidden":false,"Placeholder":"","InputType":0,"Rows":3,"IsMergeJustify":false,"CellName":"_Ctrl_3","CellAddress":"='ТРАФИК САЙТА'!$C$14","WidgetName":4,"HiddenRow":3,"SheetCodeName":null,"ControlId":"TR_ORG"}</t>
  </si>
  <si>
    <t>{"IsHide":false,"SheetId":0,"Name":"ВЫРУЧКА","HiddenRow":0,"VisibleRange":"","SheetTheme":{"TabColor":"","BodyColor":"","BodyImage":""}}</t>
  </si>
  <si>
    <t>_Ctrl_4</t>
  </si>
  <si>
    <t>{"WidgetClassification":0,"State":1,"IsRequired":false,"IsMultiline":false,"IsHidden":false,"Placeholder":"","InputType":0,"Rows":3,"IsMergeJustify":false,"CellName":"_Ctrl_4","CellAddress":"='ТРАФИК САЙТА'!$C$15","WidgetName":4,"HiddenRow":4,"SheetCodeName":null,"ControlId":"TR_PAID"}</t>
  </si>
  <si>
    <t>{"IsHide":false,"SheetId":0,"Name":"СЕБЕСТОИМОСТЬ","HiddenRow":0,"VisibleRange":"","SheetTheme":{"TabColor":"","BodyColor":"","BodyImage":""}}</t>
  </si>
  <si>
    <t>_Ctrl_5</t>
  </si>
  <si>
    <t>{"WidgetClassification":0,"State":1,"IsRequired":false,"IsMultiline":false,"IsHidden":false,"Placeholder":"","InputType":0,"Rows":3,"IsMergeJustify":false,"CellName":"_Ctrl_5","CellAddress":"='ТРАФИК САЙТА'!$C$16","WidgetName":4,"HiddenRow":5,"SheetCodeName":null,"ControlId":"TR_PARTNER"}</t>
  </si>
  <si>
    <t>{"IsHide":false,"SheetId":0,"Name":"РАСХОДЫ НА МАРКЕТИНГ","HiddenRow":0,"VisibleRange":"","SheetTheme":{"TabColor":"","BodyColor":"","BodyImage":""}}</t>
  </si>
  <si>
    <t>_Ctrl_6</t>
  </si>
  <si>
    <t>{"WidgetClassification":0,"State":1,"IsRequired":false,"IsMultiline":false,"IsHidden":false,"Placeholder":"","InputType":0,"Rows":3,"IsMergeJustify":false,"CellName":"_Ctrl_6","CellAddress":"='ТРАФИК САЙТА'!$C$27","WidgetName":4,"HiddenRow":6,"SheetCodeName":null,"ControlId":"KF_POST"}</t>
  </si>
  <si>
    <t>{"IsHide":false,"SheetId":0,"Name":"ЗАКАЗ","HiddenRow":0,"VisibleRange":"","SheetTheme":{"TabColor":"","BodyColor":"","BodyImage":""}}</t>
  </si>
  <si>
    <t>_Ctrl_7</t>
  </si>
  <si>
    <t>{"WidgetClassification":0,"State":1,"IsRequired":false,"IsMultiline":false,"IsHidden":false,"Placeholder":"","InputType":0,"Rows":3,"IsMergeJustify":false,"CellName":"_Ctrl_7","CellAddress":"='ТРАФИК САЙТА'!$C$28","WidgetName":4,"HiddenRow":7,"SheetCodeName":null,"ControlId":"KF_ORG"}</t>
  </si>
  <si>
    <t>{"IsHide":false,"SheetId":0,"Name":"КЛИЕНТЫ","HiddenRow":0,"VisibleRange":"","SheetTheme":{"TabColor":"","BodyColor":"","BodyImage":""}}</t>
  </si>
  <si>
    <t>_Ctrl_8</t>
  </si>
  <si>
    <t>{"WidgetClassification":0,"State":1,"IsRequired":false,"IsMultiline":false,"IsHidden":false,"Placeholder":"","InputType":0,"Rows":3,"IsMergeJustify":false,"CellName":"_Ctrl_8","CellAddress":"='ТРАФИК САЙТА'!$C$29","WidgetName":4,"HiddenRow":8,"SheetCodeName":null,"ControlId":"KF_PAID"}</t>
  </si>
  <si>
    <t>{"IsHide":false,"SheetId":0,"Name":"ОПЕРАЦИОННЫЕ РАСХОДЫ","HiddenRow":0,"VisibleRange":"","SheetTheme":{"TabColor":"","BodyColor":"","BodyImage":""}}</t>
  </si>
  <si>
    <t>_Ctrl_9</t>
  </si>
  <si>
    <t>{"WidgetClassification":0,"State":1,"IsRequired":false,"IsMultiline":false,"IsHidden":false,"Placeholder":"","InputType":0,"Rows":3,"IsMergeJustify":false,"CellName":"_Ctrl_9","CellAddress":"='ТРАФИК САЙТА'!$C$30","WidgetName":4,"HiddenRow":9,"SheetCodeName":null,"ControlId":"KF_PARTNER"}</t>
  </si>
  <si>
    <t>{"IsHide":false,"SheetId":0,"Name":"ВЕРСИЯ ДЛЯ EXCEL","HiddenRow":0,"VisibleRange":"","SheetTheme":{"TabColor":"","BodyColor":"","BodyImage":""}}</t>
  </si>
  <si>
    <t>_Ctrl_10</t>
  </si>
  <si>
    <t>{"WidgetClassification":0,"State":1,"IsRequired":false,"IsMultiline":false,"IsHidden":false,"Placeholder":"","InputType":0,"Rows":3,"IsMergeJustify":false,"CellName":"_Ctrl_10","CellAddress":"='ВЫРУЧКА'!$D$13","WidgetName":4,"HiddenRow":10,"SheetCodeName":null,"ControlId":"INV_PRICE"}</t>
  </si>
  <si>
    <t>{"IsHide":false,"SheetId":0,"Name":"ЗАДАТЬ ВОПРОС","HiddenRow":0,"VisibleRange":"","SheetTheme":{"TabColor":"","BodyColor":"","BodyImage":""}}</t>
  </si>
  <si>
    <t>_Ctrl_11</t>
  </si>
  <si>
    <t>{"WidgetClassification":0,"State":1,"IsRequired":false,"IsMultiline":false,"IsHidden":false,"Placeholder":"","InputType":0,"Rows":3,"IsMergeJustify":false,"CellName":"_Ctrl_11","CellAddress":"='ВЫРУЧКА'!$D$14","WidgetName":4,"HiddenRow":11,"SheetCodeName":null,"ControlId":"INV_QT"}</t>
  </si>
  <si>
    <t>{"IsHide":false,"SheetId":0,"Name":"О ПРОГРАММЕ","HiddenRow":0,"VisibleRange":"","SheetTheme":{"TabColor":"","BodyColor":"","BodyImage":""}}</t>
  </si>
  <si>
    <t>_Ctrl_12</t>
  </si>
  <si>
    <t>{"WidgetClassification":0,"State":1,"IsRequired":false,"IsMultiline":false,"IsHidden":false,"Placeholder":"","InputType":0,"Rows":3,"IsMergeJustify":false,"CellName":"_Ctrl_12","CellAddress":"='ВЫРУЧКА'!$D$15","WidgetName":4,"HiddenRow":12,"SheetCodeName":null,"ControlId":"INV_DISCOUNT"}</t>
  </si>
  <si>
    <t>_Ctrl_13</t>
  </si>
  <si>
    <t>{"WidgetClassification":0,"State":1,"IsRequired":false,"IsMultiline":false,"IsHidden":false,"Placeholder":"","InputType":0,"Rows":3,"IsMergeJustify":false,"CellName":"_Ctrl_13","CellAddress":"='ВЫРУЧКА'!$D$16","WidgetName":4,"HiddenRow":13,"SheetCodeName":null,"ControlId":"INV_SALES"}</t>
  </si>
  <si>
    <t>_Ctrl_14</t>
  </si>
  <si>
    <t>{"WidgetClassification":0,"State":1,"IsRequired":false,"IsMultiline":false,"IsHidden":false,"Placeholder":"","InputType":0,"Rows":3,"IsMergeJustify":false,"CellName":"_Ctrl_14","CellAddress":"='ВЫРУЧКА'!$D$17","WidgetName":4,"HiddenRow":14,"SheetCodeName":null,"ControlId":"INV_MARKETDISCOUNT"}</t>
  </si>
  <si>
    <t>_Ctrl_15</t>
  </si>
  <si>
    <t>{"WidgetClassification":0,"State":1,"IsRequired":false,"IsMultiline":false,"IsHidden":false,"Placeholder":"","InputType":0,"Rows":3,"IsMergeJustify":false,"CellName":"_Ctrl_15","CellAddress":"='СЕБЕСТОИМОСТЬ'!$C$13","WidgetName":4,"HiddenRow":15,"SheetCodeName":null,"ControlId":"KF_COST"}</t>
  </si>
  <si>
    <t>_Ctrl_16</t>
  </si>
  <si>
    <t>{"WidgetClassification":0,"State":1,"IsRequired":false,"IsMultiline":false,"IsHidden":true,"Placeholder":"","InputType":0,"Rows":3,"IsMergeJustify":false,"CellName":"_Ctrl_16","CellAddress":"='РАСХОДЫ НА МАРКЕТИНГ'!$C$21","WidgetName":4,"HiddenRow":16,"SheetCodeName":null,"ControlId":"CC_POST"}</t>
  </si>
  <si>
    <t>_Ctrl_17</t>
  </si>
  <si>
    <t>{"WidgetClassification":0,"State":1,"IsRequired":false,"IsMultiline":false,"IsHidden":true,"Placeholder":"","InputType":0,"Rows":3,"IsMergeJustify":false,"CellName":"_Ctrl_17","CellAddress":"='РАСХОДЫ НА МАРКЕТИНГ'!$C$22","WidgetName":4,"HiddenRow":17,"SheetCodeName":null,"ControlId":"CC_ORG"}</t>
  </si>
  <si>
    <t>_Ctrl_18</t>
  </si>
  <si>
    <t>{"WidgetClassification":0,"State":1,"IsRequired":false,"IsMultiline":false,"IsHidden":false,"Placeholder":"","InputType":0,"Rows":3,"IsMergeJustify":false,"CellName":"_Ctrl_18","CellAddress":"='РАСХОДЫ НА МАРКЕТИНГ'!$C$23","WidgetName":4,"HiddenRow":18,"SheetCodeName":null,"ControlId":"CC_PAID"}</t>
  </si>
  <si>
    <t>_Ctrl_19</t>
  </si>
  <si>
    <t>{"WidgetClassification":0,"State":1,"IsRequired":false,"IsMultiline":false,"IsHidden":false,"Placeholder":"","InputType":0,"Rows":3,"IsMergeJustify":false,"CellName":"_Ctrl_19","CellAddress":"='РАСХОДЫ НА МАРКЕТИНГ'!$C$24","WidgetName":4,"HiddenRow":19,"SheetCodeName":null,"ControlId":"CC_PARTNER"}</t>
  </si>
  <si>
    <t>_Ctrl_20</t>
  </si>
  <si>
    <t>{"WidgetClassification":0,"State":1,"IsRequired":false,"IsMultiline":false,"IsHidden":false,"Placeholder":"","InputType":0,"Rows":3,"IsMergeJustify":false,"CellName":"_Ctrl_20","CellAddress":"='ЗАКАЗ'!$C$13","WidgetName":4,"HiddenRow":20,"SheetCodeName":null,"ControlId":"ORDER_PAYMENT"}</t>
  </si>
  <si>
    <t>_Ctrl_21</t>
  </si>
  <si>
    <t>{"WidgetClassification":0,"State":1,"IsRequired":false,"IsMultiline":false,"IsHidden":false,"Placeholder":"","InputType":0,"Rows":3,"IsMergeJustify":false,"CellName":"_Ctrl_21","CellAddress":"='ЗАКАЗ'!$C$17","WidgetName":4,"HiddenRow":21,"SheetCodeName":null,"ControlId":"ORDER_DELIVERY"}</t>
  </si>
  <si>
    <t>_Ctrl_22</t>
  </si>
  <si>
    <t>{"WidgetClassification":0,"State":1,"IsRequired":false,"IsMultiline":false,"IsHidden":false,"Placeholder":"","InputType":0,"Rows":3,"IsMergeJustify":false,"CellName":"_Ctrl_22","CellAddress":"='ЗАКАЗ'!$C$18","WidgetName":4,"HiddenRow":22,"SheetCodeName":null,"ControlId":"ORDER_OPERATION"}</t>
  </si>
  <si>
    <t>_Ctrl_23</t>
  </si>
  <si>
    <t>{"WidgetClassification":0,"State":1,"IsRequired":false,"IsMultiline":false,"IsHidden":false,"Placeholder":"","InputType":0,"Rows":3,"IsMergeJustify":false,"CellName":"_Ctrl_23","CellAddress":"='КЛИЕНТЫ'!$C$3","WidgetName":4,"HiddenRow":23,"SheetCodeName":null,"ControlId":"CF_CHURN_RATE"}</t>
  </si>
  <si>
    <t>_Ctrl_24</t>
  </si>
  <si>
    <t>{"WidgetClassification":0,"State":1,"IsRequired":false,"IsMultiline":false,"IsHidden":false,"Placeholder":"","InputType":0,"Rows":3,"IsMergeJustify":false,"CellName":"_Ctrl_24","CellAddress":"='КЛИЕНТЫ'!$C$4","WidgetName":4,"HiddenRow":24,"SheetCodeName":null,"ControlId":"CF_ACTIVE_CLIENT"}</t>
  </si>
  <si>
    <t>_Ctrl_25</t>
  </si>
  <si>
    <t>{"WidgetClassification":0,"State":1,"IsRequired":false,"IsMultiline":false,"IsHidden":false,"Placeholder":"","InputType":0,"Rows":3,"IsMergeJustify":false,"CellName":"_Ctrl_25","CellAddress":"='ОПЕРАЦИОННЫЕ РАСХОДЫ'!$C$31","WidgetName":4,"HiddenRow":25,"SheetCodeName":null,"ControlId":"OPEX_SALARY"}</t>
  </si>
  <si>
    <t>_Ctrl_26</t>
  </si>
  <si>
    <t>{"WidgetClassification":0,"State":1,"IsRequired":false,"IsMultiline":false,"IsHidden":false,"Placeholder":"","InputType":0,"Rows":3,"IsMergeJustify":false,"CellName":"_Ctrl_26","CellAddress":"='ОПЕРАЦИОННЫЕ РАСХОДЫ'!$C$32","WidgetName":4,"HiddenRow":26,"SheetCodeName":null,"ControlId":"OPEX_SALARY_TAX"}</t>
  </si>
  <si>
    <t>_Ctrl_27</t>
  </si>
  <si>
    <t>{"WidgetClassification":0,"State":1,"IsRequired":false,"IsMultiline":false,"IsHidden":false,"Placeholder":"","InputType":0,"Rows":3,"IsMergeJustify":false,"CellName":"_Ctrl_27","CellAddress":"='ОПЕРАЦИОННЫЕ РАСХОДЫ'!$C$33","WidgetName":4,"HiddenRow":27,"SheetCodeName":null,"ControlId":"OPEX_SALARY_ADD"}</t>
  </si>
  <si>
    <t>_Ctrl_28</t>
  </si>
  <si>
    <t>{"WidgetClassification":0,"State":1,"IsRequired":false,"IsMultiline":false,"IsHidden":false,"Placeholder":"","InputType":0,"Rows":3,"IsMergeJustify":false,"CellName":"_Ctrl_28","CellAddress":"='ОПЕРАЦИОННЫЕ РАСХОДЫ'!$C$38","WidgetName":4,"HiddenRow":28,"SheetCodeName":null,"ControlId":"OPEX_MARKETING_RESEARCH"}</t>
  </si>
  <si>
    <t>_Ctrl_29</t>
  </si>
  <si>
    <t>{"WidgetClassification":0,"State":1,"IsRequired":false,"IsMultiline":false,"IsHidden":false,"Placeholder":"","InputType":0,"Rows":3,"IsMergeJustify":false,"CellName":"_Ctrl_29","CellAddress":"='ОПЕРАЦИОННЫЕ РАСХОДЫ'!$C$39","WidgetName":4,"HiddenRow":29,"SheetCodeName":null,"ControlId":"OPEX_BRANDING"}</t>
  </si>
  <si>
    <t>_Ctrl_30</t>
  </si>
  <si>
    <t>{"WidgetClassification":0,"State":1,"IsRequired":false,"IsMultiline":false,"IsHidden":false,"Placeholder":"","InputType":0,"Rows":3,"IsMergeJustify":false,"CellName":"_Ctrl_30","CellAddress":"='ОПЕРАЦИОННЫЕ РАСХОДЫ'!$C$40","WidgetName":4,"HiddenRow":30,"SheetCodeName":null,"ControlId":"OPEX_MARKETING_ADD"}</t>
  </si>
  <si>
    <t>_Ctrl_31</t>
  </si>
  <si>
    <t>{"WidgetClassification":0,"State":1,"IsRequired":false,"IsMultiline":false,"IsHidden":false,"Placeholder":"","InputType":0,"Rows":3,"IsMergeJustify":false,"CellName":"_Ctrl_31","CellAddress":"='ОПЕРАЦИОННЫЕ РАСХОДЫ'!$C$45","WidgetName":4,"HiddenRow":31,"SheetCodeName":null,"ControlId":"OPEX_DELIVERY"}</t>
  </si>
  <si>
    <t>_Ctrl_32</t>
  </si>
  <si>
    <t>{"WidgetClassification":0,"State":1,"IsRequired":false,"IsMultiline":false,"IsHidden":false,"Placeholder":"","InputType":0,"Rows":3,"IsMergeJustify":false,"CellName":"_Ctrl_32","CellAddress":"='ОПЕРАЦИОННЫЕ РАСХОДЫ'!$C$46","WidgetName":4,"HiddenRow":32,"SheetCodeName":null,"ControlId":"OPEX_PACKING"}</t>
  </si>
  <si>
    <t>_Ctrl_33</t>
  </si>
  <si>
    <t>{"WidgetClassification":0,"State":1,"IsRequired":false,"IsMultiline":false,"IsHidden":false,"Placeholder":"","InputType":0,"Rows":3,"IsMergeJustify":false,"CellName":"_Ctrl_33","CellAddress":"='ОПЕРАЦИОННЫЕ РАСХОДЫ'!$C$47","WidgetName":4,"HiddenRow":33,"SheetCodeName":null,"ControlId":"OPEX_ORDER_ADD"}</t>
  </si>
  <si>
    <t>_Ctrl_34</t>
  </si>
  <si>
    <t>{"WidgetClassification":0,"State":1,"IsRequired":false,"IsMultiline":false,"IsHidden":false,"Placeholder":"","InputType":0,"Rows":3,"IsMergeJustify":false,"CellName":"_Ctrl_34","CellAddress":"='ОПЕРАЦИОННЫЕ РАСХОДЫ'!$C$52","WidgetName":4,"HiddenRow":34,"SheetCodeName":null,"ControlId":"OPEX_RENT_OFFICE"}</t>
  </si>
  <si>
    <t>_Ctrl_35</t>
  </si>
  <si>
    <t>{"WidgetClassification":0,"State":1,"IsRequired":false,"IsMultiline":false,"IsHidden":false,"Placeholder":"","InputType":0,"Rows":3,"IsMergeJustify":false,"CellName":"_Ctrl_35","CellAddress":"='ОПЕРАЦИОННЫЕ РАСХОДЫ'!$C$53","WidgetName":4,"HiddenRow":35,"SheetCodeName":null,"ControlId":"OPEX_RENT_WAREHOUSE"}</t>
  </si>
  <si>
    <t>_Ctrl_36</t>
  </si>
  <si>
    <t>{"WidgetClassification":0,"State":1,"IsRequired":false,"IsMultiline":false,"IsHidden":false,"Placeholder":"","InputType":0,"Rows":3,"IsMergeJustify":false,"CellName":"_Ctrl_36","CellAddress":"='ОПЕРАЦИОННЫЕ РАСХОДЫ'!$C$54","WidgetName":4,"HiddenRow":36,"SheetCodeName":null,"ControlId":"OPEX_RENT_ADD"}</t>
  </si>
  <si>
    <t>_Ctrl_37</t>
  </si>
  <si>
    <t>{"WidgetClassification":0,"State":1,"IsRequired":false,"IsMultiline":false,"IsHidden":false,"Placeholder":"","InputType":0,"Rows":3,"IsMergeJustify":false,"CellName":"_Ctrl_37","CellAddress":"='ОПЕРАЦИОННЫЕ РАСХОДЫ'!$C$59","WidgetName":4,"HiddenRow":37,"SheetCodeName":null,"ControlId":"OPEX_SOFTWARE"}</t>
  </si>
  <si>
    <t>_Ctrl_38</t>
  </si>
  <si>
    <t>{"WidgetClassification":0,"State":1,"IsRequired":false,"IsMultiline":false,"IsHidden":false,"Placeholder":"","InputType":0,"Rows":3,"IsMergeJustify":false,"CellName":"_Ctrl_38","CellAddress":"='ОПЕРАЦИОННЫЕ РАСХОДЫ'!$C$60","WidgetName":4,"HiddenRow":38,"SheetCodeName":null,"ControlId":"OPEX_EQUIPMENT"}</t>
  </si>
  <si>
    <t>_Ctrl_39</t>
  </si>
  <si>
    <t>{"WidgetClassification":0,"State":1,"IsRequired":false,"IsMultiline":false,"IsHidden":false,"Placeholder":"","InputType":0,"Rows":3,"IsMergeJustify":false,"CellName":"_Ctrl_39","CellAddress":"='ОПЕРАЦИОННЫЕ РАСХОДЫ'!$C$61","WidgetName":4,"HiddenRow":39,"SheetCodeName":null,"ControlId":"OPEX_TECH_SUPPORT"}</t>
  </si>
  <si>
    <t>_Ctrl_40</t>
  </si>
  <si>
    <t>{"WidgetClassification":0,"State":1,"IsRequired":false,"IsMultiline":false,"IsHidden":false,"Placeholder":"","InputType":0,"Rows":3,"IsMergeJustify":false,"CellName":"_Ctrl_40","CellAddress":"='ОПЕРАЦИОННЫЕ РАСХОДЫ'!$C$66","WidgetName":4,"HiddenRow":40,"SheetCodeName":null,"ControlId":"OPEX_LAW"}</t>
  </si>
  <si>
    <t>_Ctrl_41</t>
  </si>
  <si>
    <t>{"WidgetClassification":0,"State":1,"IsRequired":false,"IsMultiline":false,"IsHidden":false,"Placeholder":"","InputType":0,"Rows":3,"IsMergeJustify":false,"CellName":"_Ctrl_41","CellAddress":"='ОПЕРАЦИОННЫЕ РАСХОДЫ'!$C$67","WidgetName":4,"HiddenRow":41,"SheetCodeName":null,"ControlId":"OPEX_RECRUITMENT"}</t>
  </si>
  <si>
    <t>_Ctrl_42</t>
  </si>
  <si>
    <t>{"WidgetClassification":0,"State":1,"IsRequired":false,"IsMultiline":false,"IsHidden":false,"Placeholder":"","InputType":0,"Rows":3,"IsMergeJustify":false,"CellName":"_Ctrl_42","CellAddress":"='ОПЕРАЦИОННЫЕ РАСХОДЫ'!$C$68","WidgetName":4,"HiddenRow":42,"SheetCodeName":null,"ControlId":"OPEX_ORG_ADD"}</t>
  </si>
  <si>
    <t>_Ctrl_43</t>
  </si>
  <si>
    <t>{"WidgetClassification":0,"State":1,"IsRequired":false,"IsMultiline":false,"IsHidden":false,"Placeholder":"","InputType":0,"Rows":3,"IsMergeJustify":false,"CellName":"_Ctrl_43","CellAddress":"='ОПЕРАЦИОННЫЕ РАСХОДЫ'!$C$73","WidgetName":4,"HiddenRow":43,"SheetCodeName":null,"ControlId":"OPEX_BANK"}</t>
  </si>
  <si>
    <t>_Ctrl_44</t>
  </si>
  <si>
    <t>{"WidgetClassification":0,"State":1,"IsRequired":false,"IsMultiline":false,"IsHidden":false,"Placeholder":"","InputType":0,"Rows":3,"IsMergeJustify":false,"CellName":"_Ctrl_44","CellAddress":"='ОПЕРАЦИОННЫЕ РАСХОДЫ'!$C$74","WidgetName":4,"HiddenRow":44,"SheetCodeName":null,"ControlId":"OPEX_PAYMENT_SYSTEM"}</t>
  </si>
  <si>
    <t>_Ctrl_45</t>
  </si>
  <si>
    <t>{"WidgetClassification":0,"State":1,"IsRequired":false,"IsMultiline":false,"IsHidden":false,"Placeholder":"","InputType":0,"Rows":3,"IsMergeJustify":false,"CellName":"_Ctrl_45","CellAddress":"='ОПЕРАЦИОННЫЕ РАСХОДЫ'!$C$75","WidgetName":4,"HiddenRow":45,"SheetCodeName":null,"ControlId":"OPEX_COM"}</t>
  </si>
  <si>
    <t>_Ctrl_46</t>
  </si>
  <si>
    <t>{"WidgetClassification":0,"State":1,"IsRequired":false,"IsMultiline":false,"IsHidden":false,"Placeholder":"","InputType":0,"Rows":3,"IsMergeJustify":false,"CellName":"_Ctrl_46","CellAddress":"='ОПЕРАЦИОННЫЕ РАСХОДЫ'!$C$76","WidgetName":4,"HiddenRow":46,"SheetCodeName":null,"ControlId":"OPEX_SERVICE"}</t>
  </si>
  <si>
    <t>_Ctrl_47</t>
  </si>
  <si>
    <t>{"WidgetClassification":0,"State":1,"IsRequired":false,"IsMultiline":false,"IsHidden":false,"Placeholder":"","InputType":0,"Rows":3,"IsMergeJustify":false,"CellName":"_Ctrl_47","CellAddress":"='ОПЕРАЦИОННЫЕ РАСХОДЫ'!$C$77","WidgetName":4,"HiddenRow":47,"SheetCodeName":null,"ControlId":"OPEX_TRAINNING"}</t>
  </si>
  <si>
    <t>_Ctrl_48</t>
  </si>
  <si>
    <t>{"WidgetClassification":0,"State":1,"IsRequired":false,"IsMultiline":false,"IsHidden":false,"Placeholder":"","InputType":0,"Rows":3,"IsMergeJustify":false,"CellName":"_Ctrl_48","CellAddress":"='ОПЕРАЦИОННЫЕ РАСХОДЫ'!$C$78","WidgetName":4,"HiddenRow":48,"SheetCodeName":null,"ControlId":"OPEX_PROF_SERVICE"}</t>
  </si>
  <si>
    <t>_Ctrl_49</t>
  </si>
  <si>
    <t>{"WidgetClassification":0,"State":1,"IsRequired":false,"IsMultiline":false,"IsHidden":false,"Placeholder":"","InputType":0,"Rows":3,"IsMergeJustify":false,"CellName":"_Ctrl_49","CellAddress":"='ОПЕРАЦИОННЫЕ РАСХОДЫ'!$C$79","WidgetName":4,"HiddenRow":49,"SheetCodeName":null,"ControlId":"OPEX_R1"}</t>
  </si>
  <si>
    <t>_Ctrl_50</t>
  </si>
  <si>
    <t>{"WidgetClassification":0,"State":1,"IsRequired":false,"IsMultiline":false,"IsHidden":false,"Placeholder":"","InputType":0,"Rows":3,"IsMergeJustify":false,"CellName":"_Ctrl_50","CellAddress":"='ОПЕРАЦИОННЫЕ РАСХОДЫ'!$C$80","WidgetName":4,"HiddenRow":50,"SheetCodeName":null,"ControlId":"OPEX_R2"}</t>
  </si>
  <si>
    <t>_Ctrl_51</t>
  </si>
  <si>
    <t>{"WidgetClassification":0,"State":1,"IsRequired":false,"IsMultiline":false,"IsHidden":false,"Placeholder":"","InputType":0,"Rows":3,"IsMergeJustify":false,"CellName":"_Ctrl_51","CellAddress":"='ОПЕРАЦИОННЫЕ РАСХОДЫ'!$C$81","WidgetName":4,"HiddenRow":51,"SheetCodeName":null,"ControlId":"OPEX_R3"}</t>
  </si>
  <si>
    <t>_Ctrl_52</t>
  </si>
  <si>
    <t>{"WidgetClassification":0,"State":1,"IsRequired":false,"IsMultiline":false,"IsHidden":false,"Placeholder":"","InputType":0,"Rows":3,"IsMergeJustify":false,"CellName":"_Ctrl_52","CellAddress":"='ОПЕРАЦИОННЫЕ РАСХОДЫ'!$C$82","WidgetName":4,"HiddenRow":52,"SheetCodeName":null,"ControlId":"OPEX_R4"}</t>
  </si>
  <si>
    <t>_Ctrl_53</t>
  </si>
  <si>
    <t>{"WidgetClassification":0,"State":1,"IsRequired":false,"IsMultiline":false,"IsHidden":false,"Placeholder":"","InputType":0,"Rows":3,"IsMergeJustify":false,"CellName":"_Ctrl_53","CellAddress":"='ОПЕРАЦИОННЫЕ РАСХОДЫ'!$C$83","WidgetName":4,"HiddenRow":53,"SheetCodeName":null,"ControlId":"OPEX_R5"}</t>
  </si>
  <si>
    <t>_Ctrl_54</t>
  </si>
  <si>
    <t>{"WidgetClassification":0,"State":1,"IsRequired":false,"IsMultiline":false,"IsHidden":false,"Placeholder":"","InputType":0,"Rows":3,"IsMergeJustify":false,"CellName":"_Ctrl_54","CellAddress":"='ОПЕРАЦИОННЫЕ РАСХОДЫ'!$C$84","WidgetName":4,"HiddenRow":54,"SheetCodeName":null,"ControlId":"OPEX_R6"}</t>
  </si>
  <si>
    <t>_Ctrl_55</t>
  </si>
  <si>
    <t>{"WidgetClassification":0,"State":1,"IsRequired":false,"IsMultiline":false,"IsHidden":false,"Placeholder":"","InputType":0,"Rows":3,"IsMergeJustify":false,"CellName":"_Ctrl_55","CellAddress":"='ОПЕРАЦИОННЫЕ РАСХОДЫ'!$C$85","WidgetName":4,"HiddenRow":55,"SheetCodeName":null,"ControlId":"OPEX_R7"}</t>
  </si>
  <si>
    <t>_Ctrl_56</t>
  </si>
  <si>
    <t>{"WidgetClassification":0,"State":1,"IsRequired":false,"IsMultiline":false,"IsHidden":false,"Placeholder":"","InputType":0,"Rows":3,"IsMergeJustify":false,"CellName":"_Ctrl_56","CellAddress":"='ОПЕРАЦИОННЫЕ РАСХОДЫ'!$C$86","WidgetName":4,"HiddenRow":56,"SheetCodeName":null,"ControlId":"OPEX_R8"}</t>
  </si>
  <si>
    <t>_Ctrl_57</t>
  </si>
  <si>
    <t>{"WidgetClassification":0,"State":1,"IsRequired":false,"IsMultiline":false,"IsHidden":false,"Placeholder":"","InputType":0,"Rows":3,"IsMergeJustify":false,"CellName":"_Ctrl_57","CellAddress":"='ОПЕРАЦИОННЫЕ РАСХОДЫ'!$C$87","WidgetName":4,"HiddenRow":57,"SheetCodeName":null,"ControlId":"OPEX_R9"}</t>
  </si>
  <si>
    <t>_Ctrl_58</t>
  </si>
  <si>
    <t>{"WidgetClassification":0,"State":1,"IsRequired":false,"IsMultiline":false,"IsHidden":false,"Placeholder":"","InputType":0,"Rows":3,"IsMergeJustify":false,"CellName":"_Ctrl_58","CellAddress":"='ОПЕРАЦИОННЫЕ РАСХОДЫ'!$C$88","WidgetName":4,"HiddenRow":58,"SheetCodeName":null,"ControlId":"OPEX_ADMIN"}</t>
  </si>
  <si>
    <t>_Ctrl_59</t>
  </si>
  <si>
    <t>{"WidgetClassification":3,"State":1,"HyperlinkFlavor":1,"Placement":1,"LinkTarget":0,"CellName":"_Ctrl_59","CellAddress":"='ФИНАНСОВАЯ МОДЕЛЬ'!$B$59","WidgetName":8,"HiddenRow":59,"SheetCodeName":null,"ControlId":"WEB_LINK"}</t>
  </si>
  <si>
    <t>_Ctrl_60</t>
  </si>
  <si>
    <t>{"WidgetClassification":3,"State":1,"HyperlinkFlavor":0,"Placement":0,"LinkTarget":0,"CellName":"_Ctrl_60","CellAddress":"='О программе (2)'!$A$4","WidgetName":8,"HiddenRow":60,"SheetCodeName":null,"ControlId":"WEB_LINK_HOME"}</t>
  </si>
  <si>
    <t>_Ctrl_61</t>
  </si>
  <si>
    <t>{"WidgetClassification":3,"State":1,"HyperlinkFlavor":0,"Placement":0,"LinkTarget":0,"CellName":"_Ctrl_61","CellAddress":"='О программе (2)'!$A$7","WidgetName":8,"HiddenRow":61,"SheetCodeName":null,"ControlId":"WEB_LINK_LIC"}</t>
  </si>
  <si>
    <t>_Ctrl_62</t>
  </si>
  <si>
    <t>{"WidgetClassification":0,"State":1,"IsRequired":false,"IsMultiline":false,"IsHidden":false,"Placeholder":"","InputType":0,"Rows":3,"IsMergeJustify":false,"CellName":"_Ctrl_62","CellAddress":"='ОПЕРАЦИОННЫЕ РАСХОДЫ'!$C$31","WidgetName":4,"HiddenRow":62,"SheetCodeName":null,"ControlId":"O2_VAR_COST"}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</si>
</sst>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0.0\x"/>
    <numFmt numFmtId="167" formatCode="0_ ;\-0\ "/>
    <numFmt numFmtId="168" formatCode="#,##0_ ;\-#,##0\ "/>
    <numFmt numFmtId="169" formatCode="#,##0_ ;[Red]\-#,##0\ "/>
    <numFmt numFmtId="170" formatCode="#,##0.0_ ;[Red]\-#,##0.0\ "/>
    <numFmt numFmtId="171" formatCode="#,##0.00_ ;[Red]\-#,##0.00\ "/>
    <numFmt numFmtId="172" formatCode="0_ ;[Red]\-0\ "/>
  </numFmts>
  <fonts count="37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sz val="12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name val="Arial"/>
      <family val="2"/>
      <charset val="204"/>
    </font>
    <font>
      <u/>
      <sz val="12"/>
      <color theme="10"/>
      <name val="Calibri"/>
      <family val="2"/>
      <scheme val="minor"/>
    </font>
    <font>
      <sz val="11"/>
      <name val="Arial"/>
      <family val="2"/>
      <charset val="204"/>
    </font>
    <font>
      <b/>
      <sz val="12"/>
      <name val="Arial Narrow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color theme="1"/>
      <name val="Arial"/>
      <family val="2"/>
      <charset val="204"/>
    </font>
    <font>
      <b/>
      <sz val="12"/>
      <name val="Arial"/>
      <family val="2"/>
      <charset val="204"/>
    </font>
    <font>
      <i/>
      <sz val="11"/>
      <color theme="1"/>
      <name val="Arial"/>
      <family val="2"/>
      <charset val="204"/>
    </font>
    <font>
      <sz val="12"/>
      <name val="Arial"/>
      <family val="2"/>
      <charset val="204"/>
    </font>
    <font>
      <b/>
      <sz val="10"/>
      <name val="Arial Narrow"/>
      <family val="2"/>
    </font>
    <font>
      <sz val="10"/>
      <color rgb="FF000000"/>
      <name val="Tahoma"/>
      <family val="2"/>
    </font>
    <font>
      <b/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u/>
      <sz val="10"/>
      <color theme="10"/>
      <name val="Tahoma"/>
      <family val="2"/>
    </font>
    <font>
      <u/>
      <sz val="12"/>
      <color theme="10"/>
      <name val="Calibri"/>
      <family val="2"/>
      <charset val="204"/>
      <scheme val="minor"/>
    </font>
    <font>
      <i/>
      <sz val="9"/>
      <color theme="1"/>
      <name val="Arial"/>
      <family val="2"/>
      <charset val="204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gray125">
        <fgColor theme="0" tint="-0.14993743705557422"/>
        <bgColor theme="0" tint="-4.9989318521683403E-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/>
      <top/>
      <bottom/>
      <diagonal/>
    </border>
    <border>
      <left/>
      <right style="thick">
        <color theme="0" tint="-0.499984740745262"/>
      </right>
      <top/>
      <bottom/>
      <diagonal/>
    </border>
    <border>
      <left style="thick">
        <color theme="0" tint="-0.499984740745262"/>
      </left>
      <right/>
      <top/>
      <bottom style="thick">
        <color theme="0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</borders>
  <cellStyleXfs count="9">
    <xf numFmtId="0" fontId="0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27" fillId="0" borderId="0"/>
    <xf numFmtId="0" fontId="30" fillId="0" borderId="0" applyNumberFormat="0" applyFill="0" applyBorder="0" applyAlignment="0" applyProtection="0"/>
  </cellStyleXfs>
  <cellXfs count="183">
    <xf numFmtId="0" fontId="0" fillId="0" borderId="0" xfId="0"/>
    <xf numFmtId="37" fontId="7" fillId="0" borderId="0" xfId="1" applyNumberFormat="1" applyFont="1"/>
    <xf numFmtId="37" fontId="8" fillId="0" borderId="0" xfId="1" applyNumberFormat="1" applyFont="1" applyAlignment="1">
      <alignment vertical="center"/>
    </xf>
    <xf numFmtId="0" fontId="9" fillId="0" borderId="0" xfId="0" applyFont="1"/>
    <xf numFmtId="37" fontId="11" fillId="0" borderId="0" xfId="1" applyNumberFormat="1" applyFont="1"/>
    <xf numFmtId="37" fontId="11" fillId="0" borderId="0" xfId="1" applyNumberFormat="1" applyFont="1" applyAlignment="1">
      <alignment horizontal="left" vertical="center"/>
    </xf>
    <xf numFmtId="37" fontId="10" fillId="0" borderId="0" xfId="1" applyNumberFormat="1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169" fontId="10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165" fontId="21" fillId="0" borderId="0" xfId="1" applyNumberFormat="1" applyFont="1" applyAlignment="1">
      <alignment horizontal="right" vertical="center"/>
    </xf>
    <xf numFmtId="169" fontId="16" fillId="0" borderId="2" xfId="1" applyNumberFormat="1" applyFont="1" applyBorder="1" applyAlignment="1">
      <alignment horizontal="right" vertical="center"/>
    </xf>
    <xf numFmtId="37" fontId="10" fillId="0" borderId="2" xfId="1" applyNumberFormat="1" applyFont="1" applyBorder="1" applyAlignment="1">
      <alignment horizontal="left" vertical="center"/>
    </xf>
    <xf numFmtId="37" fontId="10" fillId="0" borderId="0" xfId="1" applyNumberFormat="1" applyFont="1"/>
    <xf numFmtId="0" fontId="12" fillId="0" borderId="0" xfId="0" applyFont="1" applyAlignment="1">
      <alignment horizontal="left" vertical="center"/>
    </xf>
    <xf numFmtId="165" fontId="14" fillId="0" borderId="0" xfId="0" applyNumberFormat="1" applyFont="1" applyAlignment="1">
      <alignment vertical="center"/>
    </xf>
    <xf numFmtId="165" fontId="14" fillId="0" borderId="0" xfId="0" applyNumberFormat="1" applyFont="1" applyAlignment="1">
      <alignment horizontal="right" vertical="center"/>
    </xf>
    <xf numFmtId="169" fontId="10" fillId="0" borderId="0" xfId="1" applyNumberFormat="1" applyFont="1" applyAlignment="1">
      <alignment horizontal="right" vertical="center"/>
    </xf>
    <xf numFmtId="0" fontId="4" fillId="0" borderId="0" xfId="0" applyFont="1"/>
    <xf numFmtId="167" fontId="18" fillId="0" borderId="0" xfId="1" applyNumberFormat="1" applyFont="1" applyAlignment="1">
      <alignment horizontal="center" vertical="center"/>
    </xf>
    <xf numFmtId="168" fontId="18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9" fontId="10" fillId="0" borderId="0" xfId="0" applyNumberFormat="1" applyFont="1" applyAlignment="1">
      <alignment vertical="center"/>
    </xf>
    <xf numFmtId="169" fontId="10" fillId="0" borderId="0" xfId="1" applyNumberFormat="1" applyFont="1" applyAlignment="1">
      <alignment vertical="center"/>
    </xf>
    <xf numFmtId="37" fontId="24" fillId="0" borderId="0" xfId="1" applyNumberFormat="1" applyFont="1"/>
    <xf numFmtId="165" fontId="24" fillId="0" borderId="0" xfId="3" applyNumberFormat="1" applyFont="1"/>
    <xf numFmtId="37" fontId="3" fillId="0" borderId="0" xfId="1" applyNumberFormat="1" applyFont="1"/>
    <xf numFmtId="165" fontId="14" fillId="0" borderId="0" xfId="3" applyNumberFormat="1" applyFont="1" applyAlignment="1">
      <alignment horizontal="right" vertical="center"/>
    </xf>
    <xf numFmtId="37" fontId="14" fillId="0" borderId="0" xfId="1" applyNumberFormat="1" applyFont="1" applyAlignment="1">
      <alignment vertical="center"/>
    </xf>
    <xf numFmtId="165" fontId="14" fillId="0" borderId="0" xfId="1" applyNumberFormat="1" applyFont="1" applyAlignment="1">
      <alignment horizontal="right" vertical="center"/>
    </xf>
    <xf numFmtId="37" fontId="3" fillId="0" borderId="0" xfId="1" applyNumberFormat="1" applyFont="1" applyAlignment="1">
      <alignment vertical="center"/>
    </xf>
    <xf numFmtId="165" fontId="13" fillId="0" borderId="0" xfId="3" applyNumberFormat="1" applyFont="1" applyAlignment="1">
      <alignment horizontal="right" vertical="center"/>
    </xf>
    <xf numFmtId="0" fontId="10" fillId="0" borderId="0" xfId="1" applyFont="1" applyAlignment="1">
      <alignment vertical="center"/>
    </xf>
    <xf numFmtId="0" fontId="14" fillId="0" borderId="0" xfId="1" applyFont="1" applyAlignment="1">
      <alignment vertical="center"/>
    </xf>
    <xf numFmtId="0" fontId="9" fillId="0" borderId="4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37" fontId="10" fillId="0" borderId="0" xfId="1" applyNumberFormat="1" applyFont="1" applyAlignment="1">
      <alignment horizontal="left" vertical="center"/>
    </xf>
    <xf numFmtId="0" fontId="23" fillId="4" borderId="0" xfId="1" applyFont="1" applyFill="1" applyAlignment="1">
      <alignment vertical="center"/>
    </xf>
    <xf numFmtId="0" fontId="15" fillId="0" borderId="0" xfId="1" applyFont="1" applyAlignment="1">
      <alignment vertical="center"/>
    </xf>
    <xf numFmtId="0" fontId="15" fillId="0" borderId="0" xfId="1" applyFont="1" applyAlignment="1">
      <alignment horizontal="center" vertical="center"/>
    </xf>
    <xf numFmtId="0" fontId="15" fillId="0" borderId="5" xfId="1" applyFont="1" applyBorder="1" applyAlignment="1">
      <alignment vertical="center"/>
    </xf>
    <xf numFmtId="0" fontId="15" fillId="0" borderId="5" xfId="1" applyFont="1" applyBorder="1" applyAlignment="1">
      <alignment horizontal="center" vertical="center"/>
    </xf>
    <xf numFmtId="37" fontId="8" fillId="0" borderId="7" xfId="1" applyNumberFormat="1" applyFont="1" applyBorder="1" applyAlignment="1">
      <alignment vertical="center"/>
    </xf>
    <xf numFmtId="37" fontId="8" fillId="0" borderId="8" xfId="1" applyNumberFormat="1" applyFont="1" applyBorder="1" applyAlignment="1">
      <alignment vertical="center"/>
    </xf>
    <xf numFmtId="37" fontId="10" fillId="0" borderId="8" xfId="1" applyNumberFormat="1" applyFont="1" applyBorder="1"/>
    <xf numFmtId="37" fontId="7" fillId="0" borderId="9" xfId="1" applyNumberFormat="1" applyFont="1" applyBorder="1"/>
    <xf numFmtId="37" fontId="7" fillId="0" borderId="11" xfId="1" applyNumberFormat="1" applyFont="1" applyBorder="1"/>
    <xf numFmtId="37" fontId="7" fillId="0" borderId="4" xfId="1" applyNumberFormat="1" applyFont="1" applyBorder="1"/>
    <xf numFmtId="37" fontId="7" fillId="0" borderId="5" xfId="1" applyNumberFormat="1" applyFont="1" applyBorder="1"/>
    <xf numFmtId="37" fontId="7" fillId="0" borderId="6" xfId="1" applyNumberFormat="1" applyFont="1" applyBorder="1"/>
    <xf numFmtId="0" fontId="15" fillId="0" borderId="0" xfId="1" applyFont="1" applyAlignment="1">
      <alignment horizontal="left" vertical="center"/>
    </xf>
    <xf numFmtId="0" fontId="15" fillId="0" borderId="5" xfId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0" fontId="12" fillId="0" borderId="0" xfId="0" applyFont="1"/>
    <xf numFmtId="0" fontId="15" fillId="0" borderId="4" xfId="1" applyFont="1" applyBorder="1" applyAlignment="1">
      <alignment vertical="center"/>
    </xf>
    <xf numFmtId="0" fontId="15" fillId="0" borderId="6" xfId="1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37" fontId="7" fillId="0" borderId="7" xfId="1" applyNumberFormat="1" applyFont="1" applyBorder="1"/>
    <xf numFmtId="37" fontId="7" fillId="0" borderId="8" xfId="1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0" fillId="4" borderId="0" xfId="1" applyFont="1" applyFill="1" applyAlignment="1">
      <alignment vertical="center"/>
    </xf>
    <xf numFmtId="0" fontId="12" fillId="0" borderId="10" xfId="0" applyFont="1" applyBorder="1" applyAlignment="1">
      <alignment vertical="center"/>
    </xf>
    <xf numFmtId="165" fontId="14" fillId="0" borderId="10" xfId="0" applyNumberFormat="1" applyFont="1" applyBorder="1" applyAlignment="1">
      <alignment horizontal="right" vertical="center"/>
    </xf>
    <xf numFmtId="0" fontId="20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20" fillId="4" borderId="0" xfId="1" applyFont="1" applyFill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" fillId="0" borderId="0" xfId="0" applyFont="1"/>
    <xf numFmtId="0" fontId="16" fillId="0" borderId="0" xfId="1" applyFont="1" applyAlignment="1">
      <alignment horizontal="left" vertical="center"/>
    </xf>
    <xf numFmtId="0" fontId="18" fillId="0" borderId="0" xfId="1" applyFont="1" applyAlignment="1">
      <alignment horizontal="center" vertical="center"/>
    </xf>
    <xf numFmtId="37" fontId="18" fillId="0" borderId="0" xfId="1" applyNumberFormat="1" applyFont="1" applyAlignment="1">
      <alignment vertical="center"/>
    </xf>
    <xf numFmtId="37" fontId="21" fillId="0" borderId="0" xfId="1" applyNumberFormat="1" applyFont="1" applyAlignment="1">
      <alignment vertical="center"/>
    </xf>
    <xf numFmtId="37" fontId="16" fillId="0" borderId="0" xfId="0" applyNumberFormat="1" applyFont="1" applyAlignment="1">
      <alignment vertical="center"/>
    </xf>
    <xf numFmtId="169" fontId="18" fillId="0" borderId="0" xfId="1" applyNumberFormat="1" applyFont="1" applyAlignment="1">
      <alignment horizontal="right" vertical="center"/>
    </xf>
    <xf numFmtId="169" fontId="16" fillId="0" borderId="0" xfId="1" applyNumberFormat="1" applyFont="1" applyAlignment="1">
      <alignment horizontal="right" vertical="center"/>
    </xf>
    <xf numFmtId="37" fontId="16" fillId="0" borderId="0" xfId="1" applyNumberFormat="1" applyFont="1" applyAlignment="1">
      <alignment vertical="center"/>
    </xf>
    <xf numFmtId="165" fontId="20" fillId="0" borderId="0" xfId="1" applyNumberFormat="1" applyFont="1" applyAlignment="1">
      <alignment horizontal="right" vertical="center"/>
    </xf>
    <xf numFmtId="0" fontId="25" fillId="0" borderId="7" xfId="0" applyFont="1" applyBorder="1"/>
    <xf numFmtId="0" fontId="18" fillId="0" borderId="0" xfId="1" applyFont="1" applyAlignment="1">
      <alignment horizontal="left" vertical="center"/>
    </xf>
    <xf numFmtId="0" fontId="25" fillId="0" borderId="8" xfId="0" applyFont="1" applyBorder="1"/>
    <xf numFmtId="0" fontId="18" fillId="0" borderId="7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25" fillId="0" borderId="0" xfId="0" applyFont="1"/>
    <xf numFmtId="166" fontId="10" fillId="0" borderId="0" xfId="1" applyNumberFormat="1" applyFont="1" applyAlignment="1">
      <alignment horizontal="right" vertical="center"/>
    </xf>
    <xf numFmtId="170" fontId="10" fillId="0" borderId="0" xfId="1" applyNumberFormat="1" applyFont="1" applyAlignment="1">
      <alignment horizontal="right" vertical="center"/>
    </xf>
    <xf numFmtId="0" fontId="19" fillId="4" borderId="0" xfId="1" applyFont="1" applyFill="1" applyAlignment="1">
      <alignment horizontal="right" vertical="center"/>
    </xf>
    <xf numFmtId="165" fontId="10" fillId="0" borderId="0" xfId="3" applyNumberFormat="1" applyFont="1" applyAlignment="1">
      <alignment horizontal="right" vertical="center"/>
    </xf>
    <xf numFmtId="39" fontId="16" fillId="0" borderId="0" xfId="1" applyNumberFormat="1" applyFont="1" applyAlignment="1">
      <alignment horizontal="right" vertical="center"/>
    </xf>
    <xf numFmtId="171" fontId="10" fillId="0" borderId="0" xfId="1" applyNumberFormat="1" applyFont="1" applyAlignment="1">
      <alignment horizontal="right" vertical="center"/>
    </xf>
    <xf numFmtId="0" fontId="10" fillId="0" borderId="0" xfId="0" applyFont="1"/>
    <xf numFmtId="169" fontId="10" fillId="0" borderId="0" xfId="5" applyNumberFormat="1" applyFont="1" applyFill="1" applyAlignment="1">
      <alignment horizontal="right" vertical="center"/>
    </xf>
    <xf numFmtId="165" fontId="14" fillId="0" borderId="0" xfId="5" applyNumberFormat="1" applyFont="1" applyFill="1" applyAlignment="1">
      <alignment horizontal="right" vertical="center"/>
    </xf>
    <xf numFmtId="37" fontId="16" fillId="0" borderId="1" xfId="1" applyNumberFormat="1" applyFont="1" applyBorder="1" applyAlignment="1">
      <alignment vertical="center"/>
    </xf>
    <xf numFmtId="170" fontId="16" fillId="0" borderId="1" xfId="1" applyNumberFormat="1" applyFont="1" applyBorder="1" applyAlignment="1">
      <alignment horizontal="right" vertical="center"/>
    </xf>
    <xf numFmtId="0" fontId="15" fillId="0" borderId="7" xfId="1" applyFont="1" applyBorder="1" applyAlignment="1">
      <alignment vertical="center"/>
    </xf>
    <xf numFmtId="0" fontId="15" fillId="0" borderId="8" xfId="1" applyFont="1" applyBorder="1" applyAlignment="1">
      <alignment vertical="center"/>
    </xf>
    <xf numFmtId="0" fontId="16" fillId="0" borderId="0" xfId="1" applyFont="1" applyAlignment="1">
      <alignment horizontal="center" vertical="center"/>
    </xf>
    <xf numFmtId="37" fontId="16" fillId="0" borderId="0" xfId="1" applyNumberFormat="1" applyFont="1" applyAlignment="1">
      <alignment horizontal="left" vertical="center"/>
    </xf>
    <xf numFmtId="37" fontId="18" fillId="0" borderId="0" xfId="1" applyNumberFormat="1" applyFont="1" applyAlignment="1">
      <alignment horizontal="left" vertical="center"/>
    </xf>
    <xf numFmtId="0" fontId="15" fillId="0" borderId="9" xfId="1" applyFont="1" applyBorder="1" applyAlignment="1">
      <alignment vertical="center"/>
    </xf>
    <xf numFmtId="0" fontId="16" fillId="0" borderId="10" xfId="1" applyFont="1" applyBorder="1" applyAlignment="1">
      <alignment horizontal="left" vertical="center"/>
    </xf>
    <xf numFmtId="0" fontId="16" fillId="0" borderId="10" xfId="1" applyFont="1" applyBorder="1" applyAlignment="1">
      <alignment horizontal="center" vertical="center"/>
    </xf>
    <xf numFmtId="0" fontId="15" fillId="0" borderId="11" xfId="1" applyFont="1" applyBorder="1" applyAlignment="1">
      <alignment vertical="center"/>
    </xf>
    <xf numFmtId="0" fontId="12" fillId="3" borderId="3" xfId="0" applyFont="1" applyFill="1" applyBorder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1" fillId="0" borderId="0" xfId="5" applyFont="1" applyFill="1" applyAlignment="1">
      <alignment vertical="center"/>
    </xf>
    <xf numFmtId="37" fontId="1" fillId="0" borderId="0" xfId="1" applyNumberFormat="1" applyFont="1" applyAlignment="1">
      <alignment horizontal="left" vertical="center"/>
    </xf>
    <xf numFmtId="169" fontId="1" fillId="0" borderId="0" xfId="1" applyNumberFormat="1" applyFont="1" applyAlignment="1">
      <alignment horizontal="right" vertical="center"/>
    </xf>
    <xf numFmtId="37" fontId="1" fillId="0" borderId="4" xfId="1" applyNumberFormat="1" applyFont="1" applyBorder="1" applyAlignment="1">
      <alignment horizontal="left" vertical="center"/>
    </xf>
    <xf numFmtId="37" fontId="1" fillId="0" borderId="5" xfId="1" applyNumberFormat="1" applyFont="1" applyBorder="1" applyAlignment="1">
      <alignment horizontal="left" vertical="center"/>
    </xf>
    <xf numFmtId="169" fontId="1" fillId="0" borderId="5" xfId="1" applyNumberFormat="1" applyFont="1" applyBorder="1" applyAlignment="1">
      <alignment horizontal="right" vertical="center"/>
    </xf>
    <xf numFmtId="37" fontId="1" fillId="0" borderId="6" xfId="1" applyNumberFormat="1" applyFont="1" applyBorder="1" applyAlignment="1">
      <alignment horizontal="left" vertical="center"/>
    </xf>
    <xf numFmtId="37" fontId="1" fillId="0" borderId="0" xfId="1" applyNumberFormat="1" applyFont="1"/>
    <xf numFmtId="37" fontId="1" fillId="0" borderId="7" xfId="1" applyNumberFormat="1" applyFont="1" applyBorder="1"/>
    <xf numFmtId="37" fontId="1" fillId="0" borderId="8" xfId="1" applyNumberFormat="1" applyFont="1" applyBorder="1"/>
    <xf numFmtId="169" fontId="1" fillId="0" borderId="0" xfId="1" applyNumberFormat="1" applyFont="1" applyAlignment="1">
      <alignment vertical="center"/>
    </xf>
    <xf numFmtId="37" fontId="1" fillId="0" borderId="0" xfId="1" applyNumberFormat="1" applyFont="1" applyAlignment="1">
      <alignment vertical="center"/>
    </xf>
    <xf numFmtId="37" fontId="1" fillId="0" borderId="7" xfId="1" applyNumberFormat="1" applyFont="1" applyBorder="1" applyAlignment="1">
      <alignment vertical="center"/>
    </xf>
    <xf numFmtId="0" fontId="1" fillId="0" borderId="0" xfId="1" applyFont="1" applyAlignment="1">
      <alignment vertical="center"/>
    </xf>
    <xf numFmtId="37" fontId="1" fillId="0" borderId="8" xfId="1" applyNumberFormat="1" applyFont="1" applyBorder="1" applyAlignment="1">
      <alignment vertical="center"/>
    </xf>
    <xf numFmtId="37" fontId="1" fillId="0" borderId="10" xfId="1" applyNumberFormat="1" applyFont="1" applyBorder="1"/>
    <xf numFmtId="0" fontId="1" fillId="0" borderId="10" xfId="0" applyFont="1" applyBorder="1" applyAlignment="1">
      <alignment vertical="center"/>
    </xf>
    <xf numFmtId="165" fontId="1" fillId="3" borderId="3" xfId="5" applyNumberFormat="1" applyFont="1" applyFill="1" applyBorder="1" applyAlignment="1" applyProtection="1">
      <alignment vertical="center"/>
      <protection locked="0"/>
    </xf>
    <xf numFmtId="169" fontId="1" fillId="0" borderId="0" xfId="0" applyNumberFormat="1" applyFont="1" applyAlignment="1">
      <alignment vertical="center"/>
    </xf>
    <xf numFmtId="169" fontId="1" fillId="0" borderId="0" xfId="0" applyNumberFormat="1" applyFont="1" applyAlignment="1">
      <alignment horizontal="right" vertical="center"/>
    </xf>
    <xf numFmtId="37" fontId="1" fillId="0" borderId="0" xfId="0" applyNumberFormat="1" applyFont="1" applyAlignment="1">
      <alignment vertical="center"/>
    </xf>
    <xf numFmtId="39" fontId="1" fillId="0" borderId="0" xfId="5" applyNumberFormat="1" applyFont="1" applyFill="1" applyAlignment="1">
      <alignment vertical="center"/>
    </xf>
    <xf numFmtId="169" fontId="1" fillId="0" borderId="0" xfId="5" applyNumberFormat="1" applyFont="1" applyFill="1" applyAlignment="1">
      <alignment horizontal="right" vertical="center"/>
    </xf>
    <xf numFmtId="0" fontId="1" fillId="0" borderId="0" xfId="0" applyFont="1"/>
    <xf numFmtId="0" fontId="1" fillId="0" borderId="5" xfId="0" applyFont="1" applyBorder="1"/>
    <xf numFmtId="0" fontId="1" fillId="0" borderId="0" xfId="0" applyFont="1" applyAlignment="1">
      <alignment horizontal="left" vertical="center"/>
    </xf>
    <xf numFmtId="0" fontId="1" fillId="0" borderId="10" xfId="0" applyFont="1" applyBorder="1"/>
    <xf numFmtId="0" fontId="1" fillId="0" borderId="0" xfId="0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168" fontId="1" fillId="3" borderId="3" xfId="5" applyNumberFormat="1" applyFont="1" applyFill="1" applyBorder="1" applyAlignment="1" applyProtection="1">
      <alignment horizontal="right" vertical="center"/>
      <protection locked="0"/>
    </xf>
    <xf numFmtId="168" fontId="10" fillId="0" borderId="0" xfId="1" applyNumberFormat="1" applyFont="1"/>
    <xf numFmtId="168" fontId="1" fillId="0" borderId="0" xfId="1" applyNumberFormat="1" applyFont="1"/>
    <xf numFmtId="168" fontId="1" fillId="0" borderId="0" xfId="1" applyNumberFormat="1" applyFont="1" applyAlignment="1">
      <alignment vertical="center"/>
    </xf>
    <xf numFmtId="168" fontId="1" fillId="0" borderId="0" xfId="1" applyNumberFormat="1" applyFont="1" applyAlignment="1">
      <alignment horizontal="right" vertical="center"/>
    </xf>
    <xf numFmtId="168" fontId="10" fillId="0" borderId="0" xfId="1" applyNumberFormat="1" applyFont="1" applyAlignment="1">
      <alignment horizontal="right" vertical="center"/>
    </xf>
    <xf numFmtId="169" fontId="1" fillId="3" borderId="3" xfId="5" applyNumberFormat="1" applyFont="1" applyFill="1" applyBorder="1" applyAlignment="1" applyProtection="1">
      <alignment horizontal="right" vertical="center"/>
      <protection locked="0"/>
    </xf>
    <xf numFmtId="170" fontId="1" fillId="3" borderId="3" xfId="5" applyNumberFormat="1" applyFont="1" applyFill="1" applyBorder="1" applyAlignment="1" applyProtection="1">
      <alignment horizontal="right" vertical="center"/>
      <protection locked="0"/>
    </xf>
    <xf numFmtId="9" fontId="14" fillId="3" borderId="3" xfId="5" applyNumberFormat="1" applyFont="1" applyFill="1" applyBorder="1" applyAlignment="1" applyProtection="1">
      <alignment horizontal="right" vertical="center"/>
      <protection locked="0"/>
    </xf>
    <xf numFmtId="165" fontId="14" fillId="3" borderId="3" xfId="5" applyNumberFormat="1" applyFont="1" applyFill="1" applyBorder="1" applyAlignment="1" applyProtection="1">
      <alignment horizontal="right" vertical="center"/>
      <protection locked="0"/>
    </xf>
    <xf numFmtId="39" fontId="1" fillId="3" borderId="3" xfId="5" applyNumberFormat="1" applyFont="1" applyFill="1" applyBorder="1" applyAlignment="1" applyProtection="1">
      <alignment horizontal="right" vertical="center"/>
      <protection locked="0"/>
    </xf>
    <xf numFmtId="10" fontId="1" fillId="3" borderId="3" xfId="0" applyNumberFormat="1" applyFont="1" applyFill="1" applyBorder="1" applyAlignment="1" applyProtection="1">
      <alignment horizontal="right" vertical="center"/>
      <protection locked="0"/>
    </xf>
    <xf numFmtId="171" fontId="1" fillId="3" borderId="3" xfId="5" applyNumberFormat="1" applyFont="1" applyFill="1" applyBorder="1" applyAlignment="1" applyProtection="1">
      <alignment horizontal="right" vertical="center"/>
      <protection locked="0"/>
    </xf>
    <xf numFmtId="0" fontId="26" fillId="4" borderId="0" xfId="1" applyFont="1" applyFill="1" applyAlignment="1">
      <alignment horizontal="right" vertical="center"/>
    </xf>
    <xf numFmtId="0" fontId="28" fillId="0" borderId="0" xfId="7" applyFont="1"/>
    <xf numFmtId="0" fontId="31" fillId="0" borderId="0" xfId="8" applyFont="1"/>
    <xf numFmtId="0" fontId="28" fillId="0" borderId="0" xfId="7" applyFont="1" applyAlignment="1">
      <alignment vertical="center"/>
    </xf>
    <xf numFmtId="0" fontId="29" fillId="0" borderId="0" xfId="7" applyFont="1" applyAlignment="1">
      <alignment vertical="center"/>
    </xf>
    <xf numFmtId="0" fontId="28" fillId="5" borderId="0" xfId="7" applyFont="1" applyFill="1" applyAlignment="1">
      <alignment vertical="center"/>
    </xf>
    <xf numFmtId="171" fontId="1" fillId="0" borderId="0" xfId="1" applyNumberFormat="1" applyFont="1" applyAlignment="1">
      <alignment vertical="center"/>
    </xf>
    <xf numFmtId="171" fontId="10" fillId="0" borderId="0" xfId="1" applyNumberFormat="1" applyFont="1" applyAlignment="1">
      <alignment vertical="center"/>
    </xf>
    <xf numFmtId="37" fontId="1" fillId="6" borderId="0" xfId="1" applyNumberFormat="1" applyFont="1" applyFill="1" applyAlignment="1">
      <alignment vertical="center"/>
    </xf>
    <xf numFmtId="172" fontId="18" fillId="6" borderId="0" xfId="1" applyNumberFormat="1" applyFont="1" applyFill="1" applyAlignment="1">
      <alignment horizontal="right" vertical="center"/>
    </xf>
    <xf numFmtId="169" fontId="18" fillId="6" borderId="0" xfId="1" applyNumberFormat="1" applyFont="1" applyFill="1" applyAlignment="1">
      <alignment horizontal="right" vertical="center"/>
    </xf>
    <xf numFmtId="37" fontId="16" fillId="6" borderId="0" xfId="1" applyNumberFormat="1" applyFont="1" applyFill="1" applyAlignment="1">
      <alignment vertical="center"/>
    </xf>
    <xf numFmtId="166" fontId="16" fillId="6" borderId="0" xfId="1" applyNumberFormat="1" applyFont="1" applyFill="1" applyAlignment="1">
      <alignment horizontal="right" vertical="center"/>
    </xf>
    <xf numFmtId="170" fontId="16" fillId="6" borderId="0" xfId="1" applyNumberFormat="1" applyFont="1" applyFill="1" applyAlignment="1">
      <alignment horizontal="right" vertical="center"/>
    </xf>
    <xf numFmtId="37" fontId="32" fillId="0" borderId="0" xfId="1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33" fillId="0" borderId="0" xfId="0" applyFont="1"/>
    <xf numFmtId="169" fontId="33" fillId="0" borderId="0" xfId="5" applyNumberFormat="1" applyFont="1" applyFill="1" applyAlignment="1">
      <alignment horizontal="right" vertical="center"/>
    </xf>
    <xf numFmtId="0" fontId="10" fillId="0" borderId="2" xfId="0" applyFont="1" applyBorder="1" applyAlignment="1">
      <alignment vertical="center"/>
    </xf>
    <xf numFmtId="169" fontId="10" fillId="0" borderId="2" xfId="0" applyNumberFormat="1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165" fontId="1" fillId="3" borderId="3" xfId="0" applyNumberFormat="1" applyFont="1" applyFill="1" applyBorder="1" applyAlignment="1" applyProtection="1">
      <alignment horizontal="right" vertical="center"/>
      <protection locked="0"/>
    </xf>
    <xf numFmtId="0" fontId="17" fillId="0" borderId="0" xfId="6" applyFill="1"/>
  </cellXfs>
  <cellStyles count="9">
    <cellStyle name="20% - Accent6" xfId="5" builtinId="50"/>
    <cellStyle name="Comma 2" xfId="2" xr:uid="{00000000-0005-0000-0000-000001000000}"/>
    <cellStyle name="Hyperlink" xfId="6" xr:uid="{00000000-0005-0000-0000-000002000000}"/>
    <cellStyle name="Normal" xfId="0" builtinId="0"/>
    <cellStyle name="Гиперссылка 2" xfId="8" xr:uid="{00000000-0005-0000-0000-000003000000}"/>
    <cellStyle name="Обычный 2" xfId="1" xr:uid="{00000000-0005-0000-0000-000005000000}"/>
    <cellStyle name="Обычный 3" xfId="7" xr:uid="{00000000-0005-0000-0000-000006000000}"/>
    <cellStyle name="Процентный 2" xfId="3" xr:uid="{00000000-0005-0000-0000-000007000000}"/>
    <cellStyle name="Финансовый 2" xfId="4" xr:uid="{00000000-0005-0000-0000-000008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2438400</xdr:colOff>
      <xdr:row>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80A7DC-6914-4B22-8B8C-E9912E8B2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371600"/>
          <a:ext cx="2438400" cy="828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#businesscalculator.pro/Excel/&#1058;&#1086;&#1088;&#1075;&#1086;&#1074;&#1099;&#1077; &#1082;&#1072;&#1083;&#1100;&#1082;&#1091;&#1083;&#1103;&#1090;&#1086;&#1088;&#1099;/torg-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SSC"/>
      <sheetName val="Валовая прибыль и наценка"/>
      <sheetName val="Расчет цены по рентабельности"/>
      <sheetName val="Расчет цены по наценке"/>
      <sheetName val="Расчет валовой прибыли"/>
      <sheetName val="Расчет себестоимости"/>
      <sheetName val="Расчет цены без НДС"/>
      <sheetName val="Расчет цены включая НДС"/>
      <sheetName val="О программе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sinesscalculator.pro/ecommerce/sho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C17"/>
  <sheetViews>
    <sheetView showGridLines="0" showRowColHeaders="0" tabSelected="1" zoomScaleNormal="100" workbookViewId="0">
      <selection activeCell="B11" sqref="B11"/>
    </sheetView>
  </sheetViews>
  <sheetFormatPr defaultColWidth="9" defaultRowHeight="18" customHeight="1" x14ac:dyDescent="0.3"/>
  <cols>
    <col min="1" max="1" width="2.58203125" style="77" customWidth="1"/>
    <col min="2" max="2" width="78.58203125" style="77" customWidth="1"/>
    <col min="3" max="3" width="2.58203125" style="77" customWidth="1"/>
    <col min="4" max="16384" width="9" style="77"/>
  </cols>
  <sheetData>
    <row r="1" spans="1:3" ht="18" customHeight="1" thickTop="1" x14ac:dyDescent="0.3">
      <c r="A1" s="61"/>
      <c r="B1" s="57"/>
      <c r="C1" s="62"/>
    </row>
    <row r="2" spans="1:3" ht="18" customHeight="1" x14ac:dyDescent="0.35">
      <c r="A2" s="63"/>
      <c r="B2" s="160" t="s">
        <v>0</v>
      </c>
      <c r="C2" s="64"/>
    </row>
    <row r="3" spans="1:3" ht="18" customHeight="1" x14ac:dyDescent="0.3">
      <c r="A3" s="65"/>
      <c r="B3" s="162" t="s">
        <v>1</v>
      </c>
      <c r="C3" s="66"/>
    </row>
    <row r="4" spans="1:3" ht="18" customHeight="1" x14ac:dyDescent="0.3">
      <c r="A4" s="65"/>
      <c r="B4" s="161" t="s">
        <v>2</v>
      </c>
      <c r="C4" s="66"/>
    </row>
    <row r="5" spans="1:3" ht="18" customHeight="1" x14ac:dyDescent="0.35">
      <c r="A5" s="65"/>
      <c r="B5" s="182" t="s">
        <v>3</v>
      </c>
      <c r="C5" s="66"/>
    </row>
    <row r="6" spans="1:3" ht="18" customHeight="1" x14ac:dyDescent="0.35">
      <c r="A6" s="65"/>
      <c r="B6" s="159"/>
      <c r="C6" s="66"/>
    </row>
    <row r="7" spans="1:3" ht="18" customHeight="1" x14ac:dyDescent="0.35">
      <c r="A7" s="65"/>
      <c r="B7" s="159"/>
      <c r="C7" s="66"/>
    </row>
    <row r="8" spans="1:3" ht="18" customHeight="1" x14ac:dyDescent="0.35">
      <c r="A8" s="65"/>
      <c r="B8" s="158"/>
      <c r="C8" s="66"/>
    </row>
    <row r="9" spans="1:3" ht="18" customHeight="1" x14ac:dyDescent="0.35">
      <c r="A9" s="67"/>
      <c r="B9" s="68"/>
      <c r="C9" s="69"/>
    </row>
    <row r="10" spans="1:3" ht="18" customHeight="1" x14ac:dyDescent="0.3">
      <c r="A10" s="138"/>
      <c r="B10" s="138"/>
      <c r="C10" s="138"/>
    </row>
    <row r="11" spans="1:3" ht="18" customHeight="1" x14ac:dyDescent="0.3">
      <c r="A11" s="138"/>
      <c r="B11" s="138"/>
      <c r="C11" s="138"/>
    </row>
    <row r="12" spans="1:3" ht="18" customHeight="1" x14ac:dyDescent="0.3">
      <c r="A12" s="138"/>
      <c r="B12" s="138"/>
      <c r="C12" s="138"/>
    </row>
    <row r="13" spans="1:3" ht="18" customHeight="1" x14ac:dyDescent="0.3">
      <c r="A13" s="138"/>
      <c r="B13" s="138"/>
      <c r="C13" s="138"/>
    </row>
    <row r="14" spans="1:3" ht="18" customHeight="1" x14ac:dyDescent="0.3">
      <c r="A14" s="138"/>
      <c r="B14" s="138"/>
      <c r="C14" s="138"/>
    </row>
    <row r="15" spans="1:3" ht="18" customHeight="1" x14ac:dyDescent="0.3">
      <c r="A15" s="138"/>
      <c r="B15" s="138"/>
      <c r="C15" s="138"/>
    </row>
    <row r="16" spans="1:3" ht="18" customHeight="1" x14ac:dyDescent="0.3">
      <c r="A16" s="138"/>
      <c r="B16" s="138"/>
      <c r="C16" s="138"/>
    </row>
    <row r="17" spans="1:3" ht="18" customHeight="1" x14ac:dyDescent="0.3">
      <c r="A17" s="138"/>
      <c r="B17" s="138"/>
      <c r="C17" s="138"/>
    </row>
  </sheetData>
  <conditionalFormatting sqref="B1:B2">
    <cfRule type="containsText" dxfId="15" priority="1" operator="containsText" text="OK">
      <formula>NOT(ISERROR(SEARCH("OK",B1)))</formula>
    </cfRule>
    <cfRule type="containsText" dxfId="14" priority="2" operator="containsText" text="ERROR">
      <formula>NOT(ISERROR(SEARCH("ERROR",B1)))</formula>
    </cfRule>
  </conditionalFormatting>
  <hyperlinks>
    <hyperlink ref="B5" r:id="rId1" xr:uid="{D300E28B-E4CE-4F97-98E6-B51C6C668138}"/>
  </hyperlinks>
  <pageMargins left="0.7" right="0.7" top="0.75" bottom="0.75" header="0.3" footer="0.3"/>
  <pageSetup paperSize="9" fitToHeight="0" orientation="landscape" verticalDpi="0" r:id="rId2"/>
  <headerFooter>
    <oddHeader>&amp;CФИНАНСОВАЯ МОДЕЛЬ</oddHeader>
    <oddFooter>&amp;L&amp;F [&amp;A]&amp;CО ПРОГРАММЕ&amp;R&amp;P/&amp;N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2"/>
  <dimension ref="A1:B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4" sqref="A14"/>
    </sheetView>
  </sheetViews>
  <sheetFormatPr defaultColWidth="9" defaultRowHeight="18" customHeight="1" x14ac:dyDescent="0.3"/>
  <cols>
    <col min="1" max="1" width="48.33203125" style="19" customWidth="1"/>
    <col min="2" max="2" width="12.58203125" style="22" customWidth="1"/>
    <col min="3" max="16384" width="9" style="19"/>
  </cols>
  <sheetData>
    <row r="1" spans="1:2" ht="18" customHeight="1" x14ac:dyDescent="0.3">
      <c r="A1" s="7" t="s">
        <v>121</v>
      </c>
      <c r="B1" s="142"/>
    </row>
    <row r="2" spans="1:2" ht="18" customHeight="1" x14ac:dyDescent="0.3">
      <c r="A2" s="114" t="s">
        <v>122</v>
      </c>
      <c r="B2" s="20">
        <v>12</v>
      </c>
    </row>
    <row r="3" spans="1:2" ht="18" customHeight="1" x14ac:dyDescent="0.3">
      <c r="A3" s="138" t="s">
        <v>123</v>
      </c>
      <c r="B3" s="21">
        <v>365</v>
      </c>
    </row>
    <row r="5" spans="1:2" ht="18" customHeight="1" x14ac:dyDescent="0.3">
      <c r="A5" s="138" t="s">
        <v>124</v>
      </c>
      <c r="B5" s="142" t="s">
        <v>125</v>
      </c>
    </row>
    <row r="6" spans="1:2" ht="18" customHeight="1" x14ac:dyDescent="0.3">
      <c r="A6" s="138" t="s">
        <v>126</v>
      </c>
      <c r="B6" s="142">
        <v>1</v>
      </c>
    </row>
    <row r="7" spans="1:2" ht="18" customHeight="1" x14ac:dyDescent="0.3">
      <c r="A7" s="138" t="s">
        <v>127</v>
      </c>
      <c r="B7" s="142">
        <v>2</v>
      </c>
    </row>
    <row r="8" spans="1:2" ht="18" customHeight="1" x14ac:dyDescent="0.3">
      <c r="A8" s="138" t="s">
        <v>128</v>
      </c>
      <c r="B8" s="142">
        <v>3</v>
      </c>
    </row>
    <row r="9" spans="1:2" ht="18" customHeight="1" x14ac:dyDescent="0.3">
      <c r="A9" s="138" t="s">
        <v>129</v>
      </c>
      <c r="B9" s="142">
        <v>4</v>
      </c>
    </row>
    <row r="10" spans="1:2" ht="18" customHeight="1" x14ac:dyDescent="0.3">
      <c r="A10" s="138" t="s">
        <v>130</v>
      </c>
      <c r="B10" s="142">
        <v>5</v>
      </c>
    </row>
    <row r="11" spans="1:2" ht="18" customHeight="1" x14ac:dyDescent="0.3">
      <c r="A11" s="138" t="s">
        <v>131</v>
      </c>
      <c r="B11" s="142">
        <v>6</v>
      </c>
    </row>
    <row r="12" spans="1:2" ht="18" customHeight="1" x14ac:dyDescent="0.3">
      <c r="A12" s="138" t="s">
        <v>132</v>
      </c>
      <c r="B12" s="142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2"/>
  <sheetViews>
    <sheetView workbookViewId="0"/>
  </sheetViews>
  <sheetFormatPr defaultColWidth="8.83203125" defaultRowHeight="15.5" x14ac:dyDescent="0.35"/>
  <sheetData>
    <row r="1" spans="1:5" x14ac:dyDescent="0.35">
      <c r="A1" t="s">
        <v>133</v>
      </c>
      <c r="B1" t="s">
        <v>134</v>
      </c>
      <c r="C1" t="s">
        <v>135</v>
      </c>
      <c r="D1" t="s">
        <v>136</v>
      </c>
      <c r="E1" t="s">
        <v>137</v>
      </c>
    </row>
    <row r="2" spans="1:5" x14ac:dyDescent="0.35">
      <c r="A2" t="s">
        <v>138</v>
      </c>
      <c r="B2" t="s">
        <v>139</v>
      </c>
      <c r="C2" t="s">
        <v>140</v>
      </c>
    </row>
    <row r="3" spans="1:5" x14ac:dyDescent="0.35">
      <c r="A3" t="s">
        <v>141</v>
      </c>
      <c r="B3" t="s">
        <v>142</v>
      </c>
      <c r="C3" t="s">
        <v>143</v>
      </c>
    </row>
    <row r="4" spans="1:5" x14ac:dyDescent="0.35">
      <c r="A4" t="s">
        <v>144</v>
      </c>
      <c r="B4" t="s">
        <v>145</v>
      </c>
      <c r="C4" t="s">
        <v>146</v>
      </c>
    </row>
    <row r="5" spans="1:5" x14ac:dyDescent="0.35">
      <c r="A5" t="s">
        <v>147</v>
      </c>
      <c r="B5" t="s">
        <v>148</v>
      </c>
      <c r="C5" t="s">
        <v>149</v>
      </c>
    </row>
    <row r="6" spans="1:5" x14ac:dyDescent="0.35">
      <c r="A6" t="s">
        <v>150</v>
      </c>
      <c r="B6" t="s">
        <v>151</v>
      </c>
      <c r="C6" t="s">
        <v>152</v>
      </c>
    </row>
    <row r="7" spans="1:5" x14ac:dyDescent="0.35">
      <c r="A7" t="s">
        <v>153</v>
      </c>
      <c r="B7" t="s">
        <v>154</v>
      </c>
      <c r="C7" t="s">
        <v>155</v>
      </c>
    </row>
    <row r="8" spans="1:5" x14ac:dyDescent="0.35">
      <c r="A8" t="s">
        <v>156</v>
      </c>
      <c r="B8" t="s">
        <v>157</v>
      </c>
      <c r="C8" t="s">
        <v>158</v>
      </c>
    </row>
    <row r="9" spans="1:5" x14ac:dyDescent="0.35">
      <c r="A9" t="s">
        <v>159</v>
      </c>
      <c r="B9" t="s">
        <v>160</v>
      </c>
      <c r="C9" t="s">
        <v>161</v>
      </c>
    </row>
    <row r="10" spans="1:5" x14ac:dyDescent="0.35">
      <c r="A10" t="s">
        <v>162</v>
      </c>
      <c r="B10" t="s">
        <v>163</v>
      </c>
      <c r="C10" t="s">
        <v>164</v>
      </c>
    </row>
    <row r="11" spans="1:5" x14ac:dyDescent="0.35">
      <c r="A11" t="s">
        <v>165</v>
      </c>
      <c r="B11" t="s">
        <v>166</v>
      </c>
      <c r="C11" t="s">
        <v>167</v>
      </c>
    </row>
    <row r="12" spans="1:5" x14ac:dyDescent="0.35">
      <c r="A12" t="s">
        <v>168</v>
      </c>
      <c r="B12" t="s">
        <v>169</v>
      </c>
    </row>
    <row r="13" spans="1:5" x14ac:dyDescent="0.35">
      <c r="A13" t="s">
        <v>170</v>
      </c>
      <c r="B13" t="s">
        <v>171</v>
      </c>
    </row>
    <row r="14" spans="1:5" x14ac:dyDescent="0.35">
      <c r="A14" t="s">
        <v>172</v>
      </c>
      <c r="B14" t="s">
        <v>173</v>
      </c>
    </row>
    <row r="15" spans="1:5" x14ac:dyDescent="0.35">
      <c r="A15" t="s">
        <v>174</v>
      </c>
      <c r="B15" t="s">
        <v>175</v>
      </c>
    </row>
    <row r="16" spans="1:5" x14ac:dyDescent="0.35">
      <c r="A16" t="s">
        <v>176</v>
      </c>
      <c r="B16" t="s">
        <v>177</v>
      </c>
    </row>
    <row r="17" spans="1:2" x14ac:dyDescent="0.35">
      <c r="A17" t="s">
        <v>178</v>
      </c>
      <c r="B17" t="s">
        <v>179</v>
      </c>
    </row>
    <row r="18" spans="1:2" x14ac:dyDescent="0.35">
      <c r="A18" t="s">
        <v>180</v>
      </c>
      <c r="B18" t="s">
        <v>181</v>
      </c>
    </row>
    <row r="19" spans="1:2" x14ac:dyDescent="0.35">
      <c r="A19" t="s">
        <v>182</v>
      </c>
      <c r="B19" t="s">
        <v>183</v>
      </c>
    </row>
    <row r="20" spans="1:2" x14ac:dyDescent="0.35">
      <c r="A20" t="s">
        <v>184</v>
      </c>
      <c r="B20" t="s">
        <v>185</v>
      </c>
    </row>
    <row r="21" spans="1:2" x14ac:dyDescent="0.35">
      <c r="A21" t="s">
        <v>186</v>
      </c>
      <c r="B21" t="s">
        <v>187</v>
      </c>
    </row>
    <row r="22" spans="1:2" x14ac:dyDescent="0.35">
      <c r="A22" t="s">
        <v>188</v>
      </c>
      <c r="B22" t="s">
        <v>189</v>
      </c>
    </row>
    <row r="23" spans="1:2" x14ac:dyDescent="0.35">
      <c r="A23" t="s">
        <v>190</v>
      </c>
      <c r="B23" t="s">
        <v>191</v>
      </c>
    </row>
    <row r="24" spans="1:2" x14ac:dyDescent="0.35">
      <c r="A24" t="s">
        <v>192</v>
      </c>
      <c r="B24" t="s">
        <v>193</v>
      </c>
    </row>
    <row r="25" spans="1:2" x14ac:dyDescent="0.35">
      <c r="A25" t="s">
        <v>194</v>
      </c>
      <c r="B25" t="s">
        <v>195</v>
      </c>
    </row>
    <row r="26" spans="1:2" x14ac:dyDescent="0.35">
      <c r="A26" t="s">
        <v>196</v>
      </c>
      <c r="B26" t="s">
        <v>197</v>
      </c>
    </row>
    <row r="27" spans="1:2" x14ac:dyDescent="0.35">
      <c r="A27" t="s">
        <v>198</v>
      </c>
      <c r="B27" t="s">
        <v>199</v>
      </c>
    </row>
    <row r="28" spans="1:2" x14ac:dyDescent="0.35">
      <c r="A28" t="s">
        <v>200</v>
      </c>
      <c r="B28" t="s">
        <v>201</v>
      </c>
    </row>
    <row r="29" spans="1:2" x14ac:dyDescent="0.35">
      <c r="A29" t="s">
        <v>202</v>
      </c>
      <c r="B29" t="s">
        <v>203</v>
      </c>
    </row>
    <row r="30" spans="1:2" x14ac:dyDescent="0.35">
      <c r="A30" t="s">
        <v>204</v>
      </c>
      <c r="B30" t="s">
        <v>205</v>
      </c>
    </row>
    <row r="31" spans="1:2" x14ac:dyDescent="0.35">
      <c r="A31" t="s">
        <v>206</v>
      </c>
      <c r="B31" t="s">
        <v>207</v>
      </c>
    </row>
    <row r="32" spans="1:2" x14ac:dyDescent="0.35">
      <c r="A32" t="s">
        <v>208</v>
      </c>
      <c r="B32" t="s">
        <v>209</v>
      </c>
    </row>
    <row r="33" spans="1:2" x14ac:dyDescent="0.35">
      <c r="A33" t="s">
        <v>210</v>
      </c>
      <c r="B33" t="s">
        <v>211</v>
      </c>
    </row>
    <row r="34" spans="1:2" x14ac:dyDescent="0.35">
      <c r="A34" t="s">
        <v>212</v>
      </c>
      <c r="B34" t="s">
        <v>213</v>
      </c>
    </row>
    <row r="35" spans="1:2" x14ac:dyDescent="0.35">
      <c r="A35" t="s">
        <v>214</v>
      </c>
      <c r="B35" t="s">
        <v>215</v>
      </c>
    </row>
    <row r="36" spans="1:2" x14ac:dyDescent="0.35">
      <c r="A36" t="s">
        <v>216</v>
      </c>
      <c r="B36" t="s">
        <v>217</v>
      </c>
    </row>
    <row r="37" spans="1:2" x14ac:dyDescent="0.35">
      <c r="A37" t="s">
        <v>218</v>
      </c>
      <c r="B37" t="s">
        <v>219</v>
      </c>
    </row>
    <row r="38" spans="1:2" x14ac:dyDescent="0.35">
      <c r="A38" t="s">
        <v>220</v>
      </c>
      <c r="B38" t="s">
        <v>221</v>
      </c>
    </row>
    <row r="39" spans="1:2" x14ac:dyDescent="0.35">
      <c r="A39" t="s">
        <v>222</v>
      </c>
      <c r="B39" t="s">
        <v>223</v>
      </c>
    </row>
    <row r="40" spans="1:2" x14ac:dyDescent="0.35">
      <c r="A40" t="s">
        <v>224</v>
      </c>
      <c r="B40" t="s">
        <v>225</v>
      </c>
    </row>
    <row r="41" spans="1:2" x14ac:dyDescent="0.35">
      <c r="A41" t="s">
        <v>226</v>
      </c>
      <c r="B41" t="s">
        <v>227</v>
      </c>
    </row>
    <row r="42" spans="1:2" x14ac:dyDescent="0.35">
      <c r="A42" t="s">
        <v>228</v>
      </c>
      <c r="B42" t="s">
        <v>229</v>
      </c>
    </row>
    <row r="43" spans="1:2" x14ac:dyDescent="0.35">
      <c r="A43" t="s">
        <v>230</v>
      </c>
      <c r="B43" t="s">
        <v>231</v>
      </c>
    </row>
    <row r="44" spans="1:2" x14ac:dyDescent="0.35">
      <c r="A44" t="s">
        <v>232</v>
      </c>
      <c r="B44" t="s">
        <v>233</v>
      </c>
    </row>
    <row r="45" spans="1:2" x14ac:dyDescent="0.35">
      <c r="A45" t="s">
        <v>234</v>
      </c>
      <c r="B45" t="s">
        <v>235</v>
      </c>
    </row>
    <row r="46" spans="1:2" x14ac:dyDescent="0.35">
      <c r="A46" t="s">
        <v>236</v>
      </c>
      <c r="B46" t="s">
        <v>237</v>
      </c>
    </row>
    <row r="47" spans="1:2" x14ac:dyDescent="0.35">
      <c r="A47" t="s">
        <v>238</v>
      </c>
      <c r="B47" t="s">
        <v>239</v>
      </c>
    </row>
    <row r="48" spans="1:2" x14ac:dyDescent="0.35">
      <c r="A48" t="s">
        <v>240</v>
      </c>
      <c r="B48" t="s">
        <v>241</v>
      </c>
    </row>
    <row r="49" spans="1:2" x14ac:dyDescent="0.35">
      <c r="A49" t="s">
        <v>242</v>
      </c>
      <c r="B49" t="s">
        <v>243</v>
      </c>
    </row>
    <row r="50" spans="1:2" x14ac:dyDescent="0.35">
      <c r="A50" t="s">
        <v>244</v>
      </c>
      <c r="B50" t="s">
        <v>245</v>
      </c>
    </row>
    <row r="51" spans="1:2" x14ac:dyDescent="0.35">
      <c r="A51" t="s">
        <v>246</v>
      </c>
      <c r="B51" t="s">
        <v>247</v>
      </c>
    </row>
    <row r="52" spans="1:2" x14ac:dyDescent="0.35">
      <c r="A52" t="s">
        <v>248</v>
      </c>
      <c r="B52" t="s">
        <v>249</v>
      </c>
    </row>
    <row r="53" spans="1:2" x14ac:dyDescent="0.35">
      <c r="A53" t="s">
        <v>250</v>
      </c>
      <c r="B53" t="s">
        <v>251</v>
      </c>
    </row>
    <row r="54" spans="1:2" x14ac:dyDescent="0.35">
      <c r="A54" t="s">
        <v>252</v>
      </c>
      <c r="B54" t="s">
        <v>253</v>
      </c>
    </row>
    <row r="55" spans="1:2" x14ac:dyDescent="0.35">
      <c r="A55" t="s">
        <v>254</v>
      </c>
      <c r="B55" t="s">
        <v>255</v>
      </c>
    </row>
    <row r="56" spans="1:2" x14ac:dyDescent="0.35">
      <c r="A56" t="s">
        <v>256</v>
      </c>
      <c r="B56" t="s">
        <v>257</v>
      </c>
    </row>
    <row r="57" spans="1:2" x14ac:dyDescent="0.35">
      <c r="A57" t="s">
        <v>258</v>
      </c>
      <c r="B57" t="s">
        <v>259</v>
      </c>
    </row>
    <row r="58" spans="1:2" x14ac:dyDescent="0.35">
      <c r="A58" t="s">
        <v>260</v>
      </c>
      <c r="B58" t="s">
        <v>261</v>
      </c>
    </row>
    <row r="59" spans="1:2" x14ac:dyDescent="0.35">
      <c r="A59" t="s">
        <v>262</v>
      </c>
      <c r="B59" t="s">
        <v>263</v>
      </c>
    </row>
    <row r="60" spans="1:2" x14ac:dyDescent="0.35">
      <c r="A60" t="s">
        <v>264</v>
      </c>
      <c r="B60" t="s">
        <v>265</v>
      </c>
    </row>
    <row r="61" spans="1:2" x14ac:dyDescent="0.35">
      <c r="A61" t="s">
        <v>266</v>
      </c>
      <c r="B61" t="s">
        <v>267</v>
      </c>
    </row>
    <row r="62" spans="1:2" x14ac:dyDescent="0.35">
      <c r="A62" t="s">
        <v>268</v>
      </c>
      <c r="B62" t="s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I60"/>
  <sheetViews>
    <sheetView showGridLines="0" topLeftCell="B1" zoomScaleNormal="100" workbookViewId="0">
      <selection activeCell="B4" sqref="B4"/>
    </sheetView>
  </sheetViews>
  <sheetFormatPr defaultColWidth="8" defaultRowHeight="18" customHeight="1" outlineLevelRow="1" x14ac:dyDescent="0.3"/>
  <cols>
    <col min="1" max="1" width="2.58203125" style="1" customWidth="1"/>
    <col min="2" max="2" width="65.58203125" style="1" customWidth="1"/>
    <col min="3" max="3" width="12.58203125" style="1" customWidth="1"/>
    <col min="4" max="4" width="2.58203125" style="1" customWidth="1"/>
    <col min="5" max="16384" width="8" style="1"/>
  </cols>
  <sheetData>
    <row r="1" spans="1:9" s="5" customFormat="1" ht="18" customHeight="1" x14ac:dyDescent="0.35">
      <c r="A1" s="118"/>
      <c r="B1" s="119"/>
      <c r="C1" s="120"/>
      <c r="D1" s="121"/>
      <c r="E1" s="116"/>
      <c r="F1" s="116"/>
      <c r="G1" s="116"/>
      <c r="H1" s="116"/>
      <c r="I1" s="116"/>
    </row>
    <row r="2" spans="1:9" s="2" customFormat="1" ht="18" customHeight="1" x14ac:dyDescent="0.35">
      <c r="A2" s="48"/>
      <c r="B2" s="43" t="s">
        <v>4</v>
      </c>
      <c r="C2" s="95" t="s">
        <v>5</v>
      </c>
      <c r="D2" s="49"/>
    </row>
    <row r="3" spans="1:9" s="27" customFormat="1" ht="18" customHeight="1" outlineLevel="1" x14ac:dyDescent="0.3">
      <c r="A3" s="123"/>
      <c r="B3" s="122"/>
      <c r="C3" s="122"/>
      <c r="D3" s="124"/>
      <c r="E3" s="122"/>
      <c r="F3" s="122"/>
      <c r="G3" s="122"/>
      <c r="H3" s="122"/>
      <c r="I3" s="122"/>
    </row>
    <row r="4" spans="1:9" s="27" customFormat="1" ht="18" customHeight="1" outlineLevel="1" x14ac:dyDescent="0.3">
      <c r="A4" s="123"/>
      <c r="B4" s="143" t="s">
        <v>6</v>
      </c>
      <c r="C4" s="24">
        <f>ВЫРУЧКА!$C$2</f>
        <v>1241614.08</v>
      </c>
      <c r="D4" s="124"/>
      <c r="E4" s="122"/>
      <c r="F4" s="122"/>
      <c r="G4" s="122"/>
      <c r="H4" s="122"/>
      <c r="I4" s="122"/>
    </row>
    <row r="5" spans="1:9" s="27" customFormat="1" ht="18" customHeight="1" outlineLevel="1" x14ac:dyDescent="0.3">
      <c r="A5" s="123"/>
      <c r="B5" s="114" t="s">
        <v>7</v>
      </c>
      <c r="C5" s="125">
        <f>СЕБЕСТОИМОСТЬ!$C$19</f>
        <v>418521.59999999998</v>
      </c>
      <c r="D5" s="124"/>
      <c r="E5" s="122"/>
      <c r="F5" s="122"/>
      <c r="G5" s="122"/>
      <c r="H5" s="122"/>
      <c r="I5" s="122"/>
    </row>
    <row r="6" spans="1:9" s="27" customFormat="1" ht="18" customHeight="1" outlineLevel="1" x14ac:dyDescent="0.3">
      <c r="A6" s="123"/>
      <c r="B6" s="29" t="s">
        <v>8</v>
      </c>
      <c r="C6" s="30">
        <f>IF($C$4&lt;&gt;0,$C$5/$C$4,"-")</f>
        <v>0.33707865168539319</v>
      </c>
      <c r="D6" s="124"/>
      <c r="E6" s="122"/>
      <c r="F6" s="122"/>
      <c r="G6" s="122"/>
      <c r="H6" s="122"/>
      <c r="I6" s="122"/>
    </row>
    <row r="7" spans="1:9" s="27" customFormat="1" ht="18" customHeight="1" outlineLevel="1" x14ac:dyDescent="0.3">
      <c r="A7" s="123"/>
      <c r="B7" s="6" t="s">
        <v>9</v>
      </c>
      <c r="C7" s="24">
        <f>$C$4-$C$5</f>
        <v>823092.4800000001</v>
      </c>
      <c r="D7" s="124"/>
      <c r="E7" s="122"/>
      <c r="F7" s="122"/>
      <c r="G7" s="122"/>
      <c r="H7" s="122"/>
      <c r="I7" s="122"/>
    </row>
    <row r="8" spans="1:9" s="27" customFormat="1" ht="18" customHeight="1" outlineLevel="1" x14ac:dyDescent="0.3">
      <c r="A8" s="123"/>
      <c r="B8" s="6" t="s">
        <v>10</v>
      </c>
      <c r="C8" s="32">
        <f>IF(ISERROR($C$7/$C$4), "-",($C$7/$C$4))</f>
        <v>0.66292134831460681</v>
      </c>
      <c r="D8" s="50"/>
      <c r="E8" s="122"/>
      <c r="F8" s="122"/>
      <c r="G8" s="122"/>
      <c r="H8" s="122"/>
      <c r="I8" s="122"/>
    </row>
    <row r="9" spans="1:9" s="27" customFormat="1" ht="18" customHeight="1" outlineLevel="1" x14ac:dyDescent="0.35">
      <c r="A9" s="123"/>
      <c r="B9" s="25"/>
      <c r="C9" s="26"/>
      <c r="D9" s="124"/>
      <c r="E9" s="122"/>
      <c r="F9" s="122"/>
      <c r="G9" s="122"/>
      <c r="H9" s="122"/>
      <c r="I9" s="122"/>
    </row>
    <row r="10" spans="1:9" s="27" customFormat="1" ht="18" customHeight="1" outlineLevel="1" x14ac:dyDescent="0.3">
      <c r="A10" s="123"/>
      <c r="B10" s="6" t="s">
        <v>11</v>
      </c>
      <c r="C10" s="122"/>
      <c r="D10" s="124"/>
      <c r="E10" s="122"/>
      <c r="F10" s="122"/>
      <c r="G10" s="122"/>
      <c r="H10" s="122"/>
      <c r="I10" s="122"/>
    </row>
    <row r="11" spans="1:9" s="27" customFormat="1" ht="18" customHeight="1" outlineLevel="1" x14ac:dyDescent="0.3">
      <c r="A11" s="123"/>
      <c r="B11" s="114" t="s">
        <v>12</v>
      </c>
      <c r="C11" s="117">
        <f>'ОПЕРАЦИОННЫЕ РАСХОДЫ'!$C$17</f>
        <v>146400</v>
      </c>
      <c r="D11" s="124"/>
      <c r="E11" s="122"/>
      <c r="F11" s="122"/>
      <c r="G11" s="122"/>
      <c r="H11" s="122"/>
      <c r="I11" s="122"/>
    </row>
    <row r="12" spans="1:9" s="27" customFormat="1" ht="18" customHeight="1" outlineLevel="1" x14ac:dyDescent="0.3">
      <c r="A12" s="123"/>
      <c r="B12" s="29" t="s">
        <v>8</v>
      </c>
      <c r="C12" s="30">
        <f>IF($C$4&lt;&gt;0,$C$11/$C$4,"-")</f>
        <v>0.11791103399858352</v>
      </c>
      <c r="D12" s="124"/>
      <c r="E12" s="122"/>
      <c r="F12" s="122"/>
      <c r="G12" s="122"/>
      <c r="H12" s="122"/>
      <c r="I12" s="122"/>
    </row>
    <row r="13" spans="1:9" s="27" customFormat="1" ht="18" customHeight="1" outlineLevel="1" x14ac:dyDescent="0.3">
      <c r="A13" s="123"/>
      <c r="B13" s="114" t="s">
        <v>13</v>
      </c>
      <c r="C13" s="117">
        <f>'ОПЕРАЦИОННЫЕ РАСХОДЫ'!$C$19</f>
        <v>31040.352000000003</v>
      </c>
      <c r="D13" s="124"/>
      <c r="E13" s="122"/>
      <c r="F13" s="122"/>
      <c r="G13" s="122"/>
      <c r="H13" s="122"/>
      <c r="I13" s="122"/>
    </row>
    <row r="14" spans="1:9" s="27" customFormat="1" ht="18" customHeight="1" outlineLevel="1" x14ac:dyDescent="0.3">
      <c r="A14" s="123"/>
      <c r="B14" s="29" t="s">
        <v>8</v>
      </c>
      <c r="C14" s="30">
        <f>IF($C$4&lt;&gt;0,$C$13/$C$4,"-")</f>
        <v>2.5000000000000001E-2</v>
      </c>
      <c r="D14" s="124"/>
      <c r="E14" s="122"/>
      <c r="F14" s="122"/>
      <c r="G14" s="122"/>
      <c r="H14" s="122"/>
      <c r="I14" s="122"/>
    </row>
    <row r="15" spans="1:9" s="27" customFormat="1" ht="18" customHeight="1" outlineLevel="1" x14ac:dyDescent="0.3">
      <c r="A15" s="123"/>
      <c r="B15" s="114" t="s">
        <v>14</v>
      </c>
      <c r="C15" s="117">
        <f>'ОПЕРАЦИОННЫЕ РАСХОДЫ'!$C$27</f>
        <v>101724</v>
      </c>
      <c r="D15" s="124"/>
      <c r="E15" s="122"/>
      <c r="F15" s="122"/>
      <c r="G15" s="122"/>
      <c r="H15" s="122"/>
      <c r="I15" s="122"/>
    </row>
    <row r="16" spans="1:9" s="27" customFormat="1" ht="18" customHeight="1" outlineLevel="1" x14ac:dyDescent="0.3">
      <c r="A16" s="123"/>
      <c r="B16" s="29" t="s">
        <v>8</v>
      </c>
      <c r="C16" s="30">
        <f>IF($C$4&lt;&gt;0,$C$15/$C$4,"-")</f>
        <v>8.1928838951310853E-2</v>
      </c>
      <c r="D16" s="124"/>
      <c r="E16" s="122"/>
      <c r="F16" s="122"/>
      <c r="G16" s="122"/>
      <c r="H16" s="122"/>
      <c r="I16" s="122"/>
    </row>
    <row r="17" spans="1:9" s="27" customFormat="1" ht="18" customHeight="1" outlineLevel="1" x14ac:dyDescent="0.3">
      <c r="A17" s="123"/>
      <c r="B17" s="178" t="s">
        <v>15</v>
      </c>
      <c r="C17" s="117">
        <f>'ОПЕРАЦИОННЫЕ РАСХОДЫ'!$C$30</f>
        <v>12416.140800000001</v>
      </c>
      <c r="D17" s="124"/>
      <c r="E17" s="122"/>
      <c r="F17" s="122"/>
      <c r="G17" s="122"/>
      <c r="H17" s="122"/>
      <c r="I17" s="122"/>
    </row>
    <row r="18" spans="1:9" s="27" customFormat="1" ht="18" customHeight="1" outlineLevel="1" x14ac:dyDescent="0.3">
      <c r="A18" s="123"/>
      <c r="B18" s="177" t="s">
        <v>8</v>
      </c>
      <c r="C18" s="30">
        <f>IF($C$4&lt;&gt;0,$C$17/$C$4,"-")</f>
        <v>0.01</v>
      </c>
      <c r="D18" s="124"/>
      <c r="E18" s="122"/>
      <c r="F18" s="122"/>
      <c r="G18" s="122"/>
      <c r="H18" s="122"/>
      <c r="I18" s="122"/>
    </row>
    <row r="19" spans="1:9" s="27" customFormat="1" ht="18" customHeight="1" outlineLevel="1" x14ac:dyDescent="0.3">
      <c r="A19" s="123"/>
      <c r="B19" s="6" t="s">
        <v>16</v>
      </c>
      <c r="C19" s="18">
        <f>$C$11+$C$13+$C$15+$C$17</f>
        <v>291580.49280000001</v>
      </c>
      <c r="D19" s="124"/>
      <c r="E19" s="122"/>
      <c r="F19" s="122"/>
      <c r="G19" s="122"/>
      <c r="H19" s="122"/>
      <c r="I19" s="122"/>
    </row>
    <row r="20" spans="1:9" s="27" customFormat="1" ht="18" customHeight="1" outlineLevel="1" x14ac:dyDescent="0.3">
      <c r="A20" s="123"/>
      <c r="B20" s="29" t="s">
        <v>8</v>
      </c>
      <c r="C20" s="30">
        <f>IF($C$4&lt;&gt;0,$C$19/$C$4,"-")</f>
        <v>0.23483987294989436</v>
      </c>
      <c r="D20" s="124"/>
      <c r="E20" s="122"/>
      <c r="F20" s="122"/>
      <c r="G20" s="122"/>
      <c r="H20" s="122"/>
      <c r="I20" s="122"/>
    </row>
    <row r="21" spans="1:9" s="27" customFormat="1" ht="18" customHeight="1" outlineLevel="1" x14ac:dyDescent="0.3">
      <c r="A21" s="123"/>
      <c r="B21" s="122"/>
      <c r="C21" s="117"/>
      <c r="D21" s="124"/>
      <c r="E21" s="122"/>
      <c r="F21" s="122"/>
      <c r="G21" s="122"/>
      <c r="H21" s="122"/>
      <c r="I21" s="122"/>
    </row>
    <row r="22" spans="1:9" s="27" customFormat="1" ht="18" customHeight="1" outlineLevel="1" x14ac:dyDescent="0.3">
      <c r="A22" s="123"/>
      <c r="B22" s="14" t="s">
        <v>17</v>
      </c>
      <c r="C22" s="18">
        <f>$C$7-$C$19</f>
        <v>531511.98720000009</v>
      </c>
      <c r="D22" s="124"/>
      <c r="E22" s="122"/>
      <c r="F22" s="122"/>
      <c r="G22" s="122"/>
      <c r="H22" s="122"/>
      <c r="I22" s="122"/>
    </row>
    <row r="23" spans="1:9" s="27" customFormat="1" ht="18" customHeight="1" outlineLevel="1" x14ac:dyDescent="0.3">
      <c r="A23" s="123"/>
      <c r="B23" s="122" t="s">
        <v>18</v>
      </c>
      <c r="C23" s="28">
        <f>IF(ISERROR($C$22/$C$4),"-",($C$22/$C$4))</f>
        <v>0.42808147536471242</v>
      </c>
      <c r="D23" s="124"/>
      <c r="E23" s="122"/>
      <c r="F23" s="122"/>
      <c r="G23" s="122"/>
      <c r="H23" s="122"/>
      <c r="I23" s="122"/>
    </row>
    <row r="24" spans="1:9" s="27" customFormat="1" ht="18" customHeight="1" outlineLevel="1" x14ac:dyDescent="0.3">
      <c r="A24" s="123"/>
      <c r="B24" s="122"/>
      <c r="C24" s="122"/>
      <c r="D24" s="124"/>
      <c r="E24" s="122"/>
      <c r="F24" s="122"/>
      <c r="G24" s="122"/>
      <c r="H24" s="122"/>
      <c r="I24" s="122"/>
    </row>
    <row r="25" spans="1:9" s="27" customFormat="1" ht="18" customHeight="1" outlineLevel="1" x14ac:dyDescent="0.3">
      <c r="A25" s="123"/>
      <c r="B25" s="33" t="s">
        <v>19</v>
      </c>
      <c r="C25" s="122"/>
      <c r="D25" s="124"/>
      <c r="E25" s="122"/>
      <c r="F25" s="122"/>
      <c r="G25" s="122"/>
      <c r="H25" s="122"/>
      <c r="I25" s="122"/>
    </row>
    <row r="26" spans="1:9" s="27" customFormat="1" ht="18" customHeight="1" outlineLevel="1" x14ac:dyDescent="0.3">
      <c r="A26" s="123"/>
      <c r="B26" s="114" t="s">
        <v>20</v>
      </c>
      <c r="C26" s="125">
        <f>'ОПЕРАЦИОННЫЕ РАСХОДЫ'!$C$44</f>
        <v>150900</v>
      </c>
      <c r="D26" s="124"/>
      <c r="E26" s="122"/>
      <c r="F26" s="122"/>
      <c r="G26" s="122"/>
      <c r="H26" s="122"/>
      <c r="I26" s="122"/>
    </row>
    <row r="27" spans="1:9" s="27" customFormat="1" ht="18" customHeight="1" outlineLevel="1" x14ac:dyDescent="0.3">
      <c r="A27" s="123"/>
      <c r="B27" s="34" t="s">
        <v>8</v>
      </c>
      <c r="C27" s="30">
        <f>IF($C$4&lt;&gt;0,$C$26/$C$4,"-")</f>
        <v>0.1215353485682121</v>
      </c>
      <c r="D27" s="124"/>
      <c r="E27" s="122"/>
      <c r="F27" s="122"/>
      <c r="G27" s="122"/>
      <c r="H27" s="122"/>
      <c r="I27" s="122"/>
    </row>
    <row r="28" spans="1:9" s="27" customFormat="1" ht="18" customHeight="1" outlineLevel="1" x14ac:dyDescent="0.3">
      <c r="A28" s="123"/>
      <c r="B28" s="114" t="s">
        <v>12</v>
      </c>
      <c r="C28" s="125">
        <f>'ОПЕРАЦИОННЫЕ РАСХОДЫ'!$C$51</f>
        <v>5600</v>
      </c>
      <c r="D28" s="124"/>
      <c r="E28" s="122"/>
      <c r="F28" s="122"/>
      <c r="G28" s="122"/>
      <c r="H28" s="122"/>
      <c r="I28" s="122"/>
    </row>
    <row r="29" spans="1:9" s="27" customFormat="1" ht="18" customHeight="1" outlineLevel="1" x14ac:dyDescent="0.3">
      <c r="A29" s="123"/>
      <c r="B29" s="34" t="s">
        <v>8</v>
      </c>
      <c r="C29" s="30">
        <f>IF($C$4&lt;&gt;0,$C$28/$C$4,"-")</f>
        <v>4.5102581310933589E-3</v>
      </c>
      <c r="D29" s="124"/>
      <c r="E29" s="122"/>
      <c r="F29" s="122"/>
      <c r="G29" s="122"/>
      <c r="H29" s="122"/>
      <c r="I29" s="122"/>
    </row>
    <row r="30" spans="1:9" s="27" customFormat="1" ht="18" customHeight="1" outlineLevel="1" x14ac:dyDescent="0.3">
      <c r="A30" s="123"/>
      <c r="B30" s="114" t="s">
        <v>14</v>
      </c>
      <c r="C30" s="125">
        <f>'ОПЕРАЦИОННЫЕ РАСХОДЫ'!$C$58</f>
        <v>15200</v>
      </c>
      <c r="D30" s="124"/>
      <c r="E30" s="122"/>
      <c r="F30" s="122"/>
      <c r="G30" s="122"/>
      <c r="H30" s="122"/>
      <c r="I30" s="122"/>
    </row>
    <row r="31" spans="1:9" s="27" customFormat="1" ht="18" customHeight="1" outlineLevel="1" x14ac:dyDescent="0.3">
      <c r="A31" s="123"/>
      <c r="B31" s="34" t="s">
        <v>8</v>
      </c>
      <c r="C31" s="30">
        <f>IF($C$4&lt;&gt;0,$C$30/$C$4,"-")</f>
        <v>1.2242129212967688E-2</v>
      </c>
      <c r="D31" s="124"/>
      <c r="E31" s="122"/>
      <c r="F31" s="122"/>
      <c r="G31" s="122"/>
      <c r="H31" s="122"/>
      <c r="I31" s="122"/>
    </row>
    <row r="32" spans="1:9" s="27" customFormat="1" ht="18" customHeight="1" outlineLevel="1" x14ac:dyDescent="0.3">
      <c r="A32" s="123"/>
      <c r="B32" s="114" t="s">
        <v>21</v>
      </c>
      <c r="C32" s="125">
        <f>'ОПЕРАЦИОННЫЕ РАСХОДЫ'!$C$65</f>
        <v>19400</v>
      </c>
      <c r="D32" s="124"/>
      <c r="E32" s="122"/>
      <c r="F32" s="122"/>
      <c r="G32" s="122"/>
      <c r="H32" s="122"/>
      <c r="I32" s="122"/>
    </row>
    <row r="33" spans="1:9" s="27" customFormat="1" ht="18" customHeight="1" outlineLevel="1" x14ac:dyDescent="0.3">
      <c r="A33" s="123"/>
      <c r="B33" s="34" t="s">
        <v>8</v>
      </c>
      <c r="C33" s="30">
        <f>IF($C$4&lt;&gt;0,$C$32/$C$4,"-")</f>
        <v>1.5624822811287705E-2</v>
      </c>
      <c r="D33" s="124"/>
      <c r="E33" s="122"/>
      <c r="F33" s="122"/>
      <c r="G33" s="122"/>
      <c r="H33" s="122"/>
      <c r="I33" s="122"/>
    </row>
    <row r="34" spans="1:9" s="27" customFormat="1" ht="18" customHeight="1" outlineLevel="1" x14ac:dyDescent="0.3">
      <c r="A34" s="123"/>
      <c r="B34" s="114" t="s">
        <v>22</v>
      </c>
      <c r="C34" s="125">
        <f>'ОПЕРАЦИОННЫЕ РАСХОДЫ'!$C$72</f>
        <v>12600</v>
      </c>
      <c r="D34" s="124"/>
      <c r="E34" s="122"/>
      <c r="F34" s="122"/>
      <c r="G34" s="122"/>
      <c r="H34" s="122"/>
      <c r="I34" s="122"/>
    </row>
    <row r="35" spans="1:9" s="27" customFormat="1" ht="18" customHeight="1" outlineLevel="1" x14ac:dyDescent="0.3">
      <c r="A35" s="123"/>
      <c r="B35" s="34" t="s">
        <v>8</v>
      </c>
      <c r="C35" s="30">
        <f>IF($C$4&lt;&gt;0,$C$34/$C$4,"-")</f>
        <v>1.0148080794960056E-2</v>
      </c>
      <c r="D35" s="124"/>
      <c r="E35" s="122"/>
      <c r="F35" s="122"/>
      <c r="G35" s="122"/>
      <c r="H35" s="122"/>
      <c r="I35" s="122"/>
    </row>
    <row r="36" spans="1:9" s="27" customFormat="1" ht="18" customHeight="1" outlineLevel="1" x14ac:dyDescent="0.3">
      <c r="A36" s="123"/>
      <c r="B36" s="114" t="s">
        <v>23</v>
      </c>
      <c r="C36" s="125">
        <f>'ОПЕРАЦИОННЫЕ РАСХОДЫ'!$C$79</f>
        <v>12000</v>
      </c>
      <c r="D36" s="124"/>
      <c r="E36" s="122"/>
      <c r="F36" s="122"/>
      <c r="G36" s="122"/>
      <c r="H36" s="122"/>
      <c r="I36" s="122"/>
    </row>
    <row r="37" spans="1:9" s="27" customFormat="1" ht="18" customHeight="1" outlineLevel="1" x14ac:dyDescent="0.3">
      <c r="A37" s="123"/>
      <c r="B37" s="34" t="s">
        <v>8</v>
      </c>
      <c r="C37" s="30">
        <f>IF($C$4&lt;&gt;0,$C$36/$C$4,"-")</f>
        <v>9.6648388523429118E-3</v>
      </c>
      <c r="D37" s="124"/>
      <c r="E37" s="122"/>
      <c r="F37" s="122"/>
      <c r="G37" s="122"/>
      <c r="H37" s="122"/>
      <c r="I37" s="122"/>
    </row>
    <row r="38" spans="1:9" s="27" customFormat="1" ht="18" customHeight="1" outlineLevel="1" x14ac:dyDescent="0.3">
      <c r="A38" s="123"/>
      <c r="B38" s="114" t="s">
        <v>24</v>
      </c>
      <c r="C38" s="125">
        <f>'ОПЕРАЦИОННЫЕ РАСХОДЫ'!$C$99</f>
        <v>22680</v>
      </c>
      <c r="D38" s="124"/>
      <c r="E38" s="122"/>
      <c r="F38" s="122"/>
      <c r="G38" s="122"/>
      <c r="H38" s="122"/>
      <c r="I38" s="122"/>
    </row>
    <row r="39" spans="1:9" s="27" customFormat="1" ht="18" customHeight="1" outlineLevel="1" x14ac:dyDescent="0.3">
      <c r="A39" s="123"/>
      <c r="B39" s="34" t="s">
        <v>8</v>
      </c>
      <c r="C39" s="30">
        <f>IF($C$4&lt;&gt;0,$C$38/$C$4,"-")</f>
        <v>1.8266545430928101E-2</v>
      </c>
      <c r="D39" s="124"/>
      <c r="E39" s="122"/>
      <c r="F39" s="122"/>
      <c r="G39" s="122"/>
      <c r="H39" s="122"/>
      <c r="I39" s="122"/>
    </row>
    <row r="40" spans="1:9" s="27" customFormat="1" ht="18" customHeight="1" outlineLevel="1" x14ac:dyDescent="0.3">
      <c r="A40" s="123"/>
      <c r="B40" s="33" t="s">
        <v>25</v>
      </c>
      <c r="C40" s="24">
        <f>$C$26+$C$28+$C$30+$C$32+$C$34+$C$36+$C$38</f>
        <v>238380</v>
      </c>
      <c r="D40" s="124"/>
      <c r="E40" s="122"/>
      <c r="F40" s="122"/>
      <c r="G40" s="122"/>
      <c r="H40" s="122"/>
      <c r="I40" s="122"/>
    </row>
    <row r="41" spans="1:9" s="27" customFormat="1" ht="18" customHeight="1" outlineLevel="1" x14ac:dyDescent="0.3">
      <c r="A41" s="123"/>
      <c r="B41" s="29" t="s">
        <v>8</v>
      </c>
      <c r="C41" s="30">
        <f>IF($C$4&lt;&gt;0,$C$40/$C$4,"-")</f>
        <v>0.19199202380179192</v>
      </c>
      <c r="D41" s="124"/>
      <c r="E41" s="122"/>
      <c r="F41" s="122"/>
      <c r="G41" s="122"/>
      <c r="H41" s="122"/>
      <c r="I41" s="122"/>
    </row>
    <row r="42" spans="1:9" s="31" customFormat="1" ht="18" customHeight="1" outlineLevel="1" x14ac:dyDescent="0.35">
      <c r="A42" s="127"/>
      <c r="B42" s="128"/>
      <c r="C42" s="125"/>
      <c r="D42" s="129"/>
      <c r="E42" s="126"/>
      <c r="F42" s="126"/>
      <c r="G42" s="126"/>
      <c r="H42" s="126"/>
      <c r="I42" s="126"/>
    </row>
    <row r="43" spans="1:9" s="27" customFormat="1" ht="18" customHeight="1" outlineLevel="1" x14ac:dyDescent="0.3">
      <c r="A43" s="123"/>
      <c r="B43" s="6" t="s">
        <v>26</v>
      </c>
      <c r="C43" s="24">
        <f>$C$22-$C$40</f>
        <v>293131.98720000009</v>
      </c>
      <c r="D43" s="124"/>
      <c r="E43" s="122"/>
      <c r="F43" s="122"/>
      <c r="G43" s="122"/>
      <c r="H43" s="122"/>
      <c r="I43" s="122"/>
    </row>
    <row r="44" spans="1:9" s="27" customFormat="1" ht="18" customHeight="1" outlineLevel="1" x14ac:dyDescent="0.3">
      <c r="A44" s="123"/>
      <c r="B44" s="126" t="s">
        <v>27</v>
      </c>
      <c r="C44" s="28">
        <f>IF(ISERROR($C$43/$C$4),"-",($C$43/$C$4))</f>
        <v>0.23608945156292047</v>
      </c>
      <c r="D44" s="124"/>
      <c r="E44" s="122"/>
      <c r="F44" s="122"/>
      <c r="G44" s="122"/>
      <c r="H44" s="122"/>
      <c r="I44" s="122"/>
    </row>
    <row r="45" spans="1:9" ht="18" customHeight="1" x14ac:dyDescent="0.3">
      <c r="A45" s="51"/>
      <c r="B45" s="130"/>
      <c r="C45" s="130"/>
      <c r="D45" s="52"/>
    </row>
    <row r="47" spans="1:9" ht="18" customHeight="1" x14ac:dyDescent="0.3">
      <c r="A47" s="53"/>
      <c r="B47" s="54"/>
      <c r="C47" s="54"/>
      <c r="D47" s="55"/>
    </row>
    <row r="48" spans="1:9" s="3" customFormat="1" ht="18" customHeight="1" x14ac:dyDescent="0.35">
      <c r="A48" s="37"/>
      <c r="B48" s="43" t="s">
        <v>28</v>
      </c>
      <c r="C48" s="95" t="s">
        <v>5</v>
      </c>
      <c r="D48" s="38"/>
    </row>
    <row r="49" spans="1:9" s="3" customFormat="1" ht="18" customHeight="1" outlineLevel="1" x14ac:dyDescent="0.35">
      <c r="A49" s="37"/>
      <c r="B49" s="114"/>
      <c r="C49" s="114"/>
      <c r="D49" s="38"/>
    </row>
    <row r="50" spans="1:9" s="4" customFormat="1" ht="18" customHeight="1" outlineLevel="1" x14ac:dyDescent="0.3">
      <c r="A50" s="123"/>
      <c r="B50" s="6" t="s">
        <v>29</v>
      </c>
      <c r="C50" s="18">
        <f>IF(ISERROR('ФИНАНСОВАЯ МОДЕЛЬ'!$C$11/('ТРАФИК САЙТА'!$C$40+'ТРАФИК САЙТА'!$C$39)),"-", 'ФИНАНСОВАЯ МОДЕЛЬ'!$C$11/('ТРАФИК САЙТА'!$C$40+'ТРАФИК САЙТА'!$C$39))</f>
        <v>11.674641148325358</v>
      </c>
      <c r="D50" s="124"/>
      <c r="E50" s="122"/>
      <c r="F50" s="122"/>
      <c r="G50" s="122"/>
      <c r="H50" s="122"/>
      <c r="I50" s="122"/>
    </row>
    <row r="51" spans="1:9" s="4" customFormat="1" ht="18" customHeight="1" outlineLevel="1" x14ac:dyDescent="0.3">
      <c r="A51" s="123"/>
      <c r="B51" s="6"/>
      <c r="C51" s="24"/>
      <c r="D51" s="124"/>
      <c r="E51" s="122"/>
      <c r="F51" s="122"/>
      <c r="G51" s="122"/>
      <c r="H51" s="122"/>
      <c r="I51" s="122"/>
    </row>
    <row r="52" spans="1:9" s="4" customFormat="1" ht="18" customHeight="1" outlineLevel="1" x14ac:dyDescent="0.3">
      <c r="A52" s="123"/>
      <c r="B52" s="6" t="s">
        <v>30</v>
      </c>
      <c r="C52" s="18">
        <f>IF(ISERROR($C$58/КЛИЕНТЫ!$C$10), "-", $C$58/КЛИЕНТЫ!$C$10)</f>
        <v>51.832888888888895</v>
      </c>
      <c r="D52" s="124"/>
      <c r="E52" s="122"/>
      <c r="F52" s="122"/>
      <c r="G52" s="122"/>
      <c r="H52" s="122"/>
      <c r="I52" s="122"/>
    </row>
    <row r="53" spans="1:9" s="4" customFormat="1" ht="18" customHeight="1" outlineLevel="1" x14ac:dyDescent="0.3">
      <c r="A53" s="123"/>
      <c r="B53" s="6"/>
      <c r="C53" s="6"/>
      <c r="D53" s="124"/>
      <c r="E53" s="122"/>
      <c r="F53" s="122"/>
      <c r="G53" s="122"/>
      <c r="H53" s="122"/>
      <c r="I53" s="122"/>
    </row>
    <row r="54" spans="1:9" s="4" customFormat="1" ht="18" customHeight="1" outlineLevel="1" x14ac:dyDescent="0.3">
      <c r="A54" s="123"/>
      <c r="B54" s="6" t="s">
        <v>31</v>
      </c>
      <c r="C54" s="93">
        <f>IF(ISERROR($C$52/$C$50), "-", $C$52/$C$50)</f>
        <v>4.4397843351548278</v>
      </c>
      <c r="D54" s="124"/>
      <c r="E54" s="122"/>
      <c r="F54" s="122"/>
      <c r="G54" s="122"/>
      <c r="H54" s="122"/>
      <c r="I54" s="122"/>
    </row>
    <row r="55" spans="1:9" s="4" customFormat="1" ht="18" customHeight="1" outlineLevel="1" x14ac:dyDescent="0.3">
      <c r="A55" s="123"/>
      <c r="B55" s="6"/>
      <c r="C55" s="93"/>
      <c r="D55" s="124"/>
      <c r="E55" s="122"/>
      <c r="F55" s="122"/>
      <c r="G55" s="122"/>
      <c r="H55" s="122"/>
      <c r="I55" s="122"/>
    </row>
    <row r="56" spans="1:9" s="4" customFormat="1" ht="18" customHeight="1" outlineLevel="1" x14ac:dyDescent="0.3">
      <c r="A56" s="123"/>
      <c r="B56" s="6" t="s">
        <v>32</v>
      </c>
      <c r="C56" s="94">
        <f>IF(ISERROR($C$50/$C$58), "-", $C$50/$C$58)</f>
        <v>0.25026240628698548</v>
      </c>
      <c r="D56" s="124"/>
      <c r="E56" s="122"/>
      <c r="F56" s="122"/>
      <c r="G56" s="122"/>
      <c r="H56" s="122"/>
      <c r="I56" s="122"/>
    </row>
    <row r="57" spans="1:9" s="4" customFormat="1" ht="18" customHeight="1" outlineLevel="1" x14ac:dyDescent="0.3">
      <c r="A57" s="123"/>
      <c r="B57" s="6"/>
      <c r="C57" s="94"/>
      <c r="D57" s="124"/>
      <c r="E57" s="122"/>
      <c r="F57" s="122"/>
      <c r="G57" s="122"/>
      <c r="H57" s="122"/>
      <c r="I57" s="122"/>
    </row>
    <row r="58" spans="1:9" s="4" customFormat="1" ht="18" customHeight="1" outlineLevel="1" x14ac:dyDescent="0.3">
      <c r="A58" s="123"/>
      <c r="B58" s="6" t="s">
        <v>33</v>
      </c>
      <c r="C58" s="18">
        <f>IF(ISERROR(('ФИНАНСОВАЯ МОДЕЛЬ'!$C$22+'ФИНАНСОВАЯ МОДЕЛЬ'!$C$11)/'ТРАФИК САЙТА'!$C$41), "-", ('ФИНАНСОВАЯ МОДЕЛЬ'!$C$22+'ФИНАНСОВАЯ МОДЕЛЬ'!$C$11)/'ТРАФИК САЙТА'!$C$41)</f>
        <v>46.649600000000007</v>
      </c>
      <c r="D58" s="124"/>
      <c r="E58" s="122"/>
      <c r="F58" s="122"/>
      <c r="G58" s="122"/>
      <c r="H58" s="122"/>
      <c r="I58" s="122"/>
    </row>
    <row r="59" spans="1:9" s="4" customFormat="1" ht="18" customHeight="1" outlineLevel="1" x14ac:dyDescent="0.3">
      <c r="A59" s="123"/>
      <c r="B59" s="171" t="s">
        <v>34</v>
      </c>
      <c r="C59" s="24"/>
      <c r="D59" s="124"/>
      <c r="E59" s="122"/>
      <c r="F59" s="122"/>
      <c r="G59" s="122"/>
      <c r="H59" s="122"/>
      <c r="I59" s="122"/>
    </row>
    <row r="60" spans="1:9" s="3" customFormat="1" ht="18" customHeight="1" x14ac:dyDescent="0.35">
      <c r="A60" s="39"/>
      <c r="B60" s="131"/>
      <c r="C60" s="131"/>
      <c r="D60" s="41"/>
    </row>
  </sheetData>
  <pageMargins left="0.70866141732283472" right="0.70866141732283472" top="0.74803149606299213" bottom="0.74803149606299213" header="0.31496062992125984" footer="0.31496062992125984"/>
  <pageSetup scale="79" fitToHeight="0" orientation="landscape" r:id="rId1"/>
  <headerFooter>
    <oddHeader>&amp;CФИНАНСОВАЯ МОДЕЛЬ</oddHeader>
    <oddFooter>&amp;L&amp;F [&amp;A]&amp;CФИНАНСОВАЯ МОДЕЛЬ&amp;R&amp;P/&amp;N</oddFooter>
  </headerFooter>
  <rowBreaks count="1" manualBreakCount="1">
    <brk id="46" max="16383" man="1"/>
  </rowBreaks>
  <ignoredErrors>
    <ignoredError sqref="C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A1:I43"/>
  <sheetViews>
    <sheetView showGridLines="0" zoomScaleNormal="100" workbookViewId="0">
      <selection activeCell="G42" sqref="G42"/>
    </sheetView>
  </sheetViews>
  <sheetFormatPr defaultColWidth="9" defaultRowHeight="18" customHeight="1" x14ac:dyDescent="0.35"/>
  <cols>
    <col min="1" max="1" width="2.58203125" style="3" customWidth="1"/>
    <col min="2" max="2" width="65.58203125" style="3" customWidth="1"/>
    <col min="3" max="3" width="12.58203125" style="3" customWidth="1"/>
    <col min="4" max="4" width="2.58203125" style="3" customWidth="1"/>
    <col min="5" max="16384" width="9" style="3"/>
  </cols>
  <sheetData>
    <row r="1" spans="1:9" ht="18" customHeight="1" x14ac:dyDescent="0.35">
      <c r="A1" s="118"/>
      <c r="B1" s="46"/>
      <c r="C1" s="47"/>
      <c r="D1" s="36"/>
    </row>
    <row r="2" spans="1:9" ht="18" customHeight="1" x14ac:dyDescent="0.35">
      <c r="A2" s="37"/>
      <c r="B2" s="82" t="str">
        <f>'ФИНАНСОВАЯ МОДЕЛЬ'!B4</f>
        <v>Выручка</v>
      </c>
      <c r="C2" s="84">
        <f>'ФИНАНСОВАЯ МОДЕЛЬ'!$C$4</f>
        <v>1241614.08</v>
      </c>
      <c r="D2" s="38"/>
    </row>
    <row r="3" spans="1:9" ht="18" customHeight="1" x14ac:dyDescent="0.35">
      <c r="A3" s="37"/>
      <c r="B3" s="80" t="str">
        <f>'ФИНАНСОВАЯ МОДЕЛЬ'!B11</f>
        <v>Расходы на маркетинг</v>
      </c>
      <c r="C3" s="83">
        <f>'ФИНАНСОВАЯ МОДЕЛЬ'!$C$11</f>
        <v>146400</v>
      </c>
      <c r="D3" s="38"/>
    </row>
    <row r="4" spans="1:9" ht="18" customHeight="1" x14ac:dyDescent="0.35">
      <c r="A4" s="37"/>
      <c r="B4" s="81" t="str">
        <f>'ФИНАНСОВАЯ МОДЕЛЬ'!B12</f>
        <v>% от выручки</v>
      </c>
      <c r="C4" s="11">
        <f>'ФИНАНСОВАЯ МОДЕЛЬ'!$C$12</f>
        <v>0.11791103399858352</v>
      </c>
      <c r="D4" s="38"/>
    </row>
    <row r="5" spans="1:9" ht="18" customHeight="1" x14ac:dyDescent="0.35">
      <c r="A5" s="37"/>
      <c r="B5" s="85" t="str">
        <f>'ФИНАНСОВАЯ МОДЕЛЬ'!B22</f>
        <v>Маржинальная прибыль</v>
      </c>
      <c r="C5" s="84">
        <f>'ФИНАНСОВАЯ МОДЕЛЬ'!$C$22</f>
        <v>531511.98720000009</v>
      </c>
      <c r="D5" s="38"/>
    </row>
    <row r="6" spans="1:9" ht="18" customHeight="1" x14ac:dyDescent="0.35">
      <c r="A6" s="37"/>
      <c r="B6" s="81" t="str">
        <f>'ФИНАНСОВАЯ МОДЕЛЬ'!B23</f>
        <v>Маржинальная рентабельность, %</v>
      </c>
      <c r="C6" s="11">
        <f>'ФИНАНСОВАЯ МОДЕЛЬ'!$C$23</f>
        <v>0.42808147536471242</v>
      </c>
      <c r="D6" s="38"/>
    </row>
    <row r="7" spans="1:9" ht="18" customHeight="1" x14ac:dyDescent="0.35">
      <c r="A7" s="37"/>
      <c r="B7" s="81"/>
      <c r="C7" s="11"/>
      <c r="D7" s="38"/>
    </row>
    <row r="8" spans="1:9" ht="18" customHeight="1" x14ac:dyDescent="0.35">
      <c r="A8" s="37"/>
      <c r="B8" s="165" t="s">
        <v>35</v>
      </c>
      <c r="C8" s="166">
        <f>'ФИНАНСОВАЯ МОДЕЛЬ'!$C$50</f>
        <v>11.674641148325358</v>
      </c>
      <c r="D8" s="38"/>
    </row>
    <row r="9" spans="1:9" ht="18" customHeight="1" x14ac:dyDescent="0.35">
      <c r="A9" s="37"/>
      <c r="B9" s="165" t="s">
        <v>36</v>
      </c>
      <c r="C9" s="167">
        <f>'ФИНАНСОВАЯ МОДЕЛЬ'!$C$52</f>
        <v>51.832888888888895</v>
      </c>
      <c r="D9" s="38"/>
    </row>
    <row r="10" spans="1:9" ht="18" customHeight="1" x14ac:dyDescent="0.35">
      <c r="A10" s="37"/>
      <c r="B10" s="168" t="s">
        <v>31</v>
      </c>
      <c r="C10" s="169">
        <f>'ФИНАНСОВАЯ МОДЕЛЬ'!$C$54</f>
        <v>4.4397843351548278</v>
      </c>
      <c r="D10" s="38"/>
    </row>
    <row r="11" spans="1:9" ht="18" customHeight="1" x14ac:dyDescent="0.35">
      <c r="A11" s="37"/>
      <c r="B11" s="168" t="s">
        <v>37</v>
      </c>
      <c r="C11" s="170">
        <f>'ФИНАНСОВАЯ МОДЕЛЬ'!$C$56</f>
        <v>0.25026240628698548</v>
      </c>
      <c r="D11" s="38"/>
    </row>
    <row r="12" spans="1:9" ht="18" customHeight="1" x14ac:dyDescent="0.35">
      <c r="A12" s="37"/>
      <c r="B12" s="165" t="s">
        <v>38</v>
      </c>
      <c r="C12" s="166">
        <f>'ФИНАНСОВАЯ МОДЕЛЬ'!$C$58</f>
        <v>46.649600000000007</v>
      </c>
      <c r="D12" s="38"/>
    </row>
    <row r="13" spans="1:9" ht="18" customHeight="1" x14ac:dyDescent="0.35">
      <c r="A13" s="37"/>
      <c r="B13" s="102"/>
      <c r="C13" s="103"/>
      <c r="D13" s="38"/>
    </row>
    <row r="14" spans="1:9" ht="18" customHeight="1" x14ac:dyDescent="0.35">
      <c r="A14" s="37"/>
      <c r="B14" s="44"/>
      <c r="C14" s="45"/>
      <c r="D14" s="38"/>
    </row>
    <row r="15" spans="1:9" s="4" customFormat="1" ht="18" customHeight="1" x14ac:dyDescent="0.3">
      <c r="A15" s="123"/>
      <c r="B15" s="14" t="s">
        <v>39</v>
      </c>
      <c r="C15" s="122"/>
      <c r="D15" s="124"/>
      <c r="E15" s="122"/>
      <c r="F15" s="122"/>
      <c r="G15" s="122"/>
      <c r="H15" s="122"/>
      <c r="I15" s="122"/>
    </row>
    <row r="16" spans="1:9" s="4" customFormat="1" ht="18" customHeight="1" x14ac:dyDescent="0.3">
      <c r="A16" s="123"/>
      <c r="B16" s="116" t="s">
        <v>40</v>
      </c>
      <c r="C16" s="144">
        <v>1000</v>
      </c>
      <c r="D16" s="124"/>
      <c r="E16" s="122"/>
      <c r="F16" s="122"/>
      <c r="G16" s="122"/>
      <c r="H16" s="122"/>
      <c r="I16" s="122"/>
    </row>
    <row r="17" spans="1:9" s="4" customFormat="1" ht="18" customHeight="1" x14ac:dyDescent="0.3">
      <c r="A17" s="123"/>
      <c r="B17" s="116" t="s">
        <v>41</v>
      </c>
      <c r="C17" s="144">
        <v>10000</v>
      </c>
      <c r="D17" s="124"/>
      <c r="E17" s="122"/>
      <c r="F17" s="122"/>
      <c r="G17" s="122"/>
      <c r="H17" s="122"/>
      <c r="I17" s="122"/>
    </row>
    <row r="18" spans="1:9" s="4" customFormat="1" ht="18" customHeight="1" x14ac:dyDescent="0.3">
      <c r="A18" s="123"/>
      <c r="B18" s="116" t="s">
        <v>42</v>
      </c>
      <c r="C18" s="144">
        <v>40000</v>
      </c>
      <c r="D18" s="124"/>
      <c r="E18" s="122"/>
      <c r="F18" s="122"/>
      <c r="G18" s="122"/>
      <c r="H18" s="122"/>
      <c r="I18" s="122"/>
    </row>
    <row r="19" spans="1:9" s="4" customFormat="1" ht="18" customHeight="1" x14ac:dyDescent="0.3">
      <c r="A19" s="123"/>
      <c r="B19" s="116" t="s">
        <v>43</v>
      </c>
      <c r="C19" s="144">
        <v>500</v>
      </c>
      <c r="D19" s="124"/>
      <c r="E19" s="122"/>
      <c r="F19" s="122"/>
      <c r="G19" s="122"/>
      <c r="H19" s="122"/>
      <c r="I19" s="122"/>
    </row>
    <row r="20" spans="1:9" s="4" customFormat="1" ht="18" customHeight="1" x14ac:dyDescent="0.3">
      <c r="A20" s="123"/>
      <c r="B20" s="14" t="s">
        <v>44</v>
      </c>
      <c r="C20" s="145">
        <f t="shared" ref="C20" si="0">SUM(C16:C19)</f>
        <v>51500</v>
      </c>
      <c r="D20" s="124"/>
      <c r="E20" s="122"/>
      <c r="F20" s="122"/>
      <c r="G20" s="122"/>
      <c r="H20" s="122"/>
      <c r="I20" s="122"/>
    </row>
    <row r="21" spans="1:9" s="4" customFormat="1" ht="18" customHeight="1" x14ac:dyDescent="0.3">
      <c r="A21" s="123"/>
      <c r="B21" s="122"/>
      <c r="C21" s="146"/>
      <c r="D21" s="124"/>
      <c r="E21" s="122"/>
      <c r="F21" s="122"/>
      <c r="G21" s="122"/>
      <c r="H21" s="122"/>
      <c r="I21" s="122"/>
    </row>
    <row r="22" spans="1:9" s="4" customFormat="1" ht="18" customHeight="1" x14ac:dyDescent="0.3">
      <c r="A22" s="123"/>
      <c r="B22" s="6" t="s">
        <v>45</v>
      </c>
      <c r="C22" s="147"/>
      <c r="D22" s="124"/>
      <c r="E22" s="122"/>
      <c r="F22" s="122"/>
      <c r="G22" s="122"/>
      <c r="H22" s="122"/>
      <c r="I22" s="122"/>
    </row>
    <row r="23" spans="1:9" s="4" customFormat="1" ht="18" customHeight="1" x14ac:dyDescent="0.3">
      <c r="A23" s="123"/>
      <c r="B23" s="116" t="str">
        <f>$B$16</f>
        <v xml:space="preserve">Почтовая рассылка </v>
      </c>
      <c r="C23" s="148">
        <f>IF(ISNUMBER(C16),C16*12,C16)</f>
        <v>12000</v>
      </c>
      <c r="D23" s="124"/>
      <c r="E23" s="122"/>
      <c r="F23" s="122"/>
      <c r="G23" s="122"/>
      <c r="H23" s="122"/>
      <c r="I23" s="122"/>
    </row>
    <row r="24" spans="1:9" s="4" customFormat="1" ht="18" customHeight="1" x14ac:dyDescent="0.3">
      <c r="A24" s="123"/>
      <c r="B24" s="116" t="str">
        <f>$B$17</f>
        <v xml:space="preserve">Органический поиск </v>
      </c>
      <c r="C24" s="148">
        <f>IF(ISNUMBER(C17),C17*12,C17)</f>
        <v>120000</v>
      </c>
      <c r="D24" s="124"/>
      <c r="E24" s="122"/>
      <c r="F24" s="122"/>
      <c r="G24" s="122"/>
      <c r="H24" s="122"/>
      <c r="I24" s="122"/>
    </row>
    <row r="25" spans="1:9" s="4" customFormat="1" ht="18" customHeight="1" x14ac:dyDescent="0.3">
      <c r="A25" s="123"/>
      <c r="B25" s="116" t="str">
        <f>$B$18</f>
        <v>Платный поиск</v>
      </c>
      <c r="C25" s="148">
        <f>IF(ISNUMBER(C18),C18*12,C18)</f>
        <v>480000</v>
      </c>
      <c r="D25" s="124"/>
      <c r="E25" s="122"/>
      <c r="F25" s="122"/>
      <c r="G25" s="122"/>
      <c r="H25" s="122"/>
      <c r="I25" s="122"/>
    </row>
    <row r="26" spans="1:9" s="4" customFormat="1" ht="18" customHeight="1" x14ac:dyDescent="0.3">
      <c r="A26" s="123"/>
      <c r="B26" s="116" t="str">
        <f>$B$19</f>
        <v xml:space="preserve">Партнерские программы </v>
      </c>
      <c r="C26" s="148">
        <f>IF(ISNUMBER(C19),C19*12,C19)</f>
        <v>6000</v>
      </c>
      <c r="D26" s="124"/>
      <c r="E26" s="122"/>
      <c r="F26" s="122"/>
      <c r="G26" s="122"/>
      <c r="H26" s="122"/>
      <c r="I26" s="122"/>
    </row>
    <row r="27" spans="1:9" s="4" customFormat="1" ht="18" customHeight="1" x14ac:dyDescent="0.3">
      <c r="A27" s="123"/>
      <c r="B27" s="6" t="s">
        <v>46</v>
      </c>
      <c r="C27" s="149">
        <f t="shared" ref="C27" si="1">SUM(C23:C26)</f>
        <v>618000</v>
      </c>
      <c r="D27" s="124"/>
      <c r="E27" s="122"/>
      <c r="F27" s="122"/>
      <c r="G27" s="122"/>
      <c r="H27" s="122"/>
      <c r="I27" s="122"/>
    </row>
    <row r="28" spans="1:9" s="4" customFormat="1" ht="18" customHeight="1" x14ac:dyDescent="0.3">
      <c r="A28" s="123"/>
      <c r="B28" s="122"/>
      <c r="C28" s="122"/>
      <c r="D28" s="124"/>
      <c r="E28" s="122"/>
      <c r="F28" s="122"/>
      <c r="G28" s="122"/>
      <c r="H28" s="122"/>
      <c r="I28" s="122"/>
    </row>
    <row r="29" spans="1:9" s="4" customFormat="1" ht="18" customHeight="1" x14ac:dyDescent="0.3">
      <c r="A29" s="123"/>
      <c r="B29" s="6" t="s">
        <v>47</v>
      </c>
      <c r="C29" s="126"/>
      <c r="D29" s="124"/>
      <c r="E29" s="122"/>
      <c r="F29" s="122"/>
      <c r="G29" s="122"/>
      <c r="H29" s="122"/>
      <c r="I29" s="122"/>
    </row>
    <row r="30" spans="1:9" s="4" customFormat="1" ht="18" customHeight="1" x14ac:dyDescent="0.3">
      <c r="A30" s="123"/>
      <c r="B30" s="116" t="str">
        <f>$B$16</f>
        <v xml:space="preserve">Почтовая рассылка </v>
      </c>
      <c r="C30" s="132">
        <v>4.5999999999999999E-2</v>
      </c>
      <c r="D30" s="124"/>
      <c r="E30" s="122"/>
      <c r="F30" s="122"/>
      <c r="G30" s="122"/>
      <c r="H30" s="122"/>
      <c r="I30" s="122"/>
    </row>
    <row r="31" spans="1:9" s="4" customFormat="1" ht="18" customHeight="1" x14ac:dyDescent="0.3">
      <c r="A31" s="123"/>
      <c r="B31" s="116" t="str">
        <f>$B$17</f>
        <v xml:space="preserve">Органический поиск </v>
      </c>
      <c r="C31" s="132">
        <v>1.2E-2</v>
      </c>
      <c r="D31" s="124"/>
      <c r="E31" s="122"/>
      <c r="F31" s="122"/>
      <c r="G31" s="122"/>
      <c r="H31" s="122"/>
      <c r="I31" s="122"/>
    </row>
    <row r="32" spans="1:9" s="4" customFormat="1" ht="18" customHeight="1" x14ac:dyDescent="0.3">
      <c r="A32" s="123"/>
      <c r="B32" s="116" t="str">
        <f>$B$18</f>
        <v>Платный поиск</v>
      </c>
      <c r="C32" s="132">
        <v>2.5000000000000001E-2</v>
      </c>
      <c r="D32" s="124"/>
      <c r="E32" s="122"/>
      <c r="F32" s="122"/>
      <c r="G32" s="122"/>
      <c r="H32" s="122"/>
      <c r="I32" s="122"/>
    </row>
    <row r="33" spans="1:9" s="4" customFormat="1" ht="18" customHeight="1" x14ac:dyDescent="0.3">
      <c r="A33" s="123"/>
      <c r="B33" s="116" t="str">
        <f>$B$19</f>
        <v xml:space="preserve">Партнерские программы </v>
      </c>
      <c r="C33" s="132">
        <v>0.09</v>
      </c>
      <c r="D33" s="124"/>
      <c r="E33" s="122"/>
      <c r="F33" s="122"/>
      <c r="G33" s="122"/>
      <c r="H33" s="122"/>
      <c r="I33" s="122"/>
    </row>
    <row r="34" spans="1:9" s="4" customFormat="1" ht="18" customHeight="1" x14ac:dyDescent="0.3">
      <c r="A34" s="123"/>
      <c r="B34" s="6" t="s">
        <v>48</v>
      </c>
      <c r="C34" s="96">
        <f>IF(ISERROR(C41/C27),"-",(C41/C27))</f>
        <v>2.3514563106796116E-2</v>
      </c>
      <c r="D34" s="124"/>
      <c r="E34" s="122"/>
      <c r="F34" s="122"/>
      <c r="G34" s="122"/>
      <c r="H34" s="122"/>
      <c r="I34" s="122"/>
    </row>
    <row r="35" spans="1:9" s="4" customFormat="1" ht="18" customHeight="1" x14ac:dyDescent="0.3">
      <c r="A35" s="123"/>
      <c r="B35" s="122"/>
      <c r="C35" s="122"/>
      <c r="D35" s="124"/>
      <c r="E35" s="122"/>
      <c r="F35" s="122"/>
      <c r="G35" s="122"/>
      <c r="H35" s="122"/>
      <c r="I35" s="122"/>
    </row>
    <row r="36" spans="1:9" s="4" customFormat="1" ht="18" customHeight="1" x14ac:dyDescent="0.3">
      <c r="A36" s="123"/>
      <c r="B36" s="6" t="s">
        <v>49</v>
      </c>
      <c r="C36" s="126"/>
      <c r="D36" s="124"/>
      <c r="E36" s="122"/>
      <c r="F36" s="122"/>
      <c r="G36" s="122"/>
      <c r="H36" s="122"/>
      <c r="I36" s="122"/>
    </row>
    <row r="37" spans="1:9" s="4" customFormat="1" ht="18" customHeight="1" x14ac:dyDescent="0.3">
      <c r="A37" s="123"/>
      <c r="B37" s="116" t="str">
        <f>$B$16</f>
        <v xml:space="preserve">Почтовая рассылка </v>
      </c>
      <c r="C37" s="148">
        <f>IF(ISERROR(C30*C23),"-",(C30*C23))</f>
        <v>552</v>
      </c>
      <c r="D37" s="124"/>
      <c r="E37" s="122"/>
      <c r="F37" s="122"/>
      <c r="G37" s="122"/>
      <c r="H37" s="122"/>
      <c r="I37" s="122"/>
    </row>
    <row r="38" spans="1:9" s="4" customFormat="1" ht="18" customHeight="1" x14ac:dyDescent="0.3">
      <c r="A38" s="123"/>
      <c r="B38" s="116" t="str">
        <f>$B$17</f>
        <v xml:space="preserve">Органический поиск </v>
      </c>
      <c r="C38" s="148">
        <f>IF(ISERROR(C31*C24),"-",(C31*C24))</f>
        <v>1440</v>
      </c>
      <c r="D38" s="124"/>
      <c r="E38" s="122"/>
      <c r="F38" s="122"/>
      <c r="G38" s="122"/>
      <c r="H38" s="122"/>
      <c r="I38" s="122"/>
    </row>
    <row r="39" spans="1:9" s="4" customFormat="1" ht="18" customHeight="1" x14ac:dyDescent="0.3">
      <c r="A39" s="123"/>
      <c r="B39" s="116" t="str">
        <f>$B$18</f>
        <v>Платный поиск</v>
      </c>
      <c r="C39" s="148">
        <f>IF(ISERROR(C32*C25),"-",(C32*C25))</f>
        <v>12000</v>
      </c>
      <c r="D39" s="124"/>
      <c r="E39" s="122"/>
      <c r="F39" s="122"/>
      <c r="G39" s="122"/>
      <c r="H39" s="122"/>
      <c r="I39" s="122"/>
    </row>
    <row r="40" spans="1:9" s="4" customFormat="1" ht="18" customHeight="1" x14ac:dyDescent="0.3">
      <c r="A40" s="123"/>
      <c r="B40" s="116" t="str">
        <f>$B$19</f>
        <v xml:space="preserve">Партнерские программы </v>
      </c>
      <c r="C40" s="148">
        <f>IF(ISERROR(C33*C26),"-",(C33*C26))</f>
        <v>540</v>
      </c>
      <c r="D40" s="124"/>
      <c r="E40" s="122"/>
      <c r="F40" s="122"/>
      <c r="G40" s="122"/>
      <c r="H40" s="122"/>
      <c r="I40" s="122"/>
    </row>
    <row r="41" spans="1:9" s="4" customFormat="1" ht="18" customHeight="1" x14ac:dyDescent="0.3">
      <c r="A41" s="123"/>
      <c r="B41" s="6" t="s">
        <v>50</v>
      </c>
      <c r="C41" s="149">
        <f t="shared" ref="C41" si="2">SUM(C37:C40)</f>
        <v>14532</v>
      </c>
      <c r="D41" s="124"/>
      <c r="E41" s="122"/>
      <c r="F41" s="122"/>
      <c r="G41" s="122"/>
      <c r="H41" s="122"/>
      <c r="I41" s="122"/>
    </row>
    <row r="42" spans="1:9" ht="18" customHeight="1" thickBot="1" x14ac:dyDescent="0.4">
      <c r="A42" s="39"/>
      <c r="B42" s="40"/>
      <c r="C42" s="40"/>
      <c r="D42" s="41"/>
    </row>
    <row r="43" spans="1:9" ht="18" customHeight="1" thickTop="1" x14ac:dyDescent="0.35"/>
  </sheetData>
  <pageMargins left="0.70866141732283472" right="0.70866141732283472" top="0.74803149606299213" bottom="0.74803149606299213" header="0.31496062992125984" footer="0.31496062992125984"/>
  <pageSetup paperSize="9" scale="83" fitToHeight="0" orientation="landscape" verticalDpi="0" r:id="rId1"/>
  <headerFooter>
    <oddHeader>&amp;CФИНАНСОВАЯ МОДЕЛЬ</oddHeader>
    <oddFooter>&amp;L&amp;F [&amp;A]&amp;CТРАФИК САЙТА&amp;R&amp;P/&amp;N</oddFooter>
  </headerFooter>
  <rowBreaks count="1" manualBreakCount="1">
    <brk id="2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pageSetUpPr fitToPage="1"/>
  </sheetPr>
  <dimension ref="A1:I29"/>
  <sheetViews>
    <sheetView showGridLines="0" zoomScaleNormal="100" workbookViewId="0">
      <selection activeCell="C16" sqref="C16"/>
    </sheetView>
  </sheetViews>
  <sheetFormatPr defaultColWidth="9" defaultRowHeight="18" customHeight="1" x14ac:dyDescent="0.35"/>
  <cols>
    <col min="1" max="1" width="2.58203125" style="3" customWidth="1"/>
    <col min="2" max="2" width="65.58203125" style="3" customWidth="1"/>
    <col min="3" max="3" width="12.58203125" style="3" customWidth="1"/>
    <col min="4" max="4" width="2.58203125" style="3" customWidth="1"/>
    <col min="5" max="16384" width="9" style="3"/>
  </cols>
  <sheetData>
    <row r="1" spans="1:9" ht="18" customHeight="1" thickTop="1" x14ac:dyDescent="0.35">
      <c r="A1" s="35"/>
      <c r="B1" s="57"/>
      <c r="C1" s="47"/>
      <c r="D1" s="36"/>
    </row>
    <row r="2" spans="1:9" ht="18" customHeight="1" x14ac:dyDescent="0.35">
      <c r="A2" s="37"/>
      <c r="B2" s="8" t="s">
        <v>6</v>
      </c>
      <c r="C2" s="23">
        <f>$C$22*$C$3</f>
        <v>1241614.08</v>
      </c>
      <c r="D2" s="38"/>
    </row>
    <row r="3" spans="1:9" ht="18" customHeight="1" x14ac:dyDescent="0.35">
      <c r="A3" s="37"/>
      <c r="B3" s="114" t="s">
        <v>51</v>
      </c>
      <c r="C3" s="133">
        <f>'ТРАФИК САЙТА'!$C$41</f>
        <v>14532</v>
      </c>
      <c r="D3" s="38"/>
    </row>
    <row r="4" spans="1:9" ht="18" customHeight="1" x14ac:dyDescent="0.35">
      <c r="A4" s="37"/>
      <c r="B4" s="114" t="str">
        <f>B27</f>
        <v>Валовая выручка</v>
      </c>
      <c r="C4" s="133">
        <f>$C$27</f>
        <v>1395072</v>
      </c>
      <c r="D4" s="38"/>
    </row>
    <row r="5" spans="1:9" ht="18" customHeight="1" x14ac:dyDescent="0.35">
      <c r="A5" s="37"/>
      <c r="B5" s="114" t="s">
        <v>52</v>
      </c>
      <c r="C5" s="133">
        <f>-($C$21-$C$22)*$C$3</f>
        <v>-153457.92000000004</v>
      </c>
      <c r="D5" s="38"/>
    </row>
    <row r="6" spans="1:9" ht="18" customHeight="1" x14ac:dyDescent="0.35">
      <c r="A6" s="37"/>
      <c r="B6" s="172" t="s">
        <v>53</v>
      </c>
      <c r="C6" s="17">
        <f>IF(ISERROR($C$5/$C$4), "-", -$C$5/$C$4)</f>
        <v>0.11000000000000003</v>
      </c>
      <c r="D6" s="38"/>
    </row>
    <row r="7" spans="1:9" ht="18" customHeight="1" x14ac:dyDescent="0.35">
      <c r="A7" s="37"/>
      <c r="B7" s="8"/>
      <c r="D7" s="38"/>
    </row>
    <row r="8" spans="1:9" ht="18" customHeight="1" x14ac:dyDescent="0.35">
      <c r="A8" s="37"/>
      <c r="B8" s="165" t="s">
        <v>35</v>
      </c>
      <c r="C8" s="166">
        <f>'ФИНАНСОВАЯ МОДЕЛЬ'!$C$50</f>
        <v>11.674641148325358</v>
      </c>
      <c r="D8" s="38"/>
    </row>
    <row r="9" spans="1:9" ht="18" customHeight="1" x14ac:dyDescent="0.35">
      <c r="A9" s="37"/>
      <c r="B9" s="165" t="s">
        <v>36</v>
      </c>
      <c r="C9" s="167">
        <f>'ФИНАНСОВАЯ МОДЕЛЬ'!$C$52</f>
        <v>51.832888888888895</v>
      </c>
      <c r="D9" s="38"/>
    </row>
    <row r="10" spans="1:9" ht="18" customHeight="1" x14ac:dyDescent="0.35">
      <c r="A10" s="37"/>
      <c r="B10" s="168" t="s">
        <v>31</v>
      </c>
      <c r="C10" s="169">
        <f>'ФИНАНСОВАЯ МОДЕЛЬ'!$C$54</f>
        <v>4.4397843351548278</v>
      </c>
      <c r="D10" s="38"/>
    </row>
    <row r="11" spans="1:9" ht="18" customHeight="1" x14ac:dyDescent="0.35">
      <c r="A11" s="37"/>
      <c r="B11" s="168" t="s">
        <v>37</v>
      </c>
      <c r="C11" s="170">
        <f>'ФИНАНСОВАЯ МОДЕЛЬ'!$C$56</f>
        <v>0.25026240628698548</v>
      </c>
      <c r="D11" s="38"/>
    </row>
    <row r="12" spans="1:9" ht="18" customHeight="1" x14ac:dyDescent="0.35">
      <c r="A12" s="37"/>
      <c r="B12" s="165" t="s">
        <v>38</v>
      </c>
      <c r="C12" s="166">
        <f>'ФИНАНСОВАЯ МОДЕЛЬ'!$C$58</f>
        <v>46.649600000000007</v>
      </c>
      <c r="D12" s="38"/>
    </row>
    <row r="13" spans="1:9" ht="18" customHeight="1" thickBot="1" x14ac:dyDescent="0.4">
      <c r="A13" s="37"/>
      <c r="B13" s="102"/>
      <c r="C13" s="103"/>
      <c r="D13" s="38"/>
    </row>
    <row r="14" spans="1:9" ht="18" customHeight="1" x14ac:dyDescent="0.35">
      <c r="A14" s="37"/>
      <c r="B14" s="56"/>
      <c r="C14" s="45"/>
      <c r="D14" s="38"/>
    </row>
    <row r="15" spans="1:9" s="4" customFormat="1" ht="18" customHeight="1" x14ac:dyDescent="0.3">
      <c r="A15" s="123"/>
      <c r="B15" s="6" t="s">
        <v>54</v>
      </c>
      <c r="C15" s="126"/>
      <c r="D15" s="124"/>
      <c r="E15" s="122"/>
      <c r="F15" s="122"/>
      <c r="G15" s="122"/>
      <c r="H15" s="122"/>
      <c r="I15" s="122"/>
    </row>
    <row r="16" spans="1:9" s="4" customFormat="1" ht="18" customHeight="1" x14ac:dyDescent="0.3">
      <c r="A16" s="123"/>
      <c r="B16" s="115" t="s">
        <v>55</v>
      </c>
      <c r="C16" s="156">
        <v>80</v>
      </c>
      <c r="D16" s="124"/>
      <c r="E16" s="122"/>
      <c r="F16" s="122"/>
      <c r="G16" s="122"/>
      <c r="H16" s="122"/>
      <c r="I16" s="122"/>
    </row>
    <row r="17" spans="1:9" s="4" customFormat="1" ht="18" customHeight="1" x14ac:dyDescent="0.3">
      <c r="A17" s="123"/>
      <c r="B17" s="115" t="s">
        <v>56</v>
      </c>
      <c r="C17" s="151">
        <v>1.2</v>
      </c>
      <c r="D17" s="124"/>
      <c r="E17" s="122"/>
      <c r="F17" s="122"/>
      <c r="G17" s="122"/>
      <c r="H17" s="122"/>
      <c r="I17" s="122"/>
    </row>
    <row r="18" spans="1:9" s="4" customFormat="1" ht="18" customHeight="1" x14ac:dyDescent="0.3">
      <c r="A18" s="123"/>
      <c r="B18" s="115" t="s">
        <v>57</v>
      </c>
      <c r="C18" s="153">
        <v>0</v>
      </c>
      <c r="D18" s="124"/>
      <c r="E18" s="122"/>
      <c r="F18" s="122"/>
      <c r="G18" s="122"/>
      <c r="H18" s="122"/>
      <c r="I18" s="122"/>
    </row>
    <row r="19" spans="1:9" s="4" customFormat="1" ht="18" customHeight="1" x14ac:dyDescent="0.3">
      <c r="A19" s="123"/>
      <c r="B19" s="115" t="s">
        <v>58</v>
      </c>
      <c r="C19" s="153">
        <v>0.01</v>
      </c>
      <c r="D19" s="124"/>
      <c r="E19" s="122"/>
      <c r="F19" s="122"/>
      <c r="G19" s="122"/>
      <c r="H19" s="122"/>
      <c r="I19" s="122"/>
    </row>
    <row r="20" spans="1:9" s="4" customFormat="1" ht="18" customHeight="1" x14ac:dyDescent="0.3">
      <c r="A20" s="123"/>
      <c r="B20" s="115" t="s">
        <v>59</v>
      </c>
      <c r="C20" s="153">
        <v>0.1</v>
      </c>
      <c r="D20" s="124"/>
      <c r="E20" s="122"/>
      <c r="F20" s="122"/>
      <c r="G20" s="122"/>
      <c r="H20" s="122"/>
      <c r="I20" s="122"/>
    </row>
    <row r="21" spans="1:9" s="4" customFormat="1" ht="18" customHeight="1" x14ac:dyDescent="0.3">
      <c r="A21" s="123"/>
      <c r="B21" s="126" t="s">
        <v>60</v>
      </c>
      <c r="C21" s="163">
        <f t="shared" ref="C21" si="0">+C16*C17</f>
        <v>96</v>
      </c>
      <c r="D21" s="124"/>
      <c r="E21" s="122"/>
      <c r="F21" s="122"/>
      <c r="G21" s="122"/>
      <c r="H21" s="122"/>
      <c r="I21" s="122"/>
    </row>
    <row r="22" spans="1:9" s="4" customFormat="1" ht="18" customHeight="1" x14ac:dyDescent="0.3">
      <c r="A22" s="123"/>
      <c r="B22" s="6" t="s">
        <v>61</v>
      </c>
      <c r="C22" s="164">
        <f>C21*(1-C18-C19-C20)</f>
        <v>85.44</v>
      </c>
      <c r="D22" s="124"/>
      <c r="E22" s="122"/>
      <c r="F22" s="122"/>
      <c r="G22" s="122"/>
      <c r="H22" s="122"/>
      <c r="I22" s="122"/>
    </row>
    <row r="23" spans="1:9" ht="18" customHeight="1" x14ac:dyDescent="0.35">
      <c r="A23" s="37"/>
      <c r="B23" s="58"/>
      <c r="C23" s="58"/>
      <c r="D23" s="38"/>
    </row>
    <row r="24" spans="1:9" ht="18" customHeight="1" x14ac:dyDescent="0.35">
      <c r="A24" s="37"/>
      <c r="B24" s="8" t="s">
        <v>62</v>
      </c>
      <c r="D24" s="38"/>
    </row>
    <row r="25" spans="1:9" ht="18" customHeight="1" x14ac:dyDescent="0.35">
      <c r="A25" s="37"/>
      <c r="B25" s="114" t="s">
        <v>51</v>
      </c>
      <c r="C25" s="134">
        <f>'ТРАФИК САЙТА'!C41</f>
        <v>14532</v>
      </c>
      <c r="D25" s="38"/>
    </row>
    <row r="26" spans="1:9" ht="18" customHeight="1" x14ac:dyDescent="0.35">
      <c r="A26" s="37"/>
      <c r="B26" s="114" t="s">
        <v>60</v>
      </c>
      <c r="C26" s="133">
        <f t="shared" ref="C26" si="1">C21</f>
        <v>96</v>
      </c>
      <c r="D26" s="38"/>
    </row>
    <row r="27" spans="1:9" ht="18" customHeight="1" x14ac:dyDescent="0.35">
      <c r="A27" s="37"/>
      <c r="B27" s="8" t="s">
        <v>62</v>
      </c>
      <c r="C27" s="23">
        <f>C25*C26</f>
        <v>1395072</v>
      </c>
      <c r="D27" s="38"/>
    </row>
    <row r="28" spans="1:9" ht="18" customHeight="1" thickBot="1" x14ac:dyDescent="0.4">
      <c r="A28" s="39"/>
      <c r="B28" s="40"/>
      <c r="C28" s="40"/>
      <c r="D28" s="41"/>
    </row>
    <row r="29" spans="1:9" ht="18" customHeight="1" thickTop="1" x14ac:dyDescent="0.35"/>
  </sheetData>
  <conditionalFormatting sqref="B14 B1">
    <cfRule type="containsText" dxfId="13" priority="1" operator="containsText" text="OK">
      <formula>NOT(ISERROR(SEARCH("OK",B1)))</formula>
    </cfRule>
    <cfRule type="containsText" dxfId="12" priority="2" operator="containsText" text="ERROR">
      <formula>NOT(ISERROR(SEARCH("ERROR",B1)))</formula>
    </cfRule>
  </conditionalFormatting>
  <pageMargins left="0.7" right="0.7" top="0.75" bottom="0.75" header="0.3" footer="0.3"/>
  <pageSetup paperSize="9" scale="83" fitToHeight="0" orientation="landscape" r:id="rId1"/>
  <headerFooter>
    <oddHeader>&amp;CФИНАНСОВАЯ МОДЕЛЬ</oddHeader>
    <oddFooter>&amp;L&amp;F [&amp;A]&amp;CВЫРУЧКА&amp;R&amp;P/&amp;N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pageSetUpPr fitToPage="1"/>
  </sheetPr>
  <dimension ref="A1:I22"/>
  <sheetViews>
    <sheetView showGridLines="0" zoomScaleNormal="100" workbookViewId="0">
      <selection activeCell="C19" sqref="C19"/>
    </sheetView>
  </sheetViews>
  <sheetFormatPr defaultColWidth="9" defaultRowHeight="18" customHeight="1" x14ac:dyDescent="0.35"/>
  <cols>
    <col min="1" max="1" width="2.58203125" style="3" customWidth="1"/>
    <col min="2" max="2" width="65.58203125" style="3" customWidth="1"/>
    <col min="3" max="3" width="12.58203125" style="3" customWidth="1"/>
    <col min="4" max="4" width="2.58203125" style="3" customWidth="1"/>
    <col min="5" max="16384" width="9" style="3"/>
  </cols>
  <sheetData>
    <row r="1" spans="1:9" ht="18" customHeight="1" thickTop="1" x14ac:dyDescent="0.35">
      <c r="A1" s="35"/>
      <c r="B1" s="46"/>
      <c r="C1" s="47"/>
      <c r="D1" s="36"/>
    </row>
    <row r="2" spans="1:9" ht="18" customHeight="1" x14ac:dyDescent="0.35">
      <c r="A2" s="37"/>
      <c r="B2" s="8" t="s">
        <v>6</v>
      </c>
      <c r="C2" s="84">
        <f>'ФИНАНСОВАЯ МОДЕЛЬ'!$C$4</f>
        <v>1241614.08</v>
      </c>
      <c r="D2" s="38"/>
    </row>
    <row r="3" spans="1:9" ht="18" customHeight="1" x14ac:dyDescent="0.35">
      <c r="A3" s="37"/>
      <c r="B3" s="114" t="s">
        <v>7</v>
      </c>
      <c r="C3" s="83">
        <f>'ФИНАНСОВАЯ МОДЕЛЬ'!$C$5</f>
        <v>418521.59999999998</v>
      </c>
      <c r="D3" s="38"/>
    </row>
    <row r="4" spans="1:9" ht="18" customHeight="1" x14ac:dyDescent="0.35">
      <c r="A4" s="37"/>
      <c r="B4" s="29" t="s">
        <v>8</v>
      </c>
      <c r="C4" s="11">
        <f>'ФИНАНСОВАЯ МОДЕЛЬ'!$C$6</f>
        <v>0.33707865168539319</v>
      </c>
      <c r="D4" s="38"/>
    </row>
    <row r="5" spans="1:9" ht="18" customHeight="1" x14ac:dyDescent="0.35">
      <c r="A5" s="37"/>
      <c r="B5" s="6" t="s">
        <v>9</v>
      </c>
      <c r="C5" s="84">
        <f>'ФИНАНСОВАЯ МОДЕЛЬ'!$C$7</f>
        <v>823092.4800000001</v>
      </c>
      <c r="D5" s="38"/>
    </row>
    <row r="6" spans="1:9" ht="18" customHeight="1" x14ac:dyDescent="0.35">
      <c r="A6" s="37"/>
      <c r="B6" s="6" t="s">
        <v>10</v>
      </c>
      <c r="C6" s="86">
        <f>'ФИНАНСОВАЯ МОДЕЛЬ'!$C$8</f>
        <v>0.66292134831460681</v>
      </c>
      <c r="D6" s="38"/>
    </row>
    <row r="7" spans="1:9" ht="18" customHeight="1" x14ac:dyDescent="0.35">
      <c r="A7" s="37"/>
      <c r="B7" s="6"/>
      <c r="C7" s="86"/>
      <c r="D7" s="38"/>
    </row>
    <row r="8" spans="1:9" ht="18" customHeight="1" x14ac:dyDescent="0.35">
      <c r="A8" s="37"/>
      <c r="B8" s="165" t="s">
        <v>35</v>
      </c>
      <c r="C8" s="166">
        <f>'ФИНАНСОВАЯ МОДЕЛЬ'!$C$50</f>
        <v>11.674641148325358</v>
      </c>
      <c r="D8" s="38"/>
    </row>
    <row r="9" spans="1:9" ht="18" customHeight="1" x14ac:dyDescent="0.35">
      <c r="A9" s="37"/>
      <c r="B9" s="165" t="s">
        <v>36</v>
      </c>
      <c r="C9" s="167">
        <f>'ФИНАНСОВАЯ МОДЕЛЬ'!$C$52</f>
        <v>51.832888888888895</v>
      </c>
      <c r="D9" s="38"/>
    </row>
    <row r="10" spans="1:9" ht="18" customHeight="1" x14ac:dyDescent="0.35">
      <c r="A10" s="37"/>
      <c r="B10" s="168" t="s">
        <v>31</v>
      </c>
      <c r="C10" s="169">
        <f>'ФИНАНСОВАЯ МОДЕЛЬ'!$C$54</f>
        <v>4.4397843351548278</v>
      </c>
      <c r="D10" s="38"/>
    </row>
    <row r="11" spans="1:9" ht="18" customHeight="1" x14ac:dyDescent="0.35">
      <c r="A11" s="37"/>
      <c r="B11" s="168" t="s">
        <v>37</v>
      </c>
      <c r="C11" s="170">
        <f>'ФИНАНСОВАЯ МОДЕЛЬ'!$C$56</f>
        <v>0.25026240628698548</v>
      </c>
      <c r="D11" s="38"/>
    </row>
    <row r="12" spans="1:9" ht="18" customHeight="1" x14ac:dyDescent="0.35">
      <c r="A12" s="37"/>
      <c r="B12" s="165" t="s">
        <v>38</v>
      </c>
      <c r="C12" s="166">
        <f>'ФИНАНСОВАЯ МОДЕЛЬ'!$C$58</f>
        <v>46.649600000000007</v>
      </c>
      <c r="D12" s="38"/>
    </row>
    <row r="13" spans="1:9" ht="18" customHeight="1" thickBot="1" x14ac:dyDescent="0.4">
      <c r="A13" s="37"/>
      <c r="B13" s="102"/>
      <c r="C13" s="103"/>
      <c r="D13" s="38"/>
    </row>
    <row r="14" spans="1:9" ht="18" customHeight="1" x14ac:dyDescent="0.35">
      <c r="A14" s="37"/>
      <c r="B14" s="44"/>
      <c r="C14" s="45"/>
      <c r="D14" s="38"/>
    </row>
    <row r="15" spans="1:9" ht="18" customHeight="1" x14ac:dyDescent="0.35">
      <c r="A15" s="37"/>
      <c r="B15" s="8" t="s">
        <v>63</v>
      </c>
      <c r="D15" s="38"/>
    </row>
    <row r="16" spans="1:9" s="4" customFormat="1" ht="18" customHeight="1" x14ac:dyDescent="0.3">
      <c r="A16" s="123"/>
      <c r="B16" s="115" t="s">
        <v>64</v>
      </c>
      <c r="C16" s="153">
        <v>0.3</v>
      </c>
      <c r="D16" s="124"/>
      <c r="E16" s="122"/>
      <c r="F16" s="122"/>
      <c r="G16" s="122"/>
      <c r="H16" s="122"/>
      <c r="I16" s="122"/>
    </row>
    <row r="17" spans="1:4" ht="18" customHeight="1" x14ac:dyDescent="0.35">
      <c r="A17" s="37"/>
      <c r="B17" s="114" t="s">
        <v>51</v>
      </c>
      <c r="C17" s="133">
        <f>'ТРАФИК САЙТА'!C41</f>
        <v>14532</v>
      </c>
      <c r="D17" s="38"/>
    </row>
    <row r="18" spans="1:4" ht="18" customHeight="1" x14ac:dyDescent="0.35">
      <c r="A18" s="37"/>
      <c r="B18" s="135" t="str">
        <f>ВЫРУЧКА!B21</f>
        <v xml:space="preserve">Cтоимость заказа, без учета уценки/скидки/акций </v>
      </c>
      <c r="C18" s="133">
        <f>ВЫРУЧКА!C21</f>
        <v>96</v>
      </c>
      <c r="D18" s="38"/>
    </row>
    <row r="19" spans="1:4" ht="18" customHeight="1" x14ac:dyDescent="0.35">
      <c r="A19" s="37"/>
      <c r="B19" s="8" t="s">
        <v>7</v>
      </c>
      <c r="C19" s="23">
        <f t="shared" ref="C19" si="0">C17*C18*C16</f>
        <v>418521.59999999998</v>
      </c>
      <c r="D19" s="38"/>
    </row>
    <row r="20" spans="1:4" ht="18" customHeight="1" x14ac:dyDescent="0.35">
      <c r="A20" s="37"/>
      <c r="C20" s="59" t="str">
        <f>IFERROR(IF(ABS(ВЫРУЧКА!C4*СЕБЕСТОИМОСТЬ!C16-C19)&gt;1,"ERROR","-"),"-")</f>
        <v>-</v>
      </c>
      <c r="D20" s="38"/>
    </row>
    <row r="21" spans="1:4" ht="18" customHeight="1" thickBot="1" x14ac:dyDescent="0.4">
      <c r="A21" s="39"/>
      <c r="B21" s="40"/>
      <c r="C21" s="40"/>
      <c r="D21" s="41"/>
    </row>
    <row r="22" spans="1:4" ht="18" customHeight="1" thickTop="1" x14ac:dyDescent="0.35"/>
  </sheetData>
  <pageMargins left="0.7" right="0.7" top="0.75" bottom="0.75" header="0.3" footer="0.3"/>
  <pageSetup paperSize="9" scale="83" fitToHeight="0" orientation="landscape" verticalDpi="0" r:id="rId1"/>
  <headerFooter>
    <oddHeader>&amp;CФИНАНСОВАЯ МОДЕЛЬ</oddHeader>
    <oddFooter>&amp;L&amp;F [&amp;A]&amp;CСЕБЕСТОИМОСТЬ ПРОДАННЫХ ТОВАРОВ&amp;R&amp;P/&amp;N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pageSetUpPr fitToPage="1"/>
  </sheetPr>
  <dimension ref="A1:I30"/>
  <sheetViews>
    <sheetView showGridLines="0" topLeftCell="A5" zoomScaleNormal="100" workbookViewId="0">
      <selection activeCell="C26" sqref="C26"/>
    </sheetView>
  </sheetViews>
  <sheetFormatPr defaultColWidth="9" defaultRowHeight="18" customHeight="1" x14ac:dyDescent="0.35"/>
  <cols>
    <col min="1" max="1" width="2.58203125" style="3" customWidth="1"/>
    <col min="2" max="2" width="65.58203125" style="3" customWidth="1"/>
    <col min="3" max="3" width="12.58203125" style="3" customWidth="1"/>
    <col min="4" max="4" width="2.58203125" style="3" customWidth="1"/>
    <col min="5" max="16384" width="9" style="3"/>
  </cols>
  <sheetData>
    <row r="1" spans="1:9" ht="18" customHeight="1" thickTop="1" x14ac:dyDescent="0.35">
      <c r="A1" s="35"/>
      <c r="B1" s="57"/>
      <c r="C1" s="47"/>
      <c r="D1" s="36"/>
    </row>
    <row r="2" spans="1:9" ht="18" customHeight="1" x14ac:dyDescent="0.35">
      <c r="A2" s="37"/>
      <c r="B2" s="8" t="s">
        <v>6</v>
      </c>
      <c r="C2" s="84">
        <f>'ФИНАНСОВАЯ МОДЕЛЬ'!$C$4</f>
        <v>1241614.08</v>
      </c>
      <c r="D2" s="38"/>
    </row>
    <row r="3" spans="1:9" ht="18" customHeight="1" x14ac:dyDescent="0.35">
      <c r="A3" s="37"/>
      <c r="B3" s="14" t="s">
        <v>17</v>
      </c>
      <c r="C3" s="84">
        <f>'ФИНАНСОВАЯ МОДЕЛЬ'!$C$22</f>
        <v>531511.98720000009</v>
      </c>
      <c r="D3" s="38"/>
    </row>
    <row r="4" spans="1:9" ht="18" customHeight="1" x14ac:dyDescent="0.35">
      <c r="A4" s="37"/>
      <c r="B4" s="122" t="s">
        <v>18</v>
      </c>
      <c r="C4" s="11">
        <f>'ФИНАНСОВАЯ МОДЕЛЬ'!$C$23</f>
        <v>0.42808147536471242</v>
      </c>
      <c r="D4" s="38"/>
    </row>
    <row r="5" spans="1:9" ht="18" customHeight="1" x14ac:dyDescent="0.35">
      <c r="A5" s="37"/>
      <c r="B5" s="122"/>
      <c r="C5" s="84"/>
      <c r="D5" s="38"/>
    </row>
    <row r="6" spans="1:9" ht="18" customHeight="1" x14ac:dyDescent="0.35">
      <c r="A6" s="37"/>
      <c r="B6" s="165" t="s">
        <v>35</v>
      </c>
      <c r="C6" s="166">
        <f>'ФИНАНСОВАЯ МОДЕЛЬ'!$C$50</f>
        <v>11.674641148325358</v>
      </c>
      <c r="D6" s="38"/>
    </row>
    <row r="7" spans="1:9" ht="18" customHeight="1" x14ac:dyDescent="0.35">
      <c r="A7" s="37"/>
      <c r="B7" s="165" t="s">
        <v>36</v>
      </c>
      <c r="C7" s="167">
        <f>'ФИНАНСОВАЯ МОДЕЛЬ'!$C$52</f>
        <v>51.832888888888895</v>
      </c>
      <c r="D7" s="38"/>
    </row>
    <row r="8" spans="1:9" ht="18" customHeight="1" x14ac:dyDescent="0.35">
      <c r="A8" s="37"/>
      <c r="B8" s="168" t="s">
        <v>31</v>
      </c>
      <c r="C8" s="169">
        <f>'ФИНАНСОВАЯ МОДЕЛЬ'!$C$54</f>
        <v>4.4397843351548278</v>
      </c>
      <c r="D8" s="38"/>
    </row>
    <row r="9" spans="1:9" ht="18" customHeight="1" x14ac:dyDescent="0.35">
      <c r="A9" s="37"/>
      <c r="B9" s="168" t="s">
        <v>37</v>
      </c>
      <c r="C9" s="170">
        <f>'ФИНАНСОВАЯ МОДЕЛЬ'!$C$56</f>
        <v>0.25026240628698548</v>
      </c>
      <c r="D9" s="38"/>
    </row>
    <row r="10" spans="1:9" ht="18" customHeight="1" x14ac:dyDescent="0.35">
      <c r="A10" s="37"/>
      <c r="B10" s="165" t="s">
        <v>38</v>
      </c>
      <c r="C10" s="166">
        <f>'ФИНАНСОВАЯ МОДЕЛЬ'!$C$58</f>
        <v>46.649600000000007</v>
      </c>
      <c r="D10" s="38"/>
    </row>
    <row r="11" spans="1:9" ht="18" customHeight="1" thickBot="1" x14ac:dyDescent="0.4">
      <c r="A11" s="37"/>
      <c r="B11" s="102"/>
      <c r="C11" s="103"/>
      <c r="D11" s="38"/>
    </row>
    <row r="12" spans="1:9" ht="18" customHeight="1" x14ac:dyDescent="0.35">
      <c r="A12" s="87"/>
      <c r="B12" s="88"/>
      <c r="C12" s="79"/>
      <c r="D12" s="89"/>
    </row>
    <row r="13" spans="1:9" ht="18" customHeight="1" x14ac:dyDescent="0.35">
      <c r="A13" s="37"/>
      <c r="B13" s="8" t="s">
        <v>12</v>
      </c>
      <c r="C13" s="9">
        <f>IF(ISERROR(C21*C28),0,C21*C28)</f>
        <v>146400</v>
      </c>
      <c r="D13" s="38"/>
    </row>
    <row r="14" spans="1:9" ht="18" customHeight="1" x14ac:dyDescent="0.35">
      <c r="A14" s="37"/>
      <c r="B14" s="60" t="s">
        <v>8</v>
      </c>
      <c r="C14" s="17">
        <f>IF('ФИНАНСОВАЯ МОДЕЛЬ'!C4&lt;&gt;0,C13/'ФИНАНСОВАЯ МОДЕЛЬ'!C4,"-")</f>
        <v>0.11791103399858352</v>
      </c>
      <c r="D14" s="38"/>
    </row>
    <row r="15" spans="1:9" ht="18" customHeight="1" x14ac:dyDescent="0.35">
      <c r="A15" s="37"/>
      <c r="B15" s="60"/>
      <c r="C15" s="16"/>
      <c r="D15" s="38"/>
    </row>
    <row r="16" spans="1:9" s="4" customFormat="1" ht="18" customHeight="1" x14ac:dyDescent="0.3">
      <c r="A16" s="123"/>
      <c r="B16" s="42" t="str">
        <f>'ТРАФИК САЙТА'!B22</f>
        <v>Трафик сайта (годовой - 12 мес)</v>
      </c>
      <c r="C16" s="126"/>
      <c r="D16" s="124"/>
      <c r="E16" s="122"/>
      <c r="F16" s="122"/>
      <c r="G16" s="122"/>
      <c r="H16" s="122"/>
      <c r="I16" s="122"/>
    </row>
    <row r="17" spans="1:9" s="4" customFormat="1" ht="18" customHeight="1" x14ac:dyDescent="0.3">
      <c r="A17" s="123"/>
      <c r="B17" s="116" t="str">
        <f>'ТРАФИК САЙТА'!B23</f>
        <v xml:space="preserve">Почтовая рассылка </v>
      </c>
      <c r="C17" s="148">
        <f>'ТРАФИК САЙТА'!C23</f>
        <v>12000</v>
      </c>
      <c r="D17" s="124"/>
      <c r="E17" s="122"/>
      <c r="F17" s="122"/>
      <c r="G17" s="122"/>
      <c r="H17" s="122"/>
      <c r="I17" s="122"/>
    </row>
    <row r="18" spans="1:9" s="4" customFormat="1" ht="18" customHeight="1" x14ac:dyDescent="0.3">
      <c r="A18" s="123"/>
      <c r="B18" s="116" t="str">
        <f>'ТРАФИК САЙТА'!B24</f>
        <v xml:space="preserve">Органический поиск </v>
      </c>
      <c r="C18" s="148">
        <f>'ТРАФИК САЙТА'!C24</f>
        <v>120000</v>
      </c>
      <c r="D18" s="124"/>
      <c r="E18" s="122"/>
      <c r="F18" s="122"/>
      <c r="G18" s="122"/>
      <c r="H18" s="122"/>
      <c r="I18" s="122"/>
    </row>
    <row r="19" spans="1:9" s="4" customFormat="1" ht="18" customHeight="1" x14ac:dyDescent="0.3">
      <c r="A19" s="123"/>
      <c r="B19" s="116" t="str">
        <f>'ТРАФИК САЙТА'!B25</f>
        <v>Платный поиск</v>
      </c>
      <c r="C19" s="148">
        <f>'ТРАФИК САЙТА'!C25</f>
        <v>480000</v>
      </c>
      <c r="D19" s="124"/>
      <c r="E19" s="122"/>
      <c r="F19" s="122"/>
      <c r="G19" s="122"/>
      <c r="H19" s="122"/>
      <c r="I19" s="122"/>
    </row>
    <row r="20" spans="1:9" s="4" customFormat="1" ht="18" customHeight="1" x14ac:dyDescent="0.3">
      <c r="A20" s="123"/>
      <c r="B20" s="116" t="str">
        <f>'ТРАФИК САЙТА'!B26</f>
        <v xml:space="preserve">Партнерские программы </v>
      </c>
      <c r="C20" s="148">
        <f>'ТРАФИК САЙТА'!C26</f>
        <v>6000</v>
      </c>
      <c r="D20" s="124"/>
      <c r="E20" s="122"/>
      <c r="F20" s="122"/>
      <c r="G20" s="122"/>
      <c r="H20" s="122"/>
      <c r="I20" s="122"/>
    </row>
    <row r="21" spans="1:9" s="4" customFormat="1" ht="18" customHeight="1" x14ac:dyDescent="0.3">
      <c r="A21" s="123"/>
      <c r="B21" s="6" t="str">
        <f>'ТРАФИК САЙТА'!B27</f>
        <v xml:space="preserve">Итого, Посещений в год </v>
      </c>
      <c r="C21" s="149">
        <f>'ТРАФИК САЙТА'!C27</f>
        <v>618000</v>
      </c>
      <c r="D21" s="124"/>
      <c r="E21" s="122"/>
      <c r="F21" s="122"/>
      <c r="G21" s="122"/>
      <c r="H21" s="122"/>
      <c r="I21" s="122"/>
    </row>
    <row r="22" spans="1:9" s="4" customFormat="1" ht="18" customHeight="1" x14ac:dyDescent="0.3">
      <c r="A22" s="123"/>
      <c r="B22" s="6"/>
      <c r="C22" s="126"/>
      <c r="D22" s="124"/>
      <c r="E22" s="122"/>
      <c r="F22" s="122"/>
      <c r="G22" s="122"/>
      <c r="H22" s="122"/>
      <c r="I22" s="122"/>
    </row>
    <row r="23" spans="1:9" s="4" customFormat="1" ht="18" customHeight="1" x14ac:dyDescent="0.3">
      <c r="A23" s="123"/>
      <c r="B23" s="6" t="s">
        <v>65</v>
      </c>
      <c r="C23" s="126"/>
      <c r="D23" s="124"/>
      <c r="E23" s="122"/>
      <c r="F23" s="122"/>
      <c r="G23" s="122"/>
      <c r="H23" s="122"/>
      <c r="I23" s="122"/>
    </row>
    <row r="24" spans="1:9" s="4" customFormat="1" ht="18" customHeight="1" x14ac:dyDescent="0.3">
      <c r="A24" s="123"/>
      <c r="B24" s="116" t="str">
        <f>'ТРАФИК САЙТА'!$B$16</f>
        <v xml:space="preserve">Почтовая рассылка </v>
      </c>
      <c r="C24" s="154">
        <v>0</v>
      </c>
      <c r="D24" s="124"/>
      <c r="E24" s="122"/>
      <c r="F24" s="122"/>
      <c r="G24" s="122"/>
      <c r="H24" s="122"/>
      <c r="I24" s="122"/>
    </row>
    <row r="25" spans="1:9" s="4" customFormat="1" ht="18" customHeight="1" x14ac:dyDescent="0.3">
      <c r="A25" s="123"/>
      <c r="B25" s="116" t="str">
        <f>'ТРАФИК САЙТА'!$B$17</f>
        <v xml:space="preserve">Органический поиск </v>
      </c>
      <c r="C25" s="154">
        <v>0</v>
      </c>
      <c r="D25" s="124"/>
      <c r="E25" s="122"/>
      <c r="F25" s="122"/>
      <c r="G25" s="122"/>
      <c r="H25" s="122"/>
      <c r="I25" s="122"/>
    </row>
    <row r="26" spans="1:9" s="4" customFormat="1" ht="18" customHeight="1" x14ac:dyDescent="0.3">
      <c r="A26" s="123"/>
      <c r="B26" s="116" t="str">
        <f>'ТРАФИК САЙТА'!$B$18</f>
        <v>Платный поиск</v>
      </c>
      <c r="C26" s="154">
        <v>0.18</v>
      </c>
      <c r="D26" s="124"/>
      <c r="E26" s="122"/>
      <c r="F26" s="122"/>
      <c r="G26" s="122"/>
      <c r="H26" s="122"/>
      <c r="I26" s="122"/>
    </row>
    <row r="27" spans="1:9" s="4" customFormat="1" ht="18" customHeight="1" x14ac:dyDescent="0.3">
      <c r="A27" s="123"/>
      <c r="B27" s="116" t="str">
        <f>'ТРАФИК САЙТА'!$B$19</f>
        <v xml:space="preserve">Партнерские программы </v>
      </c>
      <c r="C27" s="154">
        <v>10</v>
      </c>
      <c r="D27" s="124"/>
      <c r="E27" s="122"/>
      <c r="F27" s="122"/>
      <c r="G27" s="122"/>
      <c r="H27" s="122"/>
      <c r="I27" s="122"/>
    </row>
    <row r="28" spans="1:9" s="4" customFormat="1" ht="18" customHeight="1" x14ac:dyDescent="0.3">
      <c r="A28" s="123"/>
      <c r="B28" s="6" t="s">
        <v>66</v>
      </c>
      <c r="C28" s="97">
        <f>IF(ISERROR(SUMPRODUCT(C24:C27,C17:C20)/C21),"-",SUMPRODUCT(C24:C27,C17:C20)/C21)</f>
        <v>0.23689320388349513</v>
      </c>
      <c r="D28" s="124"/>
      <c r="E28" s="122"/>
      <c r="F28" s="122"/>
      <c r="G28" s="122"/>
      <c r="H28" s="122"/>
      <c r="I28" s="122"/>
    </row>
    <row r="29" spans="1:9" ht="18" customHeight="1" thickBot="1" x14ac:dyDescent="0.4">
      <c r="A29" s="39"/>
      <c r="B29" s="40"/>
      <c r="C29" s="40"/>
      <c r="D29" s="41"/>
    </row>
    <row r="30" spans="1:9" ht="18" customHeight="1" thickTop="1" x14ac:dyDescent="0.35"/>
  </sheetData>
  <conditionalFormatting sqref="B12 B1:B2">
    <cfRule type="containsText" dxfId="11" priority="1" operator="containsText" text="OK">
      <formula>NOT(ISERROR(SEARCH("OK",B1)))</formula>
    </cfRule>
    <cfRule type="containsText" dxfId="10" priority="2" operator="containsText" text="ERROR">
      <formula>NOT(ISERROR(SEARCH("ERROR",B1)))</formula>
    </cfRule>
  </conditionalFormatting>
  <pageMargins left="0.7" right="0.7" top="0.75" bottom="0.75" header="0.3" footer="0.3"/>
  <pageSetup paperSize="9" scale="83" fitToHeight="0" orientation="landscape" verticalDpi="0" r:id="rId1"/>
  <headerFooter>
    <oddHeader>&amp;CФИНАНСОВАЯ МОДЕЛЬ</oddHeader>
    <oddFooter>&amp;L&amp;F [&amp;A]&amp;CРАСХОДЫ НА МАРКЕТИНГ&amp;R&amp;P/&amp;N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pageSetUpPr fitToPage="1"/>
  </sheetPr>
  <dimension ref="A1:I31"/>
  <sheetViews>
    <sheetView showGridLines="0" topLeftCell="A9" zoomScaleNormal="100" workbookViewId="0">
      <selection activeCell="C20" sqref="C20"/>
    </sheetView>
  </sheetViews>
  <sheetFormatPr defaultColWidth="9" defaultRowHeight="18" customHeight="1" x14ac:dyDescent="0.35"/>
  <cols>
    <col min="1" max="1" width="2.58203125" style="3" customWidth="1"/>
    <col min="2" max="2" width="65.58203125" style="3" customWidth="1"/>
    <col min="3" max="3" width="12.58203125" style="3" customWidth="1"/>
    <col min="4" max="4" width="2.58203125" style="3" customWidth="1"/>
    <col min="5" max="16384" width="9" style="3"/>
  </cols>
  <sheetData>
    <row r="1" spans="1:4" ht="18" customHeight="1" thickTop="1" x14ac:dyDescent="0.35">
      <c r="A1" s="61"/>
      <c r="B1" s="57"/>
      <c r="C1" s="47"/>
      <c r="D1" s="62"/>
    </row>
    <row r="2" spans="1:4" ht="18" customHeight="1" x14ac:dyDescent="0.35">
      <c r="A2" s="37"/>
      <c r="B2" s="8" t="s">
        <v>6</v>
      </c>
      <c r="C2" s="84">
        <f>'ФИНАНСОВАЯ МОДЕЛЬ'!$C$4</f>
        <v>1241614.08</v>
      </c>
      <c r="D2" s="38"/>
    </row>
    <row r="3" spans="1:4" ht="18" customHeight="1" x14ac:dyDescent="0.35">
      <c r="A3" s="37"/>
      <c r="B3" s="14" t="s">
        <v>17</v>
      </c>
      <c r="C3" s="84">
        <f>'ФИНАНСОВАЯ МОДЕЛЬ'!$C$22</f>
        <v>531511.98720000009</v>
      </c>
      <c r="D3" s="38"/>
    </row>
    <row r="4" spans="1:4" ht="18" customHeight="1" x14ac:dyDescent="0.35">
      <c r="A4" s="37"/>
      <c r="B4" s="122" t="s">
        <v>18</v>
      </c>
      <c r="C4" s="11">
        <f>'ФИНАНСОВАЯ МОДЕЛЬ'!$C$23</f>
        <v>0.42808147536471242</v>
      </c>
      <c r="D4" s="38"/>
    </row>
    <row r="5" spans="1:4" ht="18" customHeight="1" x14ac:dyDescent="0.35">
      <c r="A5" s="37"/>
      <c r="B5" s="122"/>
      <c r="C5" s="84"/>
      <c r="D5" s="38"/>
    </row>
    <row r="6" spans="1:4" ht="18" customHeight="1" x14ac:dyDescent="0.35">
      <c r="A6" s="37"/>
      <c r="B6" s="165" t="s">
        <v>35</v>
      </c>
      <c r="C6" s="166">
        <f>'ФИНАНСОВАЯ МОДЕЛЬ'!$C$50</f>
        <v>11.674641148325358</v>
      </c>
      <c r="D6" s="38"/>
    </row>
    <row r="7" spans="1:4" ht="18" customHeight="1" x14ac:dyDescent="0.35">
      <c r="A7" s="37"/>
      <c r="B7" s="165" t="s">
        <v>36</v>
      </c>
      <c r="C7" s="167">
        <f>'ФИНАНСОВАЯ МОДЕЛЬ'!$C$52</f>
        <v>51.832888888888895</v>
      </c>
      <c r="D7" s="38"/>
    </row>
    <row r="8" spans="1:4" ht="18" customHeight="1" x14ac:dyDescent="0.35">
      <c r="A8" s="37"/>
      <c r="B8" s="168" t="s">
        <v>31</v>
      </c>
      <c r="C8" s="169">
        <f>'ФИНАНСОВАЯ МОДЕЛЬ'!$C$54</f>
        <v>4.4397843351548278</v>
      </c>
      <c r="D8" s="38"/>
    </row>
    <row r="9" spans="1:4" ht="18" customHeight="1" x14ac:dyDescent="0.35">
      <c r="A9" s="37"/>
      <c r="B9" s="168" t="s">
        <v>37</v>
      </c>
      <c r="C9" s="170">
        <f>'ФИНАНСОВАЯ МОДЕЛЬ'!$C$56</f>
        <v>0.25026240628698548</v>
      </c>
      <c r="D9" s="38"/>
    </row>
    <row r="10" spans="1:4" ht="18" customHeight="1" x14ac:dyDescent="0.35">
      <c r="A10" s="37"/>
      <c r="B10" s="165" t="s">
        <v>38</v>
      </c>
      <c r="C10" s="166">
        <f>'ФИНАНСОВАЯ МОДЕЛЬ'!$C$58</f>
        <v>46.649600000000007</v>
      </c>
      <c r="D10" s="38"/>
    </row>
    <row r="11" spans="1:4" ht="18" customHeight="1" thickBot="1" x14ac:dyDescent="0.4">
      <c r="A11" s="37"/>
      <c r="B11" s="102"/>
      <c r="C11" s="103"/>
      <c r="D11" s="38"/>
    </row>
    <row r="12" spans="1:4" s="92" customFormat="1" ht="18" customHeight="1" x14ac:dyDescent="0.35">
      <c r="A12" s="90"/>
      <c r="B12" s="88"/>
      <c r="C12" s="79"/>
      <c r="D12" s="91"/>
    </row>
    <row r="13" spans="1:4" ht="18" customHeight="1" x14ac:dyDescent="0.35">
      <c r="A13" s="37"/>
      <c r="B13" s="8" t="s">
        <v>51</v>
      </c>
      <c r="C13" s="9">
        <f>'ТРАФИК САЙТА'!$C$41</f>
        <v>14532</v>
      </c>
      <c r="D13" s="38"/>
    </row>
    <row r="14" spans="1:4" ht="18" customHeight="1" x14ac:dyDescent="0.35">
      <c r="A14" s="37"/>
      <c r="B14" s="8"/>
      <c r="C14" s="9"/>
      <c r="D14" s="38"/>
    </row>
    <row r="15" spans="1:4" ht="18" customHeight="1" x14ac:dyDescent="0.35">
      <c r="A15" s="37"/>
      <c r="B15" s="8" t="s">
        <v>67</v>
      </c>
      <c r="C15" s="9"/>
      <c r="D15" s="38"/>
    </row>
    <row r="16" spans="1:4" ht="18" customHeight="1" x14ac:dyDescent="0.35">
      <c r="A16" s="37"/>
      <c r="B16" s="114" t="s">
        <v>68</v>
      </c>
      <c r="C16" s="155">
        <v>2.5000000000000001E-2</v>
      </c>
      <c r="D16" s="38"/>
    </row>
    <row r="17" spans="1:9" ht="18" customHeight="1" x14ac:dyDescent="0.35">
      <c r="A17" s="37"/>
      <c r="B17" s="8" t="s">
        <v>13</v>
      </c>
      <c r="C17" s="9">
        <f>ВЫРУЧКА!$C$2*C16</f>
        <v>31040.352000000003</v>
      </c>
      <c r="D17" s="38"/>
    </row>
    <row r="18" spans="1:9" ht="18" customHeight="1" x14ac:dyDescent="0.35">
      <c r="A18" s="37"/>
      <c r="B18" s="114"/>
      <c r="C18" s="58"/>
      <c r="D18" s="38"/>
    </row>
    <row r="19" spans="1:9" s="4" customFormat="1" ht="18" customHeight="1" x14ac:dyDescent="0.3">
      <c r="A19" s="123"/>
      <c r="B19" s="6" t="s">
        <v>69</v>
      </c>
      <c r="C19" s="126"/>
      <c r="D19" s="124"/>
      <c r="E19" s="122"/>
      <c r="F19" s="122"/>
      <c r="G19" s="122"/>
      <c r="H19" s="122"/>
      <c r="I19" s="122"/>
    </row>
    <row r="20" spans="1:9" s="4" customFormat="1" ht="18" customHeight="1" x14ac:dyDescent="0.3">
      <c r="A20" s="123"/>
      <c r="B20" s="136" t="s">
        <v>70</v>
      </c>
      <c r="C20" s="156">
        <v>5</v>
      </c>
      <c r="D20" s="124"/>
      <c r="E20" s="122"/>
      <c r="F20" s="122"/>
      <c r="G20" s="122"/>
      <c r="H20" s="122"/>
      <c r="I20" s="122"/>
    </row>
    <row r="21" spans="1:9" s="4" customFormat="1" ht="18" customHeight="1" x14ac:dyDescent="0.3">
      <c r="A21" s="123"/>
      <c r="B21" s="136" t="s">
        <v>71</v>
      </c>
      <c r="C21" s="156">
        <v>2</v>
      </c>
      <c r="D21" s="124"/>
      <c r="E21" s="122"/>
      <c r="F21" s="122"/>
      <c r="G21" s="122"/>
      <c r="H21" s="122"/>
      <c r="I21" s="122"/>
    </row>
    <row r="22" spans="1:9" s="4" customFormat="1" ht="18" customHeight="1" x14ac:dyDescent="0.3">
      <c r="A22" s="123"/>
      <c r="B22" s="6" t="s">
        <v>72</v>
      </c>
      <c r="C22" s="98">
        <f t="shared" ref="C22" si="0">SUM(C20:C21)</f>
        <v>7</v>
      </c>
      <c r="D22" s="124"/>
      <c r="E22" s="122"/>
      <c r="F22" s="122"/>
      <c r="G22" s="122"/>
      <c r="H22" s="122"/>
      <c r="I22" s="122"/>
    </row>
    <row r="23" spans="1:9" ht="18" customHeight="1" x14ac:dyDescent="0.35">
      <c r="A23" s="37"/>
      <c r="D23" s="38"/>
    </row>
    <row r="24" spans="1:9" ht="18" customHeight="1" x14ac:dyDescent="0.35">
      <c r="A24" s="37"/>
      <c r="B24" s="7" t="s">
        <v>73</v>
      </c>
      <c r="C24" s="9">
        <f>C13*C20</f>
        <v>72660</v>
      </c>
      <c r="D24" s="38"/>
    </row>
    <row r="25" spans="1:9" ht="18" customHeight="1" x14ac:dyDescent="0.35">
      <c r="A25" s="37"/>
      <c r="B25" s="15" t="s">
        <v>8</v>
      </c>
      <c r="C25" s="17">
        <f>IF('ФИНАНСОВАЯ МОДЕЛЬ'!$C$4&lt;&gt;0,C24/'ФИНАНСОВАЯ МОДЕЛЬ'!$C$4,"-")</f>
        <v>5.8520599250936327E-2</v>
      </c>
      <c r="D25" s="38"/>
    </row>
    <row r="26" spans="1:9" ht="18" customHeight="1" x14ac:dyDescent="0.35">
      <c r="A26" s="37"/>
      <c r="B26" s="8" t="s">
        <v>74</v>
      </c>
      <c r="C26" s="9">
        <f>C13*C21</f>
        <v>29064</v>
      </c>
      <c r="D26" s="38"/>
    </row>
    <row r="27" spans="1:9" ht="18" customHeight="1" x14ac:dyDescent="0.35">
      <c r="A27" s="37"/>
      <c r="B27" s="15" t="s">
        <v>8</v>
      </c>
      <c r="C27" s="17">
        <f>IF('ФИНАНСОВАЯ МОДЕЛЬ'!$C$4&lt;&gt;0,C26/'ФИНАНСОВАЯ МОДЕЛЬ'!$C$4,"-")</f>
        <v>2.340823970037453E-2</v>
      </c>
      <c r="D27" s="38"/>
    </row>
    <row r="28" spans="1:9" ht="18" customHeight="1" x14ac:dyDescent="0.35">
      <c r="A28" s="37"/>
      <c r="B28" s="7" t="s">
        <v>75</v>
      </c>
      <c r="C28" s="9">
        <f>C24+C26</f>
        <v>101724</v>
      </c>
      <c r="D28" s="38"/>
    </row>
    <row r="29" spans="1:9" ht="18" customHeight="1" x14ac:dyDescent="0.35">
      <c r="A29" s="37"/>
      <c r="B29" s="10" t="s">
        <v>8</v>
      </c>
      <c r="C29" s="17">
        <f>IF('ФИНАНСОВАЯ МОДЕЛЬ'!$C$4&lt;&gt;0,C28/'ФИНАНСОВАЯ МОДЕЛЬ'!$C$4,"-")</f>
        <v>8.1928838951310853E-2</v>
      </c>
      <c r="D29" s="38"/>
    </row>
    <row r="30" spans="1:9" ht="18" customHeight="1" thickBot="1" x14ac:dyDescent="0.4">
      <c r="A30" s="39"/>
      <c r="B30" s="40"/>
      <c r="C30" s="40"/>
      <c r="D30" s="41"/>
    </row>
    <row r="31" spans="1:9" ht="18" customHeight="1" thickTop="1" x14ac:dyDescent="0.35"/>
  </sheetData>
  <conditionalFormatting sqref="B12 B1">
    <cfRule type="containsText" dxfId="9" priority="3" operator="containsText" text="OK">
      <formula>NOT(ISERROR(SEARCH("OK",B1)))</formula>
    </cfRule>
    <cfRule type="containsText" dxfId="8" priority="4" operator="containsText" text="ERROR">
      <formula>NOT(ISERROR(SEARCH("ERROR",B1)))</formula>
    </cfRule>
  </conditionalFormatting>
  <conditionalFormatting sqref="B2">
    <cfRule type="containsText" dxfId="7" priority="1" operator="containsText" text="OK">
      <formula>NOT(ISERROR(SEARCH("OK",B2)))</formula>
    </cfRule>
    <cfRule type="containsText" dxfId="6" priority="2" operator="containsText" text="ERROR">
      <formula>NOT(ISERROR(SEARCH("ERROR",B2)))</formula>
    </cfRule>
  </conditionalFormatting>
  <pageMargins left="0.7" right="0.7" top="0.75" bottom="0.75" header="0.3" footer="0.3"/>
  <pageSetup paperSize="9" scale="83" fitToHeight="0" orientation="landscape" verticalDpi="0" r:id="rId1"/>
  <headerFooter>
    <oddHeader>&amp;CФИНАНСОВАЯ МОДЕЛЬ</oddHeader>
    <oddFooter>&amp;L&amp;F [&amp;A]&amp;CЗАКАЗ И ВЫПОЛНЕНИЕ ЗАКАЗА&amp;R&amp;P/&amp;N</oddFooter>
  </headerFooter>
  <ignoredErrors>
    <ignoredError sqref="C26:C2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pageSetUpPr fitToPage="1"/>
  </sheetPr>
  <dimension ref="A1:D19"/>
  <sheetViews>
    <sheetView showGridLines="0" zoomScaleNormal="100" workbookViewId="0">
      <selection activeCell="B21" sqref="B21"/>
    </sheetView>
  </sheetViews>
  <sheetFormatPr defaultColWidth="8.83203125" defaultRowHeight="18" customHeight="1" x14ac:dyDescent="0.35"/>
  <cols>
    <col min="1" max="1" width="2.58203125" customWidth="1"/>
    <col min="2" max="2" width="65.58203125" customWidth="1"/>
    <col min="3" max="3" width="12.58203125" customWidth="1"/>
    <col min="4" max="4" width="2.58203125" customWidth="1"/>
  </cols>
  <sheetData>
    <row r="1" spans="1:4" ht="18" customHeight="1" x14ac:dyDescent="0.35">
      <c r="A1" s="61"/>
      <c r="B1" s="57"/>
      <c r="C1" s="47"/>
      <c r="D1" s="62"/>
    </row>
    <row r="2" spans="1:4" ht="18" customHeight="1" x14ac:dyDescent="0.35">
      <c r="A2" s="104"/>
      <c r="B2" s="165" t="s">
        <v>35</v>
      </c>
      <c r="C2" s="166">
        <f>'ФИНАНСОВАЯ МОДЕЛЬ'!$C$50</f>
        <v>11.674641148325358</v>
      </c>
      <c r="D2" s="105"/>
    </row>
    <row r="3" spans="1:4" ht="18" customHeight="1" x14ac:dyDescent="0.35">
      <c r="A3" s="104"/>
      <c r="B3" s="165" t="s">
        <v>36</v>
      </c>
      <c r="C3" s="167">
        <f>'ФИНАНСОВАЯ МОДЕЛЬ'!$C$52</f>
        <v>51.832888888888895</v>
      </c>
      <c r="D3" s="105"/>
    </row>
    <row r="4" spans="1:4" ht="18" customHeight="1" x14ac:dyDescent="0.35">
      <c r="A4" s="104"/>
      <c r="B4" s="168" t="s">
        <v>31</v>
      </c>
      <c r="C4" s="169">
        <f>'ФИНАНСОВАЯ МОДЕЛЬ'!$C$54</f>
        <v>4.4397843351548278</v>
      </c>
      <c r="D4" s="105"/>
    </row>
    <row r="5" spans="1:4" ht="18" customHeight="1" x14ac:dyDescent="0.35">
      <c r="A5" s="104"/>
      <c r="B5" s="168" t="s">
        <v>37</v>
      </c>
      <c r="C5" s="170">
        <f>'ФИНАНСОВАЯ МОДЕЛЬ'!$C$56</f>
        <v>0.25026240628698548</v>
      </c>
      <c r="D5" s="105"/>
    </row>
    <row r="6" spans="1:4" ht="18" customHeight="1" x14ac:dyDescent="0.35">
      <c r="A6" s="104"/>
      <c r="B6" s="165" t="s">
        <v>38</v>
      </c>
      <c r="C6" s="166">
        <f>'ФИНАНСОВАЯ МОДЕЛЬ'!$C$58</f>
        <v>46.649600000000007</v>
      </c>
      <c r="D6" s="105"/>
    </row>
    <row r="7" spans="1:4" ht="18" customHeight="1" x14ac:dyDescent="0.35">
      <c r="A7" s="104"/>
      <c r="B7" s="102"/>
      <c r="C7" s="103"/>
      <c r="D7" s="105"/>
    </row>
    <row r="8" spans="1:4" ht="18" customHeight="1" x14ac:dyDescent="0.35">
      <c r="A8" s="104"/>
      <c r="B8" s="88"/>
      <c r="C8" s="79"/>
      <c r="D8" s="105"/>
    </row>
    <row r="9" spans="1:4" ht="18" customHeight="1" x14ac:dyDescent="0.35">
      <c r="A9" s="63"/>
      <c r="B9" s="78" t="s">
        <v>76</v>
      </c>
      <c r="C9" s="45"/>
      <c r="D9" s="64"/>
    </row>
    <row r="10" spans="1:4" s="1" customFormat="1" ht="18" customHeight="1" x14ac:dyDescent="0.3">
      <c r="A10" s="65"/>
      <c r="B10" s="115" t="s">
        <v>77</v>
      </c>
      <c r="C10" s="152">
        <v>0.9</v>
      </c>
      <c r="D10" s="66"/>
    </row>
    <row r="11" spans="1:4" s="1" customFormat="1" ht="18" customHeight="1" x14ac:dyDescent="0.3">
      <c r="A11" s="65"/>
      <c r="B11" s="126" t="s">
        <v>78</v>
      </c>
      <c r="C11" s="150">
        <v>810</v>
      </c>
      <c r="D11" s="66"/>
    </row>
    <row r="12" spans="1:4" s="1" customFormat="1" ht="18" customHeight="1" x14ac:dyDescent="0.3">
      <c r="A12" s="65"/>
      <c r="B12" s="126"/>
      <c r="C12" s="137"/>
      <c r="D12" s="66"/>
    </row>
    <row r="13" spans="1:4" s="1" customFormat="1" ht="18" customHeight="1" x14ac:dyDescent="0.3">
      <c r="A13" s="65"/>
      <c r="B13" s="126" t="s">
        <v>79</v>
      </c>
      <c r="C13" s="117">
        <f>IF(ISERROR('ТРАФИК САЙТА'!C38+'ТРАФИК САЙТА'!C39+'ТРАФИК САЙТА'!C40),"ошибка трафика",('ТРАФИК САЙТА'!C38+'ТРАФИК САЙТА'!C39+'ТРАФИК САЙТА'!C40))</f>
        <v>13980</v>
      </c>
      <c r="D13" s="66"/>
    </row>
    <row r="14" spans="1:4" s="1" customFormat="1" ht="18" customHeight="1" x14ac:dyDescent="0.3">
      <c r="A14" s="65"/>
      <c r="B14" s="6" t="s">
        <v>80</v>
      </c>
      <c r="C14" s="18">
        <f>+C11+C13</f>
        <v>14790</v>
      </c>
      <c r="D14" s="66"/>
    </row>
    <row r="15" spans="1:4" s="1" customFormat="1" ht="18" customHeight="1" x14ac:dyDescent="0.3">
      <c r="A15" s="65"/>
      <c r="B15" s="6"/>
      <c r="C15" s="18"/>
      <c r="D15" s="66"/>
    </row>
    <row r="16" spans="1:4" s="1" customFormat="1" ht="18" customHeight="1" x14ac:dyDescent="0.3">
      <c r="A16" s="65"/>
      <c r="B16" s="126" t="s">
        <v>81</v>
      </c>
      <c r="C16" s="117">
        <f>-C14*C10</f>
        <v>-13311</v>
      </c>
      <c r="D16" s="66"/>
    </row>
    <row r="17" spans="1:4" s="1" customFormat="1" ht="18" customHeight="1" x14ac:dyDescent="0.3">
      <c r="A17" s="65"/>
      <c r="B17" s="6" t="s">
        <v>82</v>
      </c>
      <c r="C17" s="18">
        <f>+C14+C16</f>
        <v>1479</v>
      </c>
      <c r="D17" s="66"/>
    </row>
    <row r="18" spans="1:4" ht="18" customHeight="1" thickBot="1" x14ac:dyDescent="0.4">
      <c r="A18" s="67"/>
      <c r="B18" s="68"/>
      <c r="C18" s="68"/>
      <c r="D18" s="69"/>
    </row>
    <row r="19" spans="1:4" ht="18" customHeight="1" thickTop="1" x14ac:dyDescent="0.35"/>
  </sheetData>
  <conditionalFormatting sqref="B1 B9">
    <cfRule type="containsText" dxfId="5" priority="3" operator="containsText" text="OK">
      <formula>NOT(ISERROR(SEARCH("OK",B1)))</formula>
    </cfRule>
    <cfRule type="containsText" dxfId="4" priority="4" operator="containsText" text="ERROR">
      <formula>NOT(ISERROR(SEARCH("ERROR",B1)))</formula>
    </cfRule>
  </conditionalFormatting>
  <conditionalFormatting sqref="B8">
    <cfRule type="containsText" dxfId="3" priority="1" operator="containsText" text="OK">
      <formula>NOT(ISERROR(SEARCH("OK",B8)))</formula>
    </cfRule>
    <cfRule type="containsText" dxfId="2" priority="2" operator="containsText" text="ERROR">
      <formula>NOT(ISERROR(SEARCH("ERROR",B8)))</formula>
    </cfRule>
  </conditionalFormatting>
  <pageMargins left="0.7" right="0.7" top="0.75" bottom="0.75" header="0.3" footer="0.3"/>
  <pageSetup paperSize="9" scale="83" fitToHeight="0" orientation="landscape" verticalDpi="0" r:id="rId1"/>
  <headerFooter>
    <oddHeader>&amp;CФИНАНСОВАЯ МОДЕЛЬ</oddHeader>
    <oddFooter>&amp;L&amp;F [&amp;A]&amp;CКЛИЕНТЫ&amp;R&amp;P/&amp;N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pageSetUpPr fitToPage="1"/>
  </sheetPr>
  <dimension ref="A1:I140"/>
  <sheetViews>
    <sheetView showGridLines="0" zoomScaleNormal="100" workbookViewId="0">
      <selection activeCell="C89" sqref="C89"/>
    </sheetView>
  </sheetViews>
  <sheetFormatPr defaultColWidth="9" defaultRowHeight="18" customHeight="1" outlineLevelRow="1" x14ac:dyDescent="0.35"/>
  <cols>
    <col min="1" max="1" width="2.58203125" style="3" customWidth="1"/>
    <col min="2" max="2" width="65.58203125" style="3" customWidth="1"/>
    <col min="3" max="3" width="12.58203125" style="3" customWidth="1"/>
    <col min="4" max="4" width="2.58203125" style="3" customWidth="1"/>
    <col min="5" max="16384" width="9" style="3"/>
  </cols>
  <sheetData>
    <row r="1" spans="1:4" ht="18" customHeight="1" thickTop="1" x14ac:dyDescent="0.35">
      <c r="A1" s="61"/>
      <c r="B1" s="57"/>
      <c r="C1" s="47"/>
      <c r="D1" s="62"/>
    </row>
    <row r="2" spans="1:4" ht="18" customHeight="1" x14ac:dyDescent="0.35">
      <c r="A2" s="104"/>
      <c r="B2" s="82" t="str">
        <f>'ФИНАНСОВАЯ МОДЕЛЬ'!B4</f>
        <v>Выручка</v>
      </c>
      <c r="C2" s="84">
        <f>'ФИНАНСОВАЯ МОДЕЛЬ'!$C$4</f>
        <v>1241614.08</v>
      </c>
      <c r="D2" s="105"/>
    </row>
    <row r="3" spans="1:4" ht="18" customHeight="1" x14ac:dyDescent="0.35">
      <c r="A3" s="104"/>
      <c r="B3" s="82"/>
      <c r="C3" s="84"/>
      <c r="D3" s="105"/>
    </row>
    <row r="4" spans="1:4" ht="18" customHeight="1" x14ac:dyDescent="0.35">
      <c r="A4" s="104"/>
      <c r="B4" s="165" t="s">
        <v>35</v>
      </c>
      <c r="C4" s="166">
        <f>'ФИНАНСОВАЯ МОДЕЛЬ'!$C$50</f>
        <v>11.674641148325358</v>
      </c>
      <c r="D4" s="105"/>
    </row>
    <row r="5" spans="1:4" ht="18" customHeight="1" x14ac:dyDescent="0.35">
      <c r="A5" s="104"/>
      <c r="B5" s="165" t="s">
        <v>36</v>
      </c>
      <c r="C5" s="167">
        <f>'ФИНАНСОВАЯ МОДЕЛЬ'!$C$52</f>
        <v>51.832888888888895</v>
      </c>
      <c r="D5" s="105"/>
    </row>
    <row r="6" spans="1:4" ht="18" customHeight="1" x14ac:dyDescent="0.35">
      <c r="A6" s="104"/>
      <c r="B6" s="168" t="s">
        <v>31</v>
      </c>
      <c r="C6" s="169">
        <f>'ФИНАНСОВАЯ МОДЕЛЬ'!$C$54</f>
        <v>4.4397843351548278</v>
      </c>
      <c r="D6" s="105"/>
    </row>
    <row r="7" spans="1:4" ht="18" customHeight="1" x14ac:dyDescent="0.35">
      <c r="A7" s="104"/>
      <c r="B7" s="168" t="s">
        <v>37</v>
      </c>
      <c r="C7" s="170">
        <f>'ФИНАНСОВАЯ МОДЕЛЬ'!$C$56</f>
        <v>0.25026240628698548</v>
      </c>
      <c r="D7" s="105"/>
    </row>
    <row r="8" spans="1:4" ht="18" customHeight="1" x14ac:dyDescent="0.35">
      <c r="A8" s="104"/>
      <c r="B8" s="165" t="s">
        <v>38</v>
      </c>
      <c r="C8" s="166">
        <f>'ФИНАНСОВАЯ МОДЕЛЬ'!$C$58</f>
        <v>46.649600000000007</v>
      </c>
      <c r="D8" s="105"/>
    </row>
    <row r="9" spans="1:4" ht="18" customHeight="1" x14ac:dyDescent="0.35">
      <c r="A9" s="104"/>
      <c r="B9" s="78"/>
      <c r="C9" s="106"/>
      <c r="D9" s="105"/>
    </row>
    <row r="10" spans="1:4" ht="18" customHeight="1" x14ac:dyDescent="0.35">
      <c r="A10" s="104"/>
      <c r="B10" s="107" t="str">
        <f>'ФИНАНСОВАЯ МОДЕЛЬ'!B43</f>
        <v>Операционная прибыль (EBITDA)</v>
      </c>
      <c r="C10" s="84">
        <f>'ФИНАНСОВАЯ МОДЕЛЬ'!$C$43</f>
        <v>293131.98720000009</v>
      </c>
      <c r="D10" s="105"/>
    </row>
    <row r="11" spans="1:4" ht="18" customHeight="1" x14ac:dyDescent="0.35">
      <c r="A11" s="104"/>
      <c r="B11" s="108" t="str">
        <f>'ФИНАНСОВАЯ МОДЕЛЬ'!B44</f>
        <v>Рентабельность по EBITDA, %</v>
      </c>
      <c r="C11" s="11">
        <f>'ФИНАНСОВАЯ МОДЕЛЬ'!C44</f>
        <v>0.23608945156292047</v>
      </c>
      <c r="D11" s="105"/>
    </row>
    <row r="12" spans="1:4" ht="18" customHeight="1" thickBot="1" x14ac:dyDescent="0.4">
      <c r="A12" s="109"/>
      <c r="B12" s="110"/>
      <c r="C12" s="111"/>
      <c r="D12" s="112"/>
    </row>
    <row r="13" spans="1:4" ht="18" customHeight="1" thickTop="1" thickBot="1" x14ac:dyDescent="0.4">
      <c r="A13" s="44"/>
      <c r="B13" s="56"/>
      <c r="C13" s="45"/>
      <c r="D13" s="44"/>
    </row>
    <row r="14" spans="1:4" ht="18" customHeight="1" thickTop="1" x14ac:dyDescent="0.35">
      <c r="A14" s="61"/>
      <c r="B14" s="57"/>
      <c r="C14" s="47"/>
      <c r="D14" s="62"/>
    </row>
    <row r="15" spans="1:4" ht="18" customHeight="1" x14ac:dyDescent="0.35">
      <c r="A15" s="37"/>
      <c r="B15" s="70" t="s">
        <v>83</v>
      </c>
      <c r="C15" s="157" t="s">
        <v>5</v>
      </c>
      <c r="D15" s="38"/>
    </row>
    <row r="16" spans="1:4" ht="18" customHeight="1" outlineLevel="1" x14ac:dyDescent="0.35">
      <c r="A16" s="37"/>
      <c r="B16" s="73"/>
      <c r="C16" s="74"/>
      <c r="D16" s="38"/>
    </row>
    <row r="17" spans="1:9" ht="18" customHeight="1" outlineLevel="1" x14ac:dyDescent="0.35">
      <c r="A17" s="37"/>
      <c r="B17" s="8" t="s">
        <v>12</v>
      </c>
      <c r="C17" s="9">
        <f>'РАСХОДЫ НА МАРКЕТИНГ'!$C$13</f>
        <v>146400</v>
      </c>
      <c r="D17" s="38"/>
    </row>
    <row r="18" spans="1:9" ht="18" customHeight="1" outlineLevel="1" x14ac:dyDescent="0.35">
      <c r="A18" s="37"/>
      <c r="B18" s="10" t="s">
        <v>8</v>
      </c>
      <c r="C18" s="17">
        <f>'РАСХОДЫ НА МАРКЕТИНГ'!$C$14</f>
        <v>0.11791103399858352</v>
      </c>
      <c r="D18" s="38"/>
    </row>
    <row r="19" spans="1:9" ht="18" customHeight="1" outlineLevel="1" x14ac:dyDescent="0.35">
      <c r="A19" s="37"/>
      <c r="B19" s="8" t="s">
        <v>13</v>
      </c>
      <c r="C19" s="9">
        <f>ЗАКАЗ!$C$17</f>
        <v>31040.352000000003</v>
      </c>
      <c r="D19" s="38"/>
    </row>
    <row r="20" spans="1:9" ht="18" customHeight="1" outlineLevel="1" x14ac:dyDescent="0.35">
      <c r="A20" s="37"/>
      <c r="B20" s="10" t="s">
        <v>8</v>
      </c>
      <c r="C20" s="17">
        <f>ЗАКАЗ!$C$16</f>
        <v>2.5000000000000001E-2</v>
      </c>
      <c r="D20" s="38"/>
    </row>
    <row r="21" spans="1:9" ht="18" customHeight="1" outlineLevel="1" x14ac:dyDescent="0.35">
      <c r="A21" s="37"/>
      <c r="B21" s="10"/>
      <c r="C21" s="17"/>
      <c r="D21" s="38"/>
    </row>
    <row r="22" spans="1:9" ht="18" customHeight="1" outlineLevel="1" x14ac:dyDescent="0.35">
      <c r="A22" s="37"/>
      <c r="B22" s="99" t="s">
        <v>14</v>
      </c>
      <c r="C22" s="17"/>
      <c r="D22" s="38"/>
    </row>
    <row r="23" spans="1:9" s="4" customFormat="1" ht="18" customHeight="1" outlineLevel="1" x14ac:dyDescent="0.3">
      <c r="A23" s="123"/>
      <c r="B23" s="173" t="s">
        <v>73</v>
      </c>
      <c r="C23" s="174">
        <f>ЗАКАЗ!C24</f>
        <v>72660</v>
      </c>
      <c r="D23" s="124"/>
      <c r="E23" s="122"/>
      <c r="F23" s="122"/>
      <c r="G23" s="122"/>
      <c r="H23" s="122"/>
      <c r="I23" s="122"/>
    </row>
    <row r="24" spans="1:9" s="4" customFormat="1" ht="18" customHeight="1" outlineLevel="1" x14ac:dyDescent="0.3">
      <c r="A24" s="123"/>
      <c r="B24" s="10" t="s">
        <v>8</v>
      </c>
      <c r="C24" s="101">
        <f>ЗАКАЗ!$C$25</f>
        <v>5.8520599250936327E-2</v>
      </c>
      <c r="D24" s="124"/>
      <c r="E24" s="122"/>
      <c r="F24" s="122"/>
      <c r="G24" s="122"/>
      <c r="H24" s="122"/>
      <c r="I24" s="122"/>
    </row>
    <row r="25" spans="1:9" s="4" customFormat="1" ht="18" customHeight="1" outlineLevel="1" x14ac:dyDescent="0.3">
      <c r="A25" s="123"/>
      <c r="B25" s="173" t="s">
        <v>74</v>
      </c>
      <c r="C25" s="174">
        <f>ЗАКАЗ!$C$26</f>
        <v>29064</v>
      </c>
      <c r="D25" s="124"/>
      <c r="E25" s="122"/>
      <c r="F25" s="122"/>
      <c r="G25" s="122"/>
      <c r="H25" s="122"/>
      <c r="I25" s="122"/>
    </row>
    <row r="26" spans="1:9" ht="18" customHeight="1" outlineLevel="1" x14ac:dyDescent="0.35">
      <c r="A26" s="37"/>
      <c r="B26" s="10" t="s">
        <v>8</v>
      </c>
      <c r="C26" s="17">
        <f>ЗАКАЗ!$C$27</f>
        <v>2.340823970037453E-2</v>
      </c>
      <c r="D26" s="38"/>
    </row>
    <row r="27" spans="1:9" ht="18" customHeight="1" outlineLevel="1" x14ac:dyDescent="0.35">
      <c r="A27" s="37"/>
      <c r="B27" s="7" t="s">
        <v>75</v>
      </c>
      <c r="C27" s="9">
        <f>$C$23+$C$25</f>
        <v>101724</v>
      </c>
      <c r="D27" s="38"/>
    </row>
    <row r="28" spans="1:9" ht="18" customHeight="1" outlineLevel="1" x14ac:dyDescent="0.35">
      <c r="A28" s="37"/>
      <c r="B28" s="10" t="s">
        <v>8</v>
      </c>
      <c r="C28" s="17">
        <f>IF('ФИНАНСОВАЯ МОДЕЛЬ'!$C$4&lt;&gt;0,$C$27/'ФИНАНСОВАЯ МОДЕЛЬ'!$C$4,"-")</f>
        <v>8.1928838951310853E-2</v>
      </c>
      <c r="D28" s="38"/>
    </row>
    <row r="29" spans="1:9" ht="18" customHeight="1" outlineLevel="1" x14ac:dyDescent="0.35">
      <c r="A29" s="37"/>
      <c r="B29" s="10"/>
      <c r="C29" s="17"/>
      <c r="D29" s="38"/>
    </row>
    <row r="30" spans="1:9" ht="18" customHeight="1" outlineLevel="1" x14ac:dyDescent="0.35">
      <c r="A30" s="37"/>
      <c r="B30" s="179" t="s">
        <v>15</v>
      </c>
      <c r="C30" s="9">
        <f>'ФИНАНСОВАЯ МОДЕЛЬ'!$C$4*$C$31</f>
        <v>12416.140800000001</v>
      </c>
      <c r="D30" s="38"/>
    </row>
    <row r="31" spans="1:9" ht="18" customHeight="1" outlineLevel="1" x14ac:dyDescent="0.35">
      <c r="A31" s="37"/>
      <c r="B31" s="180" t="s">
        <v>8</v>
      </c>
      <c r="C31" s="181">
        <v>0.01</v>
      </c>
      <c r="D31" s="38"/>
    </row>
    <row r="32" spans="1:9" ht="18" customHeight="1" outlineLevel="1" thickBot="1" x14ac:dyDescent="0.4">
      <c r="A32" s="37"/>
      <c r="B32" s="10"/>
      <c r="C32" s="17"/>
      <c r="D32" s="38"/>
    </row>
    <row r="33" spans="1:9" ht="18" customHeight="1" outlineLevel="1" x14ac:dyDescent="0.35">
      <c r="A33" s="37"/>
      <c r="B33" s="175" t="s">
        <v>16</v>
      </c>
      <c r="C33" s="176">
        <f>$C$17+$C$19+$C$23+$C$25+$C$30</f>
        <v>291580.49280000001</v>
      </c>
      <c r="D33" s="38"/>
    </row>
    <row r="34" spans="1:9" ht="18" customHeight="1" outlineLevel="1" x14ac:dyDescent="0.35">
      <c r="A34" s="37"/>
      <c r="B34" s="10" t="s">
        <v>8</v>
      </c>
      <c r="C34" s="17">
        <f>IF('ФИНАНСОВАЯ МОДЕЛЬ'!$C$4&lt;&gt;0,C33/'ФИНАНСОВАЯ МОДЕЛЬ'!$C$4,"-")</f>
        <v>0.23483987294989436</v>
      </c>
      <c r="D34" s="38"/>
    </row>
    <row r="35" spans="1:9" ht="18" customHeight="1" thickBot="1" x14ac:dyDescent="0.4">
      <c r="A35" s="39"/>
      <c r="B35" s="71"/>
      <c r="C35" s="72"/>
      <c r="D35" s="41"/>
    </row>
    <row r="36" spans="1:9" ht="18" customHeight="1" thickTop="1" thickBot="1" x14ac:dyDescent="0.4">
      <c r="B36" s="138"/>
      <c r="C36" s="138"/>
    </row>
    <row r="37" spans="1:9" ht="18" customHeight="1" thickTop="1" x14ac:dyDescent="0.35">
      <c r="A37" s="35"/>
      <c r="B37" s="139"/>
      <c r="C37" s="139"/>
      <c r="D37" s="36"/>
    </row>
    <row r="38" spans="1:9" s="4" customFormat="1" ht="18" customHeight="1" x14ac:dyDescent="0.3">
      <c r="A38" s="123"/>
      <c r="B38" s="75" t="s">
        <v>84</v>
      </c>
      <c r="C38" s="157" t="s">
        <v>5</v>
      </c>
      <c r="D38" s="124"/>
      <c r="E38" s="122"/>
      <c r="F38" s="122"/>
      <c r="G38" s="122"/>
      <c r="H38" s="122"/>
      <c r="I38" s="122"/>
    </row>
    <row r="39" spans="1:9" s="4" customFormat="1" ht="18" customHeight="1" outlineLevel="1" x14ac:dyDescent="0.3">
      <c r="A39" s="123"/>
      <c r="B39" s="76"/>
      <c r="C39" s="74"/>
      <c r="D39" s="124"/>
      <c r="E39" s="122"/>
      <c r="F39" s="122"/>
      <c r="G39" s="122"/>
      <c r="H39" s="122"/>
      <c r="I39" s="122"/>
    </row>
    <row r="40" spans="1:9" s="4" customFormat="1" ht="18" customHeight="1" outlineLevel="1" x14ac:dyDescent="0.3">
      <c r="A40" s="123"/>
      <c r="B40" s="42" t="s">
        <v>20</v>
      </c>
      <c r="C40" s="122"/>
      <c r="D40" s="124"/>
      <c r="E40" s="122"/>
      <c r="F40" s="122"/>
      <c r="G40" s="122"/>
      <c r="H40" s="122"/>
      <c r="I40" s="122"/>
    </row>
    <row r="41" spans="1:9" s="4" customFormat="1" ht="18" customHeight="1" outlineLevel="1" x14ac:dyDescent="0.3">
      <c r="A41" s="123"/>
      <c r="B41" s="140" t="s">
        <v>20</v>
      </c>
      <c r="C41" s="150">
        <v>120800</v>
      </c>
      <c r="D41" s="124"/>
      <c r="E41" s="122"/>
      <c r="F41" s="122"/>
      <c r="G41" s="122"/>
      <c r="H41" s="122"/>
      <c r="I41" s="122"/>
    </row>
    <row r="42" spans="1:9" s="4" customFormat="1" ht="18" customHeight="1" outlineLevel="1" x14ac:dyDescent="0.3">
      <c r="A42" s="123"/>
      <c r="B42" s="140" t="s">
        <v>85</v>
      </c>
      <c r="C42" s="150">
        <v>24100</v>
      </c>
      <c r="D42" s="124"/>
      <c r="E42" s="122"/>
      <c r="F42" s="122"/>
      <c r="G42" s="122"/>
      <c r="H42" s="122"/>
      <c r="I42" s="122"/>
    </row>
    <row r="43" spans="1:9" s="4" customFormat="1" ht="18" customHeight="1" outlineLevel="1" x14ac:dyDescent="0.3">
      <c r="A43" s="123"/>
      <c r="B43" s="140" t="s">
        <v>86</v>
      </c>
      <c r="C43" s="150">
        <v>6000</v>
      </c>
      <c r="D43" s="124"/>
      <c r="E43" s="122"/>
      <c r="F43" s="122"/>
      <c r="G43" s="122"/>
      <c r="H43" s="122"/>
      <c r="I43" s="122"/>
    </row>
    <row r="44" spans="1:9" s="4" customFormat="1" ht="18" customHeight="1" outlineLevel="1" x14ac:dyDescent="0.3">
      <c r="A44" s="123"/>
      <c r="B44" s="7" t="s">
        <v>87</v>
      </c>
      <c r="C44" s="24">
        <f t="shared" ref="C44" si="0">SUM(C41:C43)</f>
        <v>150900</v>
      </c>
      <c r="D44" s="124"/>
      <c r="E44" s="122"/>
      <c r="F44" s="122"/>
      <c r="G44" s="122"/>
      <c r="H44" s="122"/>
      <c r="I44" s="122"/>
    </row>
    <row r="45" spans="1:9" s="4" customFormat="1" ht="18" customHeight="1" outlineLevel="1" x14ac:dyDescent="0.3">
      <c r="A45" s="123"/>
      <c r="B45" s="10" t="s">
        <v>8</v>
      </c>
      <c r="C45" s="11">
        <f>IF('ФИНАНСОВАЯ МОДЕЛЬ'!$C$4&lt;&gt;0,C44/'ФИНАНСОВАЯ МОДЕЛЬ'!$C$4,"-")</f>
        <v>0.1215353485682121</v>
      </c>
      <c r="D45" s="124"/>
      <c r="E45" s="122"/>
      <c r="F45" s="122"/>
      <c r="G45" s="122"/>
      <c r="H45" s="122"/>
      <c r="I45" s="122"/>
    </row>
    <row r="46" spans="1:9" s="4" customFormat="1" ht="18" customHeight="1" outlineLevel="1" x14ac:dyDescent="0.3">
      <c r="A46" s="123"/>
      <c r="B46" s="10"/>
      <c r="C46" s="11"/>
      <c r="D46" s="124"/>
      <c r="E46" s="122"/>
      <c r="F46" s="122"/>
      <c r="G46" s="122"/>
      <c r="H46" s="122"/>
      <c r="I46" s="122"/>
    </row>
    <row r="47" spans="1:9" s="4" customFormat="1" ht="18" customHeight="1" outlineLevel="1" x14ac:dyDescent="0.3">
      <c r="A47" s="123"/>
      <c r="B47" s="7" t="s">
        <v>12</v>
      </c>
      <c r="C47" s="122"/>
      <c r="D47" s="124"/>
      <c r="E47" s="122"/>
      <c r="F47" s="122"/>
      <c r="G47" s="122"/>
      <c r="H47" s="122"/>
      <c r="I47" s="122"/>
    </row>
    <row r="48" spans="1:9" s="4" customFormat="1" ht="18" customHeight="1" outlineLevel="1" x14ac:dyDescent="0.3">
      <c r="A48" s="123"/>
      <c r="B48" s="140" t="s">
        <v>88</v>
      </c>
      <c r="C48" s="150">
        <v>2000</v>
      </c>
      <c r="D48" s="124"/>
      <c r="E48" s="122"/>
      <c r="F48" s="122"/>
      <c r="G48" s="122"/>
      <c r="H48" s="122"/>
      <c r="I48" s="122"/>
    </row>
    <row r="49" spans="1:9" s="4" customFormat="1" ht="18" customHeight="1" outlineLevel="1" x14ac:dyDescent="0.3">
      <c r="A49" s="123"/>
      <c r="B49" s="140" t="s">
        <v>89</v>
      </c>
      <c r="C49" s="150">
        <v>2600</v>
      </c>
      <c r="D49" s="124"/>
      <c r="E49" s="122"/>
      <c r="F49" s="122"/>
      <c r="G49" s="122"/>
      <c r="H49" s="122"/>
      <c r="I49" s="122"/>
    </row>
    <row r="50" spans="1:9" s="4" customFormat="1" ht="18" customHeight="1" outlineLevel="1" x14ac:dyDescent="0.3">
      <c r="A50" s="123"/>
      <c r="B50" s="140" t="s">
        <v>90</v>
      </c>
      <c r="C50" s="150">
        <v>1000</v>
      </c>
      <c r="D50" s="124"/>
      <c r="E50" s="122"/>
      <c r="F50" s="122"/>
      <c r="G50" s="122"/>
      <c r="H50" s="122"/>
      <c r="I50" s="122"/>
    </row>
    <row r="51" spans="1:9" s="4" customFormat="1" ht="18" customHeight="1" outlineLevel="1" x14ac:dyDescent="0.3">
      <c r="A51" s="123"/>
      <c r="B51" s="7" t="s">
        <v>91</v>
      </c>
      <c r="C51" s="100">
        <f t="shared" ref="C51" si="1">SUM(C48:C50)</f>
        <v>5600</v>
      </c>
      <c r="D51" s="124"/>
      <c r="E51" s="122"/>
      <c r="F51" s="122"/>
      <c r="G51" s="122"/>
      <c r="H51" s="122"/>
      <c r="I51" s="122"/>
    </row>
    <row r="52" spans="1:9" s="4" customFormat="1" ht="18" customHeight="1" outlineLevel="1" x14ac:dyDescent="0.3">
      <c r="A52" s="123"/>
      <c r="B52" s="10" t="s">
        <v>8</v>
      </c>
      <c r="C52" s="11">
        <f>IF('ФИНАНСОВАЯ МОДЕЛЬ'!$C$4&lt;&gt;0,C51/'ФИНАНСОВАЯ МОДЕЛЬ'!$C$4,"-")</f>
        <v>4.5102581310933589E-3</v>
      </c>
      <c r="D52" s="124"/>
      <c r="E52" s="122"/>
      <c r="F52" s="122"/>
      <c r="G52" s="122"/>
      <c r="H52" s="122"/>
      <c r="I52" s="122"/>
    </row>
    <row r="53" spans="1:9" s="4" customFormat="1" ht="18" customHeight="1" outlineLevel="1" x14ac:dyDescent="0.3">
      <c r="A53" s="123"/>
      <c r="B53" s="140"/>
      <c r="C53" s="137"/>
      <c r="D53" s="124"/>
      <c r="E53" s="122"/>
      <c r="F53" s="122"/>
      <c r="G53" s="122"/>
      <c r="H53" s="122"/>
      <c r="I53" s="122"/>
    </row>
    <row r="54" spans="1:9" s="4" customFormat="1" ht="18" customHeight="1" outlineLevel="1" x14ac:dyDescent="0.3">
      <c r="A54" s="123"/>
      <c r="B54" s="7" t="s">
        <v>14</v>
      </c>
      <c r="C54" s="122"/>
      <c r="D54" s="124"/>
      <c r="E54" s="122"/>
      <c r="F54" s="122"/>
      <c r="G54" s="122"/>
      <c r="H54" s="122"/>
      <c r="I54" s="122"/>
    </row>
    <row r="55" spans="1:9" s="4" customFormat="1" ht="18" customHeight="1" outlineLevel="1" x14ac:dyDescent="0.3">
      <c r="A55" s="123"/>
      <c r="B55" s="140" t="s">
        <v>73</v>
      </c>
      <c r="C55" s="150">
        <v>9600</v>
      </c>
      <c r="D55" s="124"/>
      <c r="E55" s="122"/>
      <c r="F55" s="122"/>
      <c r="G55" s="122"/>
      <c r="H55" s="122"/>
      <c r="I55" s="122"/>
    </row>
    <row r="56" spans="1:9" s="4" customFormat="1" ht="18" customHeight="1" outlineLevel="1" x14ac:dyDescent="0.3">
      <c r="A56" s="123"/>
      <c r="B56" s="140" t="s">
        <v>74</v>
      </c>
      <c r="C56" s="150">
        <v>3600</v>
      </c>
      <c r="D56" s="124"/>
      <c r="E56" s="122"/>
      <c r="F56" s="122"/>
      <c r="G56" s="122"/>
      <c r="H56" s="122"/>
      <c r="I56" s="122"/>
    </row>
    <row r="57" spans="1:9" s="4" customFormat="1" ht="18" customHeight="1" outlineLevel="1" x14ac:dyDescent="0.3">
      <c r="A57" s="123"/>
      <c r="B57" s="140" t="s">
        <v>92</v>
      </c>
      <c r="C57" s="150">
        <v>2000</v>
      </c>
      <c r="D57" s="124"/>
      <c r="E57" s="122"/>
      <c r="F57" s="122"/>
      <c r="G57" s="122"/>
      <c r="H57" s="122"/>
      <c r="I57" s="122"/>
    </row>
    <row r="58" spans="1:9" s="4" customFormat="1" ht="18" customHeight="1" outlineLevel="1" x14ac:dyDescent="0.3">
      <c r="A58" s="123"/>
      <c r="B58" s="7" t="s">
        <v>75</v>
      </c>
      <c r="C58" s="100">
        <f t="shared" ref="C58" si="2">SUM(C55:C57)</f>
        <v>15200</v>
      </c>
      <c r="D58" s="124"/>
      <c r="E58" s="122"/>
      <c r="F58" s="122"/>
      <c r="G58" s="122"/>
      <c r="H58" s="122"/>
      <c r="I58" s="122"/>
    </row>
    <row r="59" spans="1:9" s="4" customFormat="1" ht="18" customHeight="1" outlineLevel="1" x14ac:dyDescent="0.3">
      <c r="A59" s="123"/>
      <c r="B59" s="10" t="s">
        <v>8</v>
      </c>
      <c r="C59" s="11">
        <f>IF('ФИНАНСОВАЯ МОДЕЛЬ'!$C$4&lt;&gt;0,C58/'ФИНАНСОВАЯ МОДЕЛЬ'!$C$4,"-")</f>
        <v>1.2242129212967688E-2</v>
      </c>
      <c r="D59" s="124"/>
      <c r="E59" s="122"/>
      <c r="F59" s="122"/>
      <c r="G59" s="122"/>
      <c r="H59" s="122"/>
      <c r="I59" s="122"/>
    </row>
    <row r="60" spans="1:9" s="4" customFormat="1" ht="18" customHeight="1" outlineLevel="1" x14ac:dyDescent="0.3">
      <c r="A60" s="123"/>
      <c r="B60" s="140"/>
      <c r="C60" s="137"/>
      <c r="D60" s="124"/>
      <c r="E60" s="122"/>
      <c r="F60" s="122"/>
      <c r="G60" s="122"/>
      <c r="H60" s="122"/>
      <c r="I60" s="122"/>
    </row>
    <row r="61" spans="1:9" s="4" customFormat="1" ht="18" customHeight="1" outlineLevel="1" x14ac:dyDescent="0.3">
      <c r="A61" s="123"/>
      <c r="B61" s="7" t="s">
        <v>21</v>
      </c>
      <c r="C61" s="122"/>
      <c r="D61" s="124"/>
      <c r="E61" s="122"/>
      <c r="F61" s="122"/>
      <c r="G61" s="122"/>
      <c r="H61" s="122"/>
      <c r="I61" s="122"/>
    </row>
    <row r="62" spans="1:9" s="4" customFormat="1" ht="18" customHeight="1" outlineLevel="1" x14ac:dyDescent="0.3">
      <c r="A62" s="123"/>
      <c r="B62" s="140" t="s">
        <v>93</v>
      </c>
      <c r="C62" s="150">
        <v>7200</v>
      </c>
      <c r="D62" s="124"/>
      <c r="E62" s="122"/>
      <c r="F62" s="122"/>
      <c r="G62" s="122"/>
      <c r="H62" s="122"/>
      <c r="I62" s="122"/>
    </row>
    <row r="63" spans="1:9" s="4" customFormat="1" ht="18" customHeight="1" outlineLevel="1" x14ac:dyDescent="0.3">
      <c r="A63" s="123"/>
      <c r="B63" s="140" t="s">
        <v>94</v>
      </c>
      <c r="C63" s="150">
        <v>11000</v>
      </c>
      <c r="D63" s="124"/>
      <c r="E63" s="122"/>
      <c r="F63" s="122"/>
      <c r="G63" s="122"/>
      <c r="H63" s="122"/>
      <c r="I63" s="122"/>
    </row>
    <row r="64" spans="1:9" s="4" customFormat="1" ht="18" customHeight="1" outlineLevel="1" x14ac:dyDescent="0.3">
      <c r="A64" s="123"/>
      <c r="B64" s="140" t="s">
        <v>95</v>
      </c>
      <c r="C64" s="150">
        <v>1200</v>
      </c>
      <c r="D64" s="124"/>
      <c r="E64" s="122"/>
      <c r="F64" s="122"/>
      <c r="G64" s="122"/>
      <c r="H64" s="122"/>
      <c r="I64" s="122"/>
    </row>
    <row r="65" spans="1:9" s="4" customFormat="1" ht="18" customHeight="1" outlineLevel="1" x14ac:dyDescent="0.3">
      <c r="A65" s="123"/>
      <c r="B65" s="7" t="s">
        <v>96</v>
      </c>
      <c r="C65" s="100">
        <f t="shared" ref="C65" si="3">SUM(C62:C64)</f>
        <v>19400</v>
      </c>
      <c r="D65" s="124"/>
      <c r="E65" s="122"/>
      <c r="F65" s="122"/>
      <c r="G65" s="122"/>
      <c r="H65" s="122"/>
      <c r="I65" s="122"/>
    </row>
    <row r="66" spans="1:9" s="4" customFormat="1" ht="18" customHeight="1" outlineLevel="1" x14ac:dyDescent="0.3">
      <c r="A66" s="123"/>
      <c r="B66" s="10" t="s">
        <v>8</v>
      </c>
      <c r="C66" s="11">
        <f>IF('ФИНАНСОВАЯ МОДЕЛЬ'!$C$4&lt;&gt;0,C65/'ФИНАНСОВАЯ МОДЕЛЬ'!$C$4,"-")</f>
        <v>1.5624822811287705E-2</v>
      </c>
      <c r="D66" s="124"/>
      <c r="E66" s="122"/>
      <c r="F66" s="122"/>
      <c r="G66" s="122"/>
      <c r="H66" s="122"/>
      <c r="I66" s="122"/>
    </row>
    <row r="67" spans="1:9" s="4" customFormat="1" ht="18" customHeight="1" outlineLevel="1" x14ac:dyDescent="0.3">
      <c r="A67" s="123"/>
      <c r="B67" s="114"/>
      <c r="C67" s="137"/>
      <c r="D67" s="124"/>
      <c r="E67" s="122"/>
      <c r="F67" s="122"/>
      <c r="G67" s="122"/>
      <c r="H67" s="122"/>
      <c r="I67" s="122"/>
    </row>
    <row r="68" spans="1:9" s="4" customFormat="1" ht="18" customHeight="1" outlineLevel="1" x14ac:dyDescent="0.3">
      <c r="A68" s="123"/>
      <c r="B68" s="8" t="s">
        <v>22</v>
      </c>
      <c r="C68" s="137"/>
      <c r="D68" s="124"/>
      <c r="E68" s="122"/>
      <c r="F68" s="122"/>
      <c r="G68" s="122"/>
      <c r="H68" s="122"/>
      <c r="I68" s="122"/>
    </row>
    <row r="69" spans="1:9" s="4" customFormat="1" ht="18" customHeight="1" outlineLevel="1" x14ac:dyDescent="0.3">
      <c r="A69" s="123"/>
      <c r="B69" s="140" t="s">
        <v>97</v>
      </c>
      <c r="C69" s="150">
        <v>8000</v>
      </c>
      <c r="D69" s="124"/>
      <c r="E69" s="122"/>
      <c r="F69" s="122"/>
      <c r="G69" s="122"/>
      <c r="H69" s="122"/>
      <c r="I69" s="122"/>
    </row>
    <row r="70" spans="1:9" s="4" customFormat="1" ht="18" customHeight="1" outlineLevel="1" x14ac:dyDescent="0.3">
      <c r="A70" s="123"/>
      <c r="B70" s="140" t="s">
        <v>98</v>
      </c>
      <c r="C70" s="150">
        <v>2800</v>
      </c>
      <c r="D70" s="124"/>
      <c r="E70" s="122"/>
      <c r="F70" s="122"/>
      <c r="G70" s="122"/>
      <c r="H70" s="122"/>
      <c r="I70" s="122"/>
    </row>
    <row r="71" spans="1:9" s="4" customFormat="1" ht="18" customHeight="1" outlineLevel="1" x14ac:dyDescent="0.3">
      <c r="A71" s="123"/>
      <c r="B71" s="140" t="s">
        <v>99</v>
      </c>
      <c r="C71" s="150">
        <v>1800</v>
      </c>
      <c r="D71" s="124"/>
      <c r="E71" s="122"/>
      <c r="F71" s="122"/>
      <c r="G71" s="122"/>
      <c r="H71" s="122"/>
      <c r="I71" s="122"/>
    </row>
    <row r="72" spans="1:9" s="4" customFormat="1" ht="18" customHeight="1" outlineLevel="1" x14ac:dyDescent="0.3">
      <c r="A72" s="123"/>
      <c r="B72" s="7" t="s">
        <v>100</v>
      </c>
      <c r="C72" s="100">
        <f t="shared" ref="C72" si="4">SUM(C69:C71)</f>
        <v>12600</v>
      </c>
      <c r="D72" s="124"/>
      <c r="E72" s="122"/>
      <c r="F72" s="122"/>
      <c r="G72" s="122"/>
      <c r="H72" s="122"/>
      <c r="I72" s="122"/>
    </row>
    <row r="73" spans="1:9" s="4" customFormat="1" ht="18" customHeight="1" outlineLevel="1" x14ac:dyDescent="0.3">
      <c r="A73" s="123"/>
      <c r="B73" s="10" t="s">
        <v>8</v>
      </c>
      <c r="C73" s="11">
        <f>IF('ФИНАНСОВАЯ МОДЕЛЬ'!$C$4&lt;&gt;0,C72/'ФИНАНСОВАЯ МОДЕЛЬ'!$C$4,"-")</f>
        <v>1.0148080794960056E-2</v>
      </c>
      <c r="D73" s="124"/>
      <c r="E73" s="122"/>
      <c r="F73" s="122"/>
      <c r="G73" s="122"/>
      <c r="H73" s="122"/>
      <c r="I73" s="122"/>
    </row>
    <row r="74" spans="1:9" s="4" customFormat="1" ht="18" customHeight="1" outlineLevel="1" x14ac:dyDescent="0.3">
      <c r="A74" s="123"/>
      <c r="B74" s="114"/>
      <c r="C74" s="137"/>
      <c r="D74" s="124"/>
      <c r="E74" s="122"/>
      <c r="F74" s="122"/>
      <c r="G74" s="122"/>
      <c r="H74" s="122"/>
      <c r="I74" s="122"/>
    </row>
    <row r="75" spans="1:9" s="4" customFormat="1" ht="18" customHeight="1" outlineLevel="1" x14ac:dyDescent="0.3">
      <c r="A75" s="123"/>
      <c r="B75" s="8" t="s">
        <v>23</v>
      </c>
      <c r="C75" s="137"/>
      <c r="D75" s="124"/>
      <c r="E75" s="122"/>
      <c r="F75" s="122"/>
      <c r="G75" s="122"/>
      <c r="H75" s="122"/>
      <c r="I75" s="122"/>
    </row>
    <row r="76" spans="1:9" s="4" customFormat="1" ht="18" customHeight="1" outlineLevel="1" x14ac:dyDescent="0.3">
      <c r="A76" s="123"/>
      <c r="B76" s="114" t="s">
        <v>101</v>
      </c>
      <c r="C76" s="150">
        <v>6000</v>
      </c>
      <c r="D76" s="124"/>
      <c r="E76" s="122"/>
      <c r="F76" s="122"/>
      <c r="G76" s="122"/>
      <c r="H76" s="122"/>
      <c r="I76" s="122"/>
    </row>
    <row r="77" spans="1:9" s="4" customFormat="1" ht="18" customHeight="1" outlineLevel="1" x14ac:dyDescent="0.3">
      <c r="A77" s="123"/>
      <c r="B77" s="114" t="s">
        <v>102</v>
      </c>
      <c r="C77" s="150">
        <v>3000</v>
      </c>
      <c r="D77" s="124"/>
      <c r="E77" s="122"/>
      <c r="F77" s="122"/>
      <c r="G77" s="122"/>
      <c r="H77" s="122"/>
      <c r="I77" s="122"/>
    </row>
    <row r="78" spans="1:9" s="4" customFormat="1" ht="18" customHeight="1" outlineLevel="1" x14ac:dyDescent="0.3">
      <c r="A78" s="123"/>
      <c r="B78" s="114" t="s">
        <v>103</v>
      </c>
      <c r="C78" s="150">
        <v>3000</v>
      </c>
      <c r="D78" s="124"/>
      <c r="E78" s="122"/>
      <c r="F78" s="122"/>
      <c r="G78" s="122"/>
      <c r="H78" s="122"/>
      <c r="I78" s="122"/>
    </row>
    <row r="79" spans="1:9" s="4" customFormat="1" ht="18" customHeight="1" outlineLevel="1" x14ac:dyDescent="0.3">
      <c r="A79" s="123"/>
      <c r="B79" s="8" t="s">
        <v>104</v>
      </c>
      <c r="C79" s="100">
        <f t="shared" ref="C79" si="5">SUM(C76:C78)</f>
        <v>12000</v>
      </c>
      <c r="D79" s="124"/>
      <c r="E79" s="122"/>
      <c r="F79" s="122"/>
      <c r="G79" s="122"/>
      <c r="H79" s="122"/>
      <c r="I79" s="122"/>
    </row>
    <row r="80" spans="1:9" s="4" customFormat="1" ht="18" customHeight="1" outlineLevel="1" x14ac:dyDescent="0.3">
      <c r="A80" s="123"/>
      <c r="B80" s="10" t="s">
        <v>8</v>
      </c>
      <c r="C80" s="11">
        <f>IF('ФИНАНСОВАЯ МОДЕЛЬ'!$C$4&lt;&gt;0,C79/'ФИНАНСОВАЯ МОДЕЛЬ'!$C$4,"-")</f>
        <v>9.6648388523429118E-3</v>
      </c>
      <c r="D80" s="124"/>
      <c r="E80" s="122"/>
      <c r="F80" s="122"/>
      <c r="G80" s="122"/>
      <c r="H80" s="122"/>
      <c r="I80" s="122"/>
    </row>
    <row r="81" spans="1:9" s="4" customFormat="1" ht="18" customHeight="1" outlineLevel="1" x14ac:dyDescent="0.3">
      <c r="A81" s="123"/>
      <c r="B81" s="114"/>
      <c r="C81" s="137"/>
      <c r="D81" s="124"/>
      <c r="E81" s="122"/>
      <c r="F81" s="122"/>
      <c r="G81" s="122"/>
      <c r="H81" s="122"/>
      <c r="I81" s="122"/>
    </row>
    <row r="82" spans="1:9" s="4" customFormat="1" ht="18" customHeight="1" outlineLevel="1" x14ac:dyDescent="0.3">
      <c r="A82" s="123"/>
      <c r="B82" s="8" t="s">
        <v>24</v>
      </c>
      <c r="C82" s="137"/>
      <c r="D82" s="124"/>
      <c r="E82" s="122"/>
      <c r="F82" s="122"/>
      <c r="G82" s="122"/>
      <c r="H82" s="122"/>
      <c r="I82" s="122"/>
    </row>
    <row r="83" spans="1:9" s="4" customFormat="1" ht="18" customHeight="1" outlineLevel="1" x14ac:dyDescent="0.3">
      <c r="A83" s="123"/>
      <c r="B83" s="114" t="s">
        <v>105</v>
      </c>
      <c r="C83" s="150">
        <v>4280</v>
      </c>
      <c r="D83" s="124"/>
      <c r="E83" s="122"/>
      <c r="F83" s="122"/>
      <c r="G83" s="122"/>
      <c r="H83" s="122"/>
      <c r="I83" s="122"/>
    </row>
    <row r="84" spans="1:9" s="4" customFormat="1" ht="18" customHeight="1" outlineLevel="1" x14ac:dyDescent="0.3">
      <c r="A84" s="123"/>
      <c r="B84" s="114" t="s">
        <v>13</v>
      </c>
      <c r="C84" s="150">
        <v>2400</v>
      </c>
      <c r="D84" s="124"/>
      <c r="E84" s="122"/>
      <c r="F84" s="122"/>
      <c r="G84" s="122"/>
      <c r="H84" s="122"/>
      <c r="I84" s="122"/>
    </row>
    <row r="85" spans="1:9" s="4" customFormat="1" ht="18" customHeight="1" outlineLevel="1" x14ac:dyDescent="0.3">
      <c r="A85" s="123"/>
      <c r="B85" s="114" t="s">
        <v>106</v>
      </c>
      <c r="C85" s="150">
        <v>2800</v>
      </c>
      <c r="D85" s="124"/>
      <c r="E85" s="122"/>
      <c r="F85" s="122"/>
      <c r="G85" s="122"/>
      <c r="H85" s="122"/>
      <c r="I85" s="122"/>
    </row>
    <row r="86" spans="1:9" s="4" customFormat="1" ht="18" customHeight="1" outlineLevel="1" x14ac:dyDescent="0.3">
      <c r="A86" s="123"/>
      <c r="B86" s="114" t="s">
        <v>107</v>
      </c>
      <c r="C86" s="150">
        <v>1200</v>
      </c>
      <c r="D86" s="124"/>
      <c r="E86" s="122"/>
      <c r="F86" s="122"/>
      <c r="G86" s="122"/>
      <c r="H86" s="122"/>
      <c r="I86" s="122"/>
    </row>
    <row r="87" spans="1:9" s="4" customFormat="1" ht="18" customHeight="1" outlineLevel="1" x14ac:dyDescent="0.3">
      <c r="A87" s="123"/>
      <c r="B87" s="114" t="s">
        <v>108</v>
      </c>
      <c r="C87" s="150">
        <v>6000</v>
      </c>
      <c r="D87" s="124"/>
      <c r="E87" s="122"/>
      <c r="F87" s="122"/>
      <c r="G87" s="122"/>
      <c r="H87" s="122"/>
      <c r="I87" s="122"/>
    </row>
    <row r="88" spans="1:9" s="4" customFormat="1" ht="18" customHeight="1" outlineLevel="1" x14ac:dyDescent="0.3">
      <c r="A88" s="123"/>
      <c r="B88" s="114" t="s">
        <v>109</v>
      </c>
      <c r="C88" s="150">
        <v>6000</v>
      </c>
      <c r="D88" s="124"/>
      <c r="E88" s="122"/>
      <c r="F88" s="122"/>
      <c r="G88" s="122"/>
      <c r="H88" s="122"/>
      <c r="I88" s="122"/>
    </row>
    <row r="89" spans="1:9" s="4" customFormat="1" ht="18" customHeight="1" outlineLevel="1" x14ac:dyDescent="0.3">
      <c r="A89" s="123"/>
      <c r="B89" s="113" t="s">
        <v>110</v>
      </c>
      <c r="C89" s="150">
        <v>0</v>
      </c>
      <c r="D89" s="124"/>
      <c r="E89" s="122"/>
      <c r="F89" s="122"/>
      <c r="G89" s="122"/>
      <c r="H89" s="122"/>
      <c r="I89" s="122"/>
    </row>
    <row r="90" spans="1:9" s="4" customFormat="1" ht="18" customHeight="1" outlineLevel="1" x14ac:dyDescent="0.3">
      <c r="A90" s="123"/>
      <c r="B90" s="113" t="s">
        <v>111</v>
      </c>
      <c r="C90" s="150">
        <v>0</v>
      </c>
      <c r="D90" s="124"/>
      <c r="E90" s="122"/>
      <c r="F90" s="122"/>
      <c r="G90" s="122"/>
      <c r="H90" s="122"/>
      <c r="I90" s="122"/>
    </row>
    <row r="91" spans="1:9" s="4" customFormat="1" ht="18" customHeight="1" outlineLevel="1" x14ac:dyDescent="0.3">
      <c r="A91" s="123"/>
      <c r="B91" s="113" t="s">
        <v>112</v>
      </c>
      <c r="C91" s="150">
        <v>0</v>
      </c>
      <c r="D91" s="124"/>
      <c r="E91" s="122"/>
      <c r="F91" s="122"/>
      <c r="G91" s="122"/>
      <c r="H91" s="122"/>
      <c r="I91" s="122"/>
    </row>
    <row r="92" spans="1:9" s="4" customFormat="1" ht="18" customHeight="1" outlineLevel="1" x14ac:dyDescent="0.3">
      <c r="A92" s="123"/>
      <c r="B92" s="113" t="s">
        <v>113</v>
      </c>
      <c r="C92" s="150">
        <v>0</v>
      </c>
      <c r="D92" s="124"/>
      <c r="E92" s="122"/>
      <c r="F92" s="122"/>
      <c r="G92" s="122"/>
      <c r="H92" s="122"/>
      <c r="I92" s="122"/>
    </row>
    <row r="93" spans="1:9" s="4" customFormat="1" ht="18" customHeight="1" outlineLevel="1" x14ac:dyDescent="0.3">
      <c r="A93" s="123"/>
      <c r="B93" s="113" t="s">
        <v>114</v>
      </c>
      <c r="C93" s="150">
        <v>0</v>
      </c>
      <c r="D93" s="124"/>
      <c r="E93" s="122"/>
      <c r="F93" s="122"/>
      <c r="G93" s="122"/>
      <c r="H93" s="122"/>
      <c r="I93" s="122"/>
    </row>
    <row r="94" spans="1:9" s="4" customFormat="1" ht="18" customHeight="1" outlineLevel="1" x14ac:dyDescent="0.3">
      <c r="A94" s="123"/>
      <c r="B94" s="113" t="s">
        <v>115</v>
      </c>
      <c r="C94" s="150">
        <v>0</v>
      </c>
      <c r="D94" s="124"/>
      <c r="E94" s="122"/>
      <c r="F94" s="122"/>
      <c r="G94" s="122"/>
      <c r="H94" s="122"/>
      <c r="I94" s="122"/>
    </row>
    <row r="95" spans="1:9" s="4" customFormat="1" ht="18" customHeight="1" outlineLevel="1" x14ac:dyDescent="0.3">
      <c r="A95" s="123"/>
      <c r="B95" s="113" t="s">
        <v>116</v>
      </c>
      <c r="C95" s="150">
        <v>0</v>
      </c>
      <c r="D95" s="124"/>
      <c r="E95" s="122"/>
      <c r="F95" s="122"/>
      <c r="G95" s="122"/>
      <c r="H95" s="122"/>
      <c r="I95" s="122"/>
    </row>
    <row r="96" spans="1:9" s="4" customFormat="1" ht="18" customHeight="1" outlineLevel="1" x14ac:dyDescent="0.3">
      <c r="A96" s="123"/>
      <c r="B96" s="113" t="s">
        <v>117</v>
      </c>
      <c r="C96" s="150">
        <v>0</v>
      </c>
      <c r="D96" s="124"/>
      <c r="E96" s="122"/>
      <c r="F96" s="122"/>
      <c r="G96" s="122"/>
      <c r="H96" s="122"/>
      <c r="I96" s="122"/>
    </row>
    <row r="97" spans="1:9" s="4" customFormat="1" ht="18" customHeight="1" outlineLevel="1" x14ac:dyDescent="0.3">
      <c r="A97" s="123"/>
      <c r="B97" s="113" t="s">
        <v>118</v>
      </c>
      <c r="C97" s="150">
        <v>0</v>
      </c>
      <c r="D97" s="124"/>
      <c r="E97" s="122"/>
      <c r="F97" s="122"/>
      <c r="G97" s="122"/>
      <c r="H97" s="122"/>
      <c r="I97" s="122"/>
    </row>
    <row r="98" spans="1:9" s="4" customFormat="1" ht="18" customHeight="1" outlineLevel="1" x14ac:dyDescent="0.3">
      <c r="A98" s="123"/>
      <c r="B98" s="114" t="s">
        <v>119</v>
      </c>
      <c r="C98" s="150">
        <v>0</v>
      </c>
      <c r="D98" s="124"/>
      <c r="E98" s="122"/>
      <c r="F98" s="122"/>
      <c r="G98" s="122"/>
      <c r="H98" s="122"/>
      <c r="I98" s="122"/>
    </row>
    <row r="99" spans="1:9" s="4" customFormat="1" ht="18" customHeight="1" outlineLevel="1" x14ac:dyDescent="0.3">
      <c r="A99" s="123"/>
      <c r="B99" s="8" t="s">
        <v>120</v>
      </c>
      <c r="C99" s="100">
        <f>SUM(C83:C98)</f>
        <v>22680</v>
      </c>
      <c r="D99" s="124"/>
      <c r="E99" s="122"/>
      <c r="F99" s="122"/>
      <c r="G99" s="122"/>
      <c r="H99" s="122"/>
      <c r="I99" s="122"/>
    </row>
    <row r="100" spans="1:9" s="4" customFormat="1" ht="18" customHeight="1" outlineLevel="1" x14ac:dyDescent="0.3">
      <c r="A100" s="123"/>
      <c r="B100" s="10" t="s">
        <v>8</v>
      </c>
      <c r="C100" s="11">
        <f>IF('ФИНАНСОВАЯ МОДЕЛЬ'!$C$4&lt;&gt;0,C99/'ФИНАНСОВАЯ МОДЕЛЬ'!$C$4,"-")</f>
        <v>1.8266545430928101E-2</v>
      </c>
      <c r="D100" s="124"/>
      <c r="E100" s="122"/>
      <c r="F100" s="122"/>
      <c r="G100" s="122"/>
      <c r="H100" s="122"/>
      <c r="I100" s="122"/>
    </row>
    <row r="101" spans="1:9" s="4" customFormat="1" ht="18" customHeight="1" outlineLevel="1" thickBot="1" x14ac:dyDescent="0.35">
      <c r="A101" s="123"/>
      <c r="B101" s="10"/>
      <c r="C101" s="137"/>
      <c r="D101" s="124"/>
      <c r="E101" s="122"/>
      <c r="F101" s="122"/>
      <c r="G101" s="122"/>
      <c r="H101" s="122"/>
      <c r="I101" s="122"/>
    </row>
    <row r="102" spans="1:9" s="4" customFormat="1" ht="18" customHeight="1" outlineLevel="1" x14ac:dyDescent="0.3">
      <c r="A102" s="123"/>
      <c r="B102" s="13" t="s">
        <v>25</v>
      </c>
      <c r="C102" s="12">
        <f>$C$44+$C$51+$C$58+$C$65+$C$72+$C$79+$C$99</f>
        <v>238380</v>
      </c>
      <c r="D102" s="124"/>
      <c r="E102" s="122"/>
      <c r="F102" s="122"/>
      <c r="G102" s="122"/>
      <c r="H102" s="122"/>
      <c r="I102" s="122"/>
    </row>
    <row r="103" spans="1:9" s="4" customFormat="1" ht="18" customHeight="1" outlineLevel="1" x14ac:dyDescent="0.3">
      <c r="A103" s="123"/>
      <c r="B103" s="10" t="s">
        <v>8</v>
      </c>
      <c r="C103" s="11">
        <f>IF('ФИНАНСОВАЯ МОДЕЛЬ'!$C$4&lt;&gt;0,$C$102/'ФИНАНСОВАЯ МОДЕЛЬ'!$C$4,"-")</f>
        <v>0.19199202380179192</v>
      </c>
      <c r="D103" s="124"/>
      <c r="E103" s="122"/>
      <c r="F103" s="122"/>
      <c r="G103" s="122"/>
      <c r="H103" s="122"/>
      <c r="I103" s="122"/>
    </row>
    <row r="104" spans="1:9" ht="18" customHeight="1" thickBot="1" x14ac:dyDescent="0.4">
      <c r="A104" s="39"/>
      <c r="B104" s="141"/>
      <c r="C104" s="141"/>
      <c r="D104" s="41"/>
    </row>
    <row r="105" spans="1:9" ht="18" customHeight="1" thickTop="1" x14ac:dyDescent="0.35">
      <c r="B105" s="138"/>
      <c r="C105" s="138"/>
    </row>
    <row r="106" spans="1:9" ht="18" customHeight="1" x14ac:dyDescent="0.35">
      <c r="B106" s="138"/>
      <c r="C106" s="138"/>
    </row>
    <row r="107" spans="1:9" ht="18" customHeight="1" x14ac:dyDescent="0.35">
      <c r="B107" s="138"/>
      <c r="C107" s="138"/>
    </row>
    <row r="108" spans="1:9" ht="18" customHeight="1" x14ac:dyDescent="0.35">
      <c r="B108" s="138"/>
      <c r="C108" s="138"/>
    </row>
    <row r="109" spans="1:9" ht="18" customHeight="1" x14ac:dyDescent="0.35">
      <c r="B109" s="138"/>
      <c r="C109" s="138"/>
    </row>
    <row r="110" spans="1:9" ht="18" customHeight="1" x14ac:dyDescent="0.35">
      <c r="B110" s="138"/>
      <c r="C110" s="138"/>
    </row>
    <row r="111" spans="1:9" ht="18" customHeight="1" x14ac:dyDescent="0.35">
      <c r="B111" s="138"/>
      <c r="C111" s="138"/>
    </row>
    <row r="112" spans="1:9" ht="18" customHeight="1" x14ac:dyDescent="0.35">
      <c r="B112" s="138"/>
      <c r="C112" s="138"/>
    </row>
    <row r="113" spans="2:3" ht="18" customHeight="1" x14ac:dyDescent="0.35">
      <c r="B113" s="138"/>
      <c r="C113" s="138"/>
    </row>
    <row r="114" spans="2:3" ht="18" customHeight="1" x14ac:dyDescent="0.35">
      <c r="B114" s="138"/>
      <c r="C114" s="138"/>
    </row>
    <row r="115" spans="2:3" ht="18" customHeight="1" x14ac:dyDescent="0.35">
      <c r="B115" s="138"/>
      <c r="C115" s="138"/>
    </row>
    <row r="116" spans="2:3" ht="18" customHeight="1" x14ac:dyDescent="0.35">
      <c r="B116" s="138"/>
      <c r="C116" s="138"/>
    </row>
    <row r="117" spans="2:3" ht="18" customHeight="1" x14ac:dyDescent="0.35">
      <c r="B117" s="138"/>
      <c r="C117" s="138"/>
    </row>
    <row r="118" spans="2:3" ht="18" customHeight="1" x14ac:dyDescent="0.35">
      <c r="B118" s="138"/>
      <c r="C118" s="138"/>
    </row>
    <row r="119" spans="2:3" ht="18" customHeight="1" x14ac:dyDescent="0.35">
      <c r="B119" s="138"/>
      <c r="C119" s="138"/>
    </row>
    <row r="120" spans="2:3" ht="18" customHeight="1" x14ac:dyDescent="0.35">
      <c r="B120" s="138"/>
      <c r="C120" s="138"/>
    </row>
    <row r="121" spans="2:3" ht="18" customHeight="1" x14ac:dyDescent="0.35">
      <c r="B121" s="138"/>
      <c r="C121" s="138"/>
    </row>
    <row r="122" spans="2:3" ht="18" customHeight="1" x14ac:dyDescent="0.35">
      <c r="B122" s="138"/>
      <c r="C122" s="138"/>
    </row>
    <row r="123" spans="2:3" ht="18" customHeight="1" x14ac:dyDescent="0.35">
      <c r="B123" s="138"/>
      <c r="C123" s="138"/>
    </row>
    <row r="124" spans="2:3" ht="18" customHeight="1" x14ac:dyDescent="0.35">
      <c r="B124" s="138"/>
      <c r="C124" s="138"/>
    </row>
    <row r="125" spans="2:3" ht="18" customHeight="1" x14ac:dyDescent="0.35">
      <c r="B125" s="138"/>
      <c r="C125" s="138"/>
    </row>
    <row r="126" spans="2:3" ht="18" customHeight="1" x14ac:dyDescent="0.35">
      <c r="B126" s="138"/>
      <c r="C126" s="138"/>
    </row>
    <row r="127" spans="2:3" ht="18" customHeight="1" x14ac:dyDescent="0.35">
      <c r="B127" s="138"/>
      <c r="C127" s="138"/>
    </row>
    <row r="128" spans="2:3" ht="18" customHeight="1" x14ac:dyDescent="0.35">
      <c r="B128" s="138"/>
      <c r="C128" s="138"/>
    </row>
    <row r="129" spans="2:3" ht="18" customHeight="1" x14ac:dyDescent="0.35">
      <c r="B129" s="138"/>
      <c r="C129" s="138"/>
    </row>
    <row r="130" spans="2:3" ht="18" customHeight="1" x14ac:dyDescent="0.35">
      <c r="B130" s="138"/>
      <c r="C130" s="138"/>
    </row>
    <row r="131" spans="2:3" ht="18" customHeight="1" x14ac:dyDescent="0.35">
      <c r="B131" s="138"/>
      <c r="C131" s="138"/>
    </row>
    <row r="132" spans="2:3" ht="18" customHeight="1" x14ac:dyDescent="0.35">
      <c r="B132" s="138"/>
      <c r="C132" s="138"/>
    </row>
    <row r="133" spans="2:3" ht="18" customHeight="1" x14ac:dyDescent="0.35">
      <c r="B133" s="138"/>
      <c r="C133" s="138"/>
    </row>
    <row r="134" spans="2:3" ht="18" customHeight="1" x14ac:dyDescent="0.35">
      <c r="B134" s="138"/>
      <c r="C134" s="138"/>
    </row>
    <row r="135" spans="2:3" ht="18" customHeight="1" x14ac:dyDescent="0.35">
      <c r="B135" s="138"/>
      <c r="C135" s="138"/>
    </row>
    <row r="136" spans="2:3" ht="18" customHeight="1" x14ac:dyDescent="0.35">
      <c r="B136" s="138"/>
      <c r="C136" s="138"/>
    </row>
    <row r="137" spans="2:3" ht="18" customHeight="1" x14ac:dyDescent="0.35">
      <c r="B137" s="138"/>
      <c r="C137" s="138"/>
    </row>
    <row r="138" spans="2:3" ht="18" customHeight="1" x14ac:dyDescent="0.35">
      <c r="B138" s="138"/>
      <c r="C138" s="138"/>
    </row>
    <row r="139" spans="2:3" ht="18" customHeight="1" x14ac:dyDescent="0.35">
      <c r="B139" s="138"/>
      <c r="C139" s="138"/>
    </row>
    <row r="140" spans="2:3" ht="18" customHeight="1" x14ac:dyDescent="0.35">
      <c r="B140" s="138"/>
      <c r="C140" s="138"/>
    </row>
  </sheetData>
  <conditionalFormatting sqref="B9:B14 B1:B3">
    <cfRule type="containsText" dxfId="1" priority="1" operator="containsText" text="OK">
      <formula>NOT(ISERROR(SEARCH("OK",B1)))</formula>
    </cfRule>
    <cfRule type="containsText" dxfId="0" priority="2" operator="containsText" text="ERROR">
      <formula>NOT(ISERROR(SEARCH("ERROR",B1)))</formula>
    </cfRule>
  </conditionalFormatting>
  <pageMargins left="0.70866141732283472" right="0.70866141732283472" top="0.74803149606299213" bottom="0.74803149606299213" header="0.31496062992125984" footer="0.31496062992125984"/>
  <pageSetup paperSize="9" scale="83" fitToHeight="0" orientation="landscape" verticalDpi="0" r:id="rId1"/>
  <headerFooter>
    <oddHeader>&amp;CФИНАНСОВАЯ МОДЕЛЬ</oddHeader>
    <oddFooter>&amp;L&amp;F [&amp;A]&amp;CОПЕРАЦИОННЫЕ РАСХОДЫ&amp;R&amp;P/&amp;N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О ПРОГРАММЕ</vt:lpstr>
      <vt:lpstr>ФИНАНСОВАЯ МОДЕЛЬ</vt:lpstr>
      <vt:lpstr>ТРАФИК САЙТА</vt:lpstr>
      <vt:lpstr>ВЫРУЧКА</vt:lpstr>
      <vt:lpstr>СЕБЕСТОИМОСТЬ</vt:lpstr>
      <vt:lpstr>РАСХОДЫ НА МАРКЕТИНГ</vt:lpstr>
      <vt:lpstr>ЗАКАЗ</vt:lpstr>
      <vt:lpstr>КЛИЕНТЫ</vt:lpstr>
      <vt:lpstr>ОПЕРАЦИОННЫЕ РАСХОДЫ</vt:lpstr>
      <vt:lpstr>CData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Yuriy V. Koryagin</dc:creator>
  <cp:keywords/>
  <dc:description/>
  <cp:lastModifiedBy>Yuriy Koryagin</cp:lastModifiedBy>
  <cp:revision/>
  <dcterms:created xsi:type="dcterms:W3CDTF">2018-08-22T14:36:15Z</dcterms:created>
  <dcterms:modified xsi:type="dcterms:W3CDTF">2022-06-02T15:38:23Z</dcterms:modified>
  <cp:category/>
  <cp:contentStatus/>
</cp:coreProperties>
</file>