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2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3.xml" ContentType="application/vnd.openxmlformats-officedocument.drawing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4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57388_link_cuhk_edu_hk/Documents/Uni materials/Events and Competitions/2022 IGEF Value Investment/"/>
    </mc:Choice>
  </mc:AlternateContent>
  <xr:revisionPtr revIDLastSave="0" documentId="8_{5837A80B-8246-4A2A-AF29-D71CB1367B67}" xr6:coauthVersionLast="47" xr6:coauthVersionMax="47" xr10:uidLastSave="{00000000-0000-0000-0000-000000000000}"/>
  <bookViews>
    <workbookView xWindow="-120" yWindow="-120" windowWidth="29040" windowHeight="15840" tabRatio="601" firstSheet="2" activeTab="2" xr2:uid="{00000000-000D-0000-FFFF-FFFF00000000}"/>
  </bookViews>
  <sheets>
    <sheet name="Company Historical" sheetId="1" r:id="rId1"/>
    <sheet name="Industry+Forecast" sheetId="3" r:id="rId2"/>
    <sheet name="Transpose + Statements" sheetId="6" r:id="rId3"/>
    <sheet name="DCF Model" sheetId="4" r:id="rId4"/>
    <sheet name="Beta" sheetId="8" r:id="rId5"/>
    <sheet name="Graphs" sheetId="9" r:id="rId6"/>
    <sheet name="Construction Agenda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9" i="6" l="1"/>
  <c r="I229" i="6"/>
  <c r="J229" i="6"/>
  <c r="G229" i="6"/>
  <c r="T6" i="9"/>
  <c r="U6" i="9"/>
  <c r="V6" i="9"/>
  <c r="V5" i="9"/>
  <c r="U5" i="9"/>
  <c r="T5" i="9"/>
  <c r="V4" i="9"/>
  <c r="U4" i="9"/>
  <c r="T4" i="9"/>
  <c r="V3" i="9"/>
  <c r="U3" i="9"/>
  <c r="T3" i="9"/>
  <c r="V2" i="9"/>
  <c r="U2" i="9"/>
  <c r="G224" i="6"/>
  <c r="H224" i="6"/>
  <c r="I224" i="6"/>
  <c r="J224" i="6"/>
  <c r="F223" i="6"/>
  <c r="B223" i="6"/>
  <c r="B209" i="6"/>
  <c r="C209" i="6"/>
  <c r="D209" i="6"/>
  <c r="E209" i="6"/>
  <c r="F209" i="6"/>
  <c r="G209" i="6"/>
  <c r="H209" i="6"/>
  <c r="I209" i="6"/>
  <c r="J209" i="6"/>
  <c r="C207" i="6"/>
  <c r="D207" i="6"/>
  <c r="E207" i="6"/>
  <c r="F207" i="6"/>
  <c r="G207" i="6"/>
  <c r="H207" i="6"/>
  <c r="I207" i="6"/>
  <c r="J207" i="6"/>
  <c r="B207" i="6"/>
  <c r="R191" i="6"/>
  <c r="S191" i="6"/>
  <c r="T191" i="6"/>
  <c r="U191" i="6"/>
  <c r="V191" i="6"/>
  <c r="W191" i="6"/>
  <c r="X191" i="6"/>
  <c r="Y191" i="6"/>
  <c r="Z191" i="6"/>
  <c r="AA191" i="6"/>
  <c r="S181" i="6"/>
  <c r="T181" i="6"/>
  <c r="U181" i="6"/>
  <c r="V181" i="6"/>
  <c r="W181" i="6"/>
  <c r="X181" i="6"/>
  <c r="Y181" i="6"/>
  <c r="Z181" i="6"/>
  <c r="AA181" i="6"/>
  <c r="S182" i="6"/>
  <c r="T182" i="6"/>
  <c r="U182" i="6"/>
  <c r="V182" i="6"/>
  <c r="W182" i="6"/>
  <c r="X182" i="6"/>
  <c r="Y182" i="6"/>
  <c r="Z182" i="6"/>
  <c r="AA182" i="6"/>
  <c r="S183" i="6"/>
  <c r="T183" i="6"/>
  <c r="U183" i="6"/>
  <c r="V183" i="6"/>
  <c r="W183" i="6"/>
  <c r="X183" i="6"/>
  <c r="Y183" i="6"/>
  <c r="Z183" i="6"/>
  <c r="AA183" i="6"/>
  <c r="S184" i="6"/>
  <c r="T184" i="6"/>
  <c r="U184" i="6"/>
  <c r="V184" i="6"/>
  <c r="W184" i="6"/>
  <c r="X184" i="6"/>
  <c r="Y184" i="6"/>
  <c r="Z184" i="6"/>
  <c r="AA184" i="6"/>
  <c r="S186" i="6"/>
  <c r="T186" i="6"/>
  <c r="U186" i="6"/>
  <c r="V186" i="6"/>
  <c r="W186" i="6"/>
  <c r="X186" i="6"/>
  <c r="Y186" i="6"/>
  <c r="Z186" i="6"/>
  <c r="AA186" i="6"/>
  <c r="S187" i="6"/>
  <c r="T187" i="6"/>
  <c r="U187" i="6"/>
  <c r="V187" i="6"/>
  <c r="W187" i="6"/>
  <c r="X187" i="6"/>
  <c r="Y187" i="6"/>
  <c r="Z187" i="6"/>
  <c r="AA187" i="6"/>
  <c r="S188" i="6"/>
  <c r="T188" i="6"/>
  <c r="U188" i="6"/>
  <c r="V188" i="6"/>
  <c r="W188" i="6"/>
  <c r="X188" i="6"/>
  <c r="Y188" i="6"/>
  <c r="Z188" i="6"/>
  <c r="AA188" i="6"/>
  <c r="S189" i="6"/>
  <c r="T189" i="6"/>
  <c r="U189" i="6"/>
  <c r="V189" i="6"/>
  <c r="W189" i="6"/>
  <c r="X189" i="6"/>
  <c r="Y189" i="6"/>
  <c r="Z189" i="6"/>
  <c r="AA189" i="6"/>
  <c r="S192" i="6"/>
  <c r="T192" i="6"/>
  <c r="U192" i="6"/>
  <c r="V192" i="6"/>
  <c r="W192" i="6"/>
  <c r="X192" i="6"/>
  <c r="Y192" i="6"/>
  <c r="Z192" i="6"/>
  <c r="AA192" i="6"/>
  <c r="S193" i="6"/>
  <c r="T193" i="6"/>
  <c r="U193" i="6"/>
  <c r="V193" i="6"/>
  <c r="W193" i="6"/>
  <c r="X193" i="6"/>
  <c r="Y193" i="6"/>
  <c r="Z193" i="6"/>
  <c r="AA193" i="6"/>
  <c r="S194" i="6"/>
  <c r="T194" i="6"/>
  <c r="U194" i="6"/>
  <c r="V194" i="6"/>
  <c r="W194" i="6"/>
  <c r="X194" i="6"/>
  <c r="Y194" i="6"/>
  <c r="Z194" i="6"/>
  <c r="AA194" i="6"/>
  <c r="S195" i="6"/>
  <c r="T195" i="6"/>
  <c r="U195" i="6"/>
  <c r="V195" i="6"/>
  <c r="W195" i="6"/>
  <c r="X195" i="6"/>
  <c r="Y195" i="6"/>
  <c r="Z195" i="6"/>
  <c r="AA195" i="6"/>
  <c r="S197" i="6"/>
  <c r="T197" i="6"/>
  <c r="U197" i="6"/>
  <c r="V197" i="6"/>
  <c r="W197" i="6"/>
  <c r="X197" i="6"/>
  <c r="Y197" i="6"/>
  <c r="Z197" i="6"/>
  <c r="AA197" i="6"/>
  <c r="S199" i="6"/>
  <c r="T199" i="6"/>
  <c r="U199" i="6"/>
  <c r="V199" i="6"/>
  <c r="W199" i="6"/>
  <c r="X199" i="6"/>
  <c r="Y199" i="6"/>
  <c r="Z199" i="6"/>
  <c r="AA199" i="6"/>
  <c r="T180" i="6"/>
  <c r="U180" i="6"/>
  <c r="V180" i="6"/>
  <c r="W180" i="6"/>
  <c r="X180" i="6"/>
  <c r="Y180" i="6"/>
  <c r="Z180" i="6"/>
  <c r="AA180" i="6"/>
  <c r="S180" i="6"/>
  <c r="R180" i="6"/>
  <c r="R181" i="6"/>
  <c r="R182" i="6"/>
  <c r="R183" i="6"/>
  <c r="R184" i="6"/>
  <c r="R186" i="6"/>
  <c r="R187" i="6"/>
  <c r="R188" i="6"/>
  <c r="R189" i="6"/>
  <c r="R192" i="6"/>
  <c r="R193" i="6"/>
  <c r="R194" i="6"/>
  <c r="R195" i="6"/>
  <c r="R197" i="6"/>
  <c r="R199" i="6"/>
  <c r="S178" i="6"/>
  <c r="T178" i="6"/>
  <c r="U178" i="6"/>
  <c r="V178" i="6"/>
  <c r="W178" i="6"/>
  <c r="X178" i="6"/>
  <c r="Y178" i="6"/>
  <c r="Z178" i="6"/>
  <c r="AA178" i="6"/>
  <c r="S129" i="6"/>
  <c r="T129" i="6"/>
  <c r="U129" i="6"/>
  <c r="V129" i="6"/>
  <c r="W129" i="6"/>
  <c r="X129" i="6"/>
  <c r="Y129" i="6"/>
  <c r="Z129" i="6"/>
  <c r="AA129" i="6"/>
  <c r="S130" i="6"/>
  <c r="T130" i="6"/>
  <c r="U130" i="6"/>
  <c r="V130" i="6"/>
  <c r="W130" i="6"/>
  <c r="X130" i="6"/>
  <c r="Y130" i="6"/>
  <c r="Z130" i="6"/>
  <c r="AA130" i="6"/>
  <c r="S131" i="6"/>
  <c r="T131" i="6"/>
  <c r="U131" i="6"/>
  <c r="V131" i="6"/>
  <c r="W131" i="6"/>
  <c r="X131" i="6"/>
  <c r="Y131" i="6"/>
  <c r="Z131" i="6"/>
  <c r="AA131" i="6"/>
  <c r="S132" i="6"/>
  <c r="T132" i="6"/>
  <c r="U132" i="6"/>
  <c r="V132" i="6"/>
  <c r="W132" i="6"/>
  <c r="X132" i="6"/>
  <c r="Y132" i="6"/>
  <c r="Z132" i="6"/>
  <c r="AA132" i="6"/>
  <c r="S134" i="6"/>
  <c r="T134" i="6"/>
  <c r="U134" i="6"/>
  <c r="V134" i="6"/>
  <c r="W134" i="6"/>
  <c r="X134" i="6"/>
  <c r="Y134" i="6"/>
  <c r="Z134" i="6"/>
  <c r="AA134" i="6"/>
  <c r="S135" i="6"/>
  <c r="T135" i="6"/>
  <c r="U135" i="6"/>
  <c r="V135" i="6"/>
  <c r="W135" i="6"/>
  <c r="X135" i="6"/>
  <c r="Y135" i="6"/>
  <c r="Z135" i="6"/>
  <c r="AA135" i="6"/>
  <c r="S136" i="6"/>
  <c r="T136" i="6"/>
  <c r="U136" i="6"/>
  <c r="V136" i="6"/>
  <c r="W136" i="6"/>
  <c r="X136" i="6"/>
  <c r="Y136" i="6"/>
  <c r="Z136" i="6"/>
  <c r="AA136" i="6"/>
  <c r="S138" i="6"/>
  <c r="T138" i="6"/>
  <c r="U138" i="6"/>
  <c r="V138" i="6"/>
  <c r="W138" i="6"/>
  <c r="X138" i="6"/>
  <c r="Y138" i="6"/>
  <c r="Z138" i="6"/>
  <c r="AA138" i="6"/>
  <c r="S139" i="6"/>
  <c r="T139" i="6"/>
  <c r="U139" i="6"/>
  <c r="V139" i="6"/>
  <c r="W139" i="6"/>
  <c r="X139" i="6"/>
  <c r="Y139" i="6"/>
  <c r="Z139" i="6"/>
  <c r="AA139" i="6"/>
  <c r="S140" i="6"/>
  <c r="T140" i="6"/>
  <c r="U140" i="6"/>
  <c r="V140" i="6"/>
  <c r="W140" i="6"/>
  <c r="X140" i="6"/>
  <c r="Y140" i="6"/>
  <c r="Z140" i="6"/>
  <c r="AA140" i="6"/>
  <c r="S141" i="6"/>
  <c r="T141" i="6"/>
  <c r="U141" i="6"/>
  <c r="V141" i="6"/>
  <c r="W141" i="6"/>
  <c r="X141" i="6"/>
  <c r="Y141" i="6"/>
  <c r="Z141" i="6"/>
  <c r="AA141" i="6"/>
  <c r="S143" i="6"/>
  <c r="T143" i="6"/>
  <c r="U143" i="6"/>
  <c r="V143" i="6"/>
  <c r="W143" i="6"/>
  <c r="X143" i="6"/>
  <c r="Y143" i="6"/>
  <c r="Z143" i="6"/>
  <c r="AA143" i="6"/>
  <c r="S144" i="6"/>
  <c r="T144" i="6"/>
  <c r="U144" i="6"/>
  <c r="V144" i="6"/>
  <c r="W144" i="6"/>
  <c r="X144" i="6"/>
  <c r="Y144" i="6"/>
  <c r="Z144" i="6"/>
  <c r="AA144" i="6"/>
  <c r="S145" i="6"/>
  <c r="T145" i="6"/>
  <c r="U145" i="6"/>
  <c r="V145" i="6"/>
  <c r="W145" i="6"/>
  <c r="X145" i="6"/>
  <c r="Y145" i="6"/>
  <c r="Z145" i="6"/>
  <c r="AA145" i="6"/>
  <c r="S147" i="6"/>
  <c r="T147" i="6"/>
  <c r="U147" i="6"/>
  <c r="V147" i="6"/>
  <c r="W147" i="6"/>
  <c r="X147" i="6"/>
  <c r="Y147" i="6"/>
  <c r="Z147" i="6"/>
  <c r="AA147" i="6"/>
  <c r="S148" i="6"/>
  <c r="T148" i="6"/>
  <c r="U148" i="6"/>
  <c r="V148" i="6"/>
  <c r="W148" i="6"/>
  <c r="S149" i="6"/>
  <c r="T149" i="6"/>
  <c r="U149" i="6"/>
  <c r="V149" i="6"/>
  <c r="W149" i="6"/>
  <c r="X149" i="6"/>
  <c r="Y149" i="6"/>
  <c r="Z149" i="6"/>
  <c r="AA149" i="6"/>
  <c r="S150" i="6"/>
  <c r="T150" i="6"/>
  <c r="U150" i="6"/>
  <c r="V150" i="6"/>
  <c r="W150" i="6"/>
  <c r="X150" i="6"/>
  <c r="Y150" i="6"/>
  <c r="Z150" i="6"/>
  <c r="AA150" i="6"/>
  <c r="T128" i="6"/>
  <c r="U128" i="6"/>
  <c r="V128" i="6"/>
  <c r="W128" i="6"/>
  <c r="X128" i="6"/>
  <c r="Y128" i="6"/>
  <c r="Z128" i="6"/>
  <c r="AA128" i="6"/>
  <c r="S128" i="6"/>
  <c r="R128" i="6"/>
  <c r="R129" i="6"/>
  <c r="R130" i="6"/>
  <c r="R131" i="6"/>
  <c r="R132" i="6"/>
  <c r="R134" i="6"/>
  <c r="R135" i="6"/>
  <c r="R136" i="6"/>
  <c r="R138" i="6"/>
  <c r="R139" i="6"/>
  <c r="R140" i="6"/>
  <c r="R141" i="6"/>
  <c r="R143" i="6"/>
  <c r="R144" i="6"/>
  <c r="R145" i="6"/>
  <c r="R147" i="6"/>
  <c r="R148" i="6"/>
  <c r="R149" i="6"/>
  <c r="R150" i="6"/>
  <c r="S126" i="6"/>
  <c r="T126" i="6"/>
  <c r="U126" i="6"/>
  <c r="V126" i="6"/>
  <c r="W126" i="6"/>
  <c r="X126" i="6"/>
  <c r="Y126" i="6"/>
  <c r="Z126" i="6"/>
  <c r="AA126" i="6"/>
  <c r="J72" i="6"/>
  <c r="C153" i="6"/>
  <c r="C212" i="6" s="1"/>
  <c r="D153" i="6"/>
  <c r="D212" i="6" s="1"/>
  <c r="E153" i="6"/>
  <c r="E212" i="6" s="1"/>
  <c r="F153" i="6"/>
  <c r="F212" i="6" s="1"/>
  <c r="G153" i="6"/>
  <c r="G212" i="6" s="1"/>
  <c r="H153" i="6"/>
  <c r="H212" i="6" s="1"/>
  <c r="I153" i="6"/>
  <c r="I212" i="6" s="1"/>
  <c r="J153" i="6"/>
  <c r="J212" i="6" s="1"/>
  <c r="B153" i="6"/>
  <c r="B212" i="6" s="1"/>
  <c r="S66" i="6"/>
  <c r="U64" i="6"/>
  <c r="S51" i="6"/>
  <c r="T51" i="6"/>
  <c r="U51" i="6"/>
  <c r="V51" i="6"/>
  <c r="W51" i="6"/>
  <c r="X51" i="6"/>
  <c r="Y51" i="6"/>
  <c r="Z51" i="6"/>
  <c r="AA51" i="6"/>
  <c r="S53" i="6"/>
  <c r="T53" i="6"/>
  <c r="U53" i="6"/>
  <c r="V53" i="6"/>
  <c r="W53" i="6"/>
  <c r="X53" i="6"/>
  <c r="Y53" i="6"/>
  <c r="Z53" i="6"/>
  <c r="AA53" i="6"/>
  <c r="S54" i="6"/>
  <c r="T54" i="6"/>
  <c r="U54" i="6"/>
  <c r="V54" i="6"/>
  <c r="W54" i="6"/>
  <c r="X54" i="6"/>
  <c r="Y54" i="6"/>
  <c r="Z54" i="6"/>
  <c r="AA54" i="6"/>
  <c r="S55" i="6"/>
  <c r="T55" i="6"/>
  <c r="U55" i="6"/>
  <c r="V55" i="6"/>
  <c r="W55" i="6"/>
  <c r="X55" i="6"/>
  <c r="Y55" i="6"/>
  <c r="Z55" i="6"/>
  <c r="AA55" i="6"/>
  <c r="S57" i="6"/>
  <c r="T57" i="6"/>
  <c r="U57" i="6"/>
  <c r="V57" i="6"/>
  <c r="W57" i="6"/>
  <c r="X57" i="6"/>
  <c r="Y57" i="6"/>
  <c r="Z57" i="6"/>
  <c r="AA57" i="6"/>
  <c r="S58" i="6"/>
  <c r="T58" i="6"/>
  <c r="U58" i="6"/>
  <c r="V58" i="6"/>
  <c r="W58" i="6"/>
  <c r="X58" i="6"/>
  <c r="Y58" i="6"/>
  <c r="Z58" i="6"/>
  <c r="AA58" i="6"/>
  <c r="S59" i="6"/>
  <c r="T59" i="6"/>
  <c r="U59" i="6"/>
  <c r="V59" i="6"/>
  <c r="W59" i="6"/>
  <c r="X59" i="6"/>
  <c r="Y59" i="6"/>
  <c r="Z59" i="6"/>
  <c r="AA59" i="6"/>
  <c r="S61" i="6"/>
  <c r="T61" i="6"/>
  <c r="U61" i="6"/>
  <c r="V61" i="6"/>
  <c r="W61" i="6"/>
  <c r="X61" i="6"/>
  <c r="Y61" i="6"/>
  <c r="Z61" i="6"/>
  <c r="AA61" i="6"/>
  <c r="S62" i="6"/>
  <c r="T62" i="6"/>
  <c r="U62" i="6"/>
  <c r="V62" i="6"/>
  <c r="W62" i="6"/>
  <c r="X62" i="6"/>
  <c r="Y62" i="6"/>
  <c r="Z62" i="6"/>
  <c r="AA62" i="6"/>
  <c r="S64" i="6"/>
  <c r="T64" i="6"/>
  <c r="V64" i="6"/>
  <c r="W64" i="6"/>
  <c r="X64" i="6"/>
  <c r="Y64" i="6"/>
  <c r="Z64" i="6"/>
  <c r="AA64" i="6"/>
  <c r="T66" i="6"/>
  <c r="U66" i="6"/>
  <c r="V66" i="6"/>
  <c r="W66" i="6"/>
  <c r="X66" i="6"/>
  <c r="Y66" i="6"/>
  <c r="Z66" i="6"/>
  <c r="AA66" i="6"/>
  <c r="T50" i="6"/>
  <c r="U50" i="6"/>
  <c r="V50" i="6"/>
  <c r="W50" i="6"/>
  <c r="X50" i="6"/>
  <c r="Y50" i="6"/>
  <c r="Z50" i="6"/>
  <c r="AA50" i="6"/>
  <c r="S50" i="6"/>
  <c r="W69" i="6"/>
  <c r="V69" i="6"/>
  <c r="U69" i="6"/>
  <c r="T69" i="6"/>
  <c r="S69" i="6"/>
  <c r="AA68" i="6"/>
  <c r="Z68" i="6"/>
  <c r="Y68" i="6"/>
  <c r="X68" i="6"/>
  <c r="B91" i="6"/>
  <c r="C91" i="6"/>
  <c r="D91" i="6"/>
  <c r="E91" i="6"/>
  <c r="F91" i="6"/>
  <c r="G91" i="6"/>
  <c r="H91" i="6"/>
  <c r="I91" i="6"/>
  <c r="J91" i="6"/>
  <c r="B93" i="6"/>
  <c r="C93" i="6"/>
  <c r="D93" i="6"/>
  <c r="E93" i="6"/>
  <c r="F93" i="6"/>
  <c r="G93" i="6"/>
  <c r="H93" i="6"/>
  <c r="I93" i="6"/>
  <c r="J93" i="6"/>
  <c r="B96" i="6"/>
  <c r="C96" i="6"/>
  <c r="D96" i="6"/>
  <c r="E96" i="6"/>
  <c r="F96" i="6"/>
  <c r="G96" i="6"/>
  <c r="H96" i="6"/>
  <c r="I96" i="6"/>
  <c r="J96" i="6"/>
  <c r="F11" i="3"/>
  <c r="F16" i="3"/>
  <c r="F3" i="3"/>
  <c r="F4" i="3"/>
  <c r="F5" i="3"/>
  <c r="F6" i="3"/>
  <c r="F7" i="3"/>
  <c r="F8" i="3"/>
  <c r="F9" i="3"/>
  <c r="F10" i="3"/>
  <c r="F12" i="3"/>
  <c r="F13" i="3"/>
  <c r="F14" i="3"/>
  <c r="F15" i="3"/>
  <c r="F2" i="3"/>
  <c r="C3" i="3"/>
  <c r="C4" i="3"/>
  <c r="C5" i="3"/>
  <c r="C6" i="3"/>
  <c r="C7" i="3"/>
  <c r="C8" i="3"/>
  <c r="C9" i="3"/>
  <c r="C10" i="3"/>
  <c r="C11" i="3"/>
  <c r="C2" i="3"/>
  <c r="J218" i="6"/>
  <c r="H218" i="6"/>
  <c r="I218" i="6"/>
  <c r="G218" i="6"/>
  <c r="B218" i="6"/>
  <c r="B225" i="6"/>
  <c r="E225" i="6"/>
  <c r="F225" i="6"/>
  <c r="G225" i="6"/>
  <c r="H225" i="6"/>
  <c r="I225" i="6"/>
  <c r="J225" i="6"/>
  <c r="D225" i="6"/>
  <c r="D218" i="6"/>
  <c r="C225" i="6"/>
  <c r="C218" i="6"/>
  <c r="F218" i="6"/>
  <c r="E218" i="6"/>
  <c r="C214" i="6"/>
  <c r="D214" i="6"/>
  <c r="E214" i="6"/>
  <c r="F214" i="6"/>
  <c r="G214" i="6"/>
  <c r="H214" i="6"/>
  <c r="I214" i="6"/>
  <c r="J214" i="6"/>
  <c r="B214" i="6"/>
  <c r="B10" i="4"/>
  <c r="C223" i="6"/>
  <c r="D223" i="6"/>
  <c r="E223" i="6"/>
  <c r="D5" i="4"/>
  <c r="C5" i="4"/>
  <c r="E5" i="4"/>
  <c r="B5" i="4"/>
  <c r="J201" i="6"/>
  <c r="I201" i="6"/>
  <c r="H201" i="6"/>
  <c r="G201" i="6"/>
  <c r="F201" i="6"/>
  <c r="E201" i="6"/>
  <c r="D201" i="6"/>
  <c r="C201" i="6"/>
  <c r="C213" i="6"/>
  <c r="D213" i="6"/>
  <c r="E213" i="6"/>
  <c r="F213" i="6"/>
  <c r="G213" i="6"/>
  <c r="H213" i="6"/>
  <c r="I213" i="6"/>
  <c r="J213" i="6"/>
  <c r="B213" i="6"/>
  <c r="B201" i="6"/>
  <c r="E2" i="8"/>
  <c r="C155" i="6"/>
  <c r="D155" i="6"/>
  <c r="E155" i="6"/>
  <c r="F155" i="6"/>
  <c r="G155" i="6"/>
  <c r="H155" i="6"/>
  <c r="I155" i="6"/>
  <c r="J155" i="6"/>
  <c r="B155" i="6"/>
  <c r="H156" i="6"/>
  <c r="I156" i="6"/>
  <c r="J156" i="6"/>
  <c r="B156" i="6"/>
  <c r="C156" i="6"/>
  <c r="D156" i="6"/>
  <c r="E156" i="6"/>
  <c r="F156" i="6"/>
  <c r="G156" i="6"/>
  <c r="C71" i="6"/>
  <c r="D71" i="6"/>
  <c r="E71" i="6"/>
  <c r="F71" i="6"/>
  <c r="G71" i="6"/>
  <c r="H71" i="6"/>
  <c r="I71" i="6"/>
  <c r="J71" i="6"/>
  <c r="B71" i="6"/>
  <c r="B206" i="6" l="1"/>
  <c r="B219" i="6"/>
  <c r="J206" i="6"/>
  <c r="J219" i="6"/>
  <c r="I206" i="6"/>
  <c r="I219" i="6"/>
  <c r="H206" i="6"/>
  <c r="H219" i="6"/>
  <c r="G206" i="6"/>
  <c r="G219" i="6"/>
  <c r="F206" i="6"/>
  <c r="F219" i="6"/>
  <c r="E206" i="6"/>
  <c r="E219" i="6"/>
  <c r="D206" i="6"/>
  <c r="D219" i="6"/>
  <c r="C206" i="6"/>
  <c r="C219" i="6"/>
  <c r="Z71" i="6"/>
  <c r="U71" i="6"/>
  <c r="T71" i="6"/>
  <c r="Y71" i="6"/>
  <c r="X71" i="6"/>
  <c r="W71" i="6"/>
  <c r="S71" i="6"/>
  <c r="V71" i="6"/>
  <c r="AA71" i="6"/>
  <c r="F92" i="6"/>
  <c r="F208" i="6" s="1"/>
  <c r="J92" i="6"/>
  <c r="J208" i="6" s="1"/>
  <c r="I92" i="6"/>
  <c r="I208" i="6" s="1"/>
  <c r="H92" i="6"/>
  <c r="H208" i="6" s="1"/>
  <c r="B92" i="6"/>
  <c r="B208" i="6" s="1"/>
  <c r="G92" i="6"/>
  <c r="G208" i="6" s="1"/>
  <c r="D92" i="6"/>
  <c r="D208" i="6" s="1"/>
  <c r="C92" i="6"/>
  <c r="C208" i="6" s="1"/>
  <c r="E92" i="6"/>
  <c r="E208" i="6" s="1"/>
  <c r="E7" i="4"/>
  <c r="E9" i="4"/>
  <c r="E10" i="4" l="1"/>
  <c r="B12" i="4" l="1"/>
  <c r="B14" i="4" s="1"/>
  <c r="CC3" i="3" l="1"/>
  <c r="CC4" i="3"/>
  <c r="CC5" i="3"/>
  <c r="CC6" i="3"/>
  <c r="CC7" i="3"/>
  <c r="CC8" i="3"/>
  <c r="CC9" i="3"/>
  <c r="CC10" i="3"/>
  <c r="CC11" i="3"/>
  <c r="CC12" i="3"/>
  <c r="CC2" i="3"/>
  <c r="AT2" i="3"/>
  <c r="G68" i="6"/>
  <c r="G223" i="6" s="1"/>
  <c r="BS16" i="3"/>
  <c r="BS14" i="3"/>
  <c r="BS15" i="3"/>
  <c r="BS13" i="3"/>
  <c r="BZ16" i="3"/>
  <c r="BZ14" i="3"/>
  <c r="BZ15" i="3"/>
  <c r="BZ13" i="3"/>
  <c r="BU12" i="3"/>
  <c r="BT13" i="3"/>
  <c r="BT14" i="3"/>
  <c r="BT15" i="3"/>
  <c r="BT16" i="3"/>
  <c r="BU11" i="3"/>
  <c r="BU10" i="3"/>
  <c r="BU9" i="3"/>
  <c r="BU8" i="3"/>
  <c r="BU7" i="3"/>
  <c r="BU6" i="3"/>
  <c r="BU5" i="3"/>
  <c r="BU4" i="3"/>
  <c r="BU3" i="3"/>
  <c r="BU2" i="3"/>
  <c r="BI4" i="1"/>
  <c r="BI2" i="1"/>
  <c r="BI3" i="1"/>
  <c r="BI5" i="1"/>
  <c r="BI6" i="1"/>
  <c r="BI7" i="1"/>
  <c r="BI8" i="1"/>
  <c r="BI9" i="1"/>
  <c r="BI10" i="1"/>
  <c r="BI11" i="1"/>
  <c r="BI12" i="1"/>
  <c r="AX3" i="1"/>
  <c r="AX4" i="1"/>
  <c r="AX5" i="1"/>
  <c r="AX6" i="1"/>
  <c r="AX7" i="1"/>
  <c r="AX8" i="1"/>
  <c r="AX9" i="1"/>
  <c r="AX10" i="1"/>
  <c r="AX11" i="1"/>
  <c r="AX12" i="1"/>
  <c r="AX2" i="1"/>
  <c r="BP2" i="3"/>
  <c r="BP3" i="3"/>
  <c r="BP4" i="3"/>
  <c r="BP5" i="3"/>
  <c r="BP6" i="3"/>
  <c r="BP7" i="3"/>
  <c r="BP8" i="3"/>
  <c r="BP9" i="3"/>
  <c r="BP10" i="3"/>
  <c r="BP11" i="3"/>
  <c r="BP12" i="3"/>
  <c r="BP1" i="3"/>
  <c r="BU16" i="3" l="1"/>
  <c r="BV16" i="3" s="1"/>
  <c r="BU13" i="3"/>
  <c r="BV13" i="3" s="1"/>
  <c r="BU15" i="3"/>
  <c r="BV15" i="3" s="1"/>
  <c r="BU14" i="3"/>
  <c r="BV14" i="3" s="1"/>
  <c r="C151" i="6" l="1"/>
  <c r="D151" i="6"/>
  <c r="E151" i="6"/>
  <c r="F151" i="6"/>
  <c r="G151" i="6"/>
  <c r="H151" i="6"/>
  <c r="I151" i="6"/>
  <c r="J151" i="6"/>
  <c r="B151" i="6"/>
  <c r="BK2" i="3"/>
  <c r="BK3" i="3"/>
  <c r="BK4" i="3"/>
  <c r="BK5" i="3"/>
  <c r="BK6" i="3"/>
  <c r="BK7" i="3"/>
  <c r="BK8" i="3"/>
  <c r="BK9" i="3"/>
  <c r="BK10" i="3"/>
  <c r="BK11" i="3"/>
  <c r="BK12" i="3"/>
  <c r="BK1" i="3"/>
  <c r="H148" i="6"/>
  <c r="Y148" i="6" s="1"/>
  <c r="I148" i="6"/>
  <c r="Z148" i="6" s="1"/>
  <c r="J148" i="6"/>
  <c r="AA148" i="6" s="1"/>
  <c r="G148" i="6"/>
  <c r="X148" i="6" s="1"/>
  <c r="AW14" i="3"/>
  <c r="AW15" i="3"/>
  <c r="AW16" i="3"/>
  <c r="AW13" i="3"/>
  <c r="BD12" i="3"/>
  <c r="BE14" i="3"/>
  <c r="BE15" i="3"/>
  <c r="BE16" i="3"/>
  <c r="BE13" i="3"/>
  <c r="BH14" i="3"/>
  <c r="BH15" i="3"/>
  <c r="BH16" i="3"/>
  <c r="BH13" i="3"/>
  <c r="W4" i="1"/>
  <c r="AZ4" i="3" s="1"/>
  <c r="W3" i="1"/>
  <c r="AZ3" i="3" s="1"/>
  <c r="W2" i="1"/>
  <c r="AZ2" i="3" s="1"/>
  <c r="AY14" i="3"/>
  <c r="AY15" i="3"/>
  <c r="AY16" i="3"/>
  <c r="AY13" i="3"/>
  <c r="AX2" i="3" l="1"/>
  <c r="AX3" i="3"/>
  <c r="AX4" i="3"/>
  <c r="AX5" i="3"/>
  <c r="AX6" i="3"/>
  <c r="AX7" i="3"/>
  <c r="AX8" i="3"/>
  <c r="AX9" i="3"/>
  <c r="AX10" i="3"/>
  <c r="AX11" i="3"/>
  <c r="AX12" i="3"/>
  <c r="AX1" i="3"/>
  <c r="AQ3" i="1"/>
  <c r="AQ4" i="1"/>
  <c r="AQ5" i="1"/>
  <c r="AQ6" i="1"/>
  <c r="AQ7" i="1"/>
  <c r="AQ8" i="1"/>
  <c r="AQ9" i="1"/>
  <c r="AQ10" i="1"/>
  <c r="AQ11" i="1"/>
  <c r="AQ12" i="1"/>
  <c r="AQ2" i="1"/>
  <c r="AO3" i="1"/>
  <c r="AO4" i="1"/>
  <c r="AO5" i="1"/>
  <c r="AO6" i="1"/>
  <c r="AO7" i="1"/>
  <c r="AO8" i="1"/>
  <c r="AO9" i="1"/>
  <c r="AO10" i="1"/>
  <c r="AO11" i="1"/>
  <c r="AO12" i="1"/>
  <c r="AO2" i="1"/>
  <c r="AM3" i="1"/>
  <c r="AM4" i="1"/>
  <c r="AM5" i="1"/>
  <c r="AM6" i="1"/>
  <c r="AM7" i="1"/>
  <c r="AM8" i="1"/>
  <c r="AM9" i="1"/>
  <c r="AM10" i="1"/>
  <c r="AM11" i="1"/>
  <c r="AM12" i="1"/>
  <c r="AM2" i="1"/>
  <c r="AK3" i="1"/>
  <c r="AK4" i="1"/>
  <c r="AK5" i="1"/>
  <c r="AK6" i="1"/>
  <c r="AK7" i="1"/>
  <c r="AK8" i="1"/>
  <c r="AK9" i="1"/>
  <c r="AK10" i="1"/>
  <c r="AK11" i="1"/>
  <c r="AK12" i="1"/>
  <c r="AK2" i="1"/>
  <c r="AU2" i="3"/>
  <c r="AV2" i="3"/>
  <c r="AW2" i="3"/>
  <c r="AY2" i="3"/>
  <c r="BA2" i="3"/>
  <c r="BC2" i="3"/>
  <c r="BD2" i="3"/>
  <c r="BE2" i="3"/>
  <c r="BG2" i="3"/>
  <c r="BH2" i="3"/>
  <c r="BL2" i="3"/>
  <c r="BO2" i="3"/>
  <c r="BJ2" i="3"/>
  <c r="AT3" i="3"/>
  <c r="AU3" i="3"/>
  <c r="AV3" i="3"/>
  <c r="AW3" i="3"/>
  <c r="AY3" i="3"/>
  <c r="BA3" i="3"/>
  <c r="BC3" i="3"/>
  <c r="BD3" i="3"/>
  <c r="BE3" i="3"/>
  <c r="BG3" i="3"/>
  <c r="BH3" i="3"/>
  <c r="BL3" i="3"/>
  <c r="BO3" i="3"/>
  <c r="BJ3" i="3"/>
  <c r="AT4" i="3"/>
  <c r="AU4" i="3"/>
  <c r="AV4" i="3"/>
  <c r="AW4" i="3"/>
  <c r="AY4" i="3"/>
  <c r="BA4" i="3"/>
  <c r="BC4" i="3"/>
  <c r="BD4" i="3"/>
  <c r="BE4" i="3"/>
  <c r="BG4" i="3"/>
  <c r="BH4" i="3"/>
  <c r="BL4" i="3"/>
  <c r="BO4" i="3"/>
  <c r="BJ4" i="3"/>
  <c r="AT5" i="3"/>
  <c r="AU5" i="3"/>
  <c r="AV5" i="3"/>
  <c r="AW5" i="3"/>
  <c r="AY5" i="3"/>
  <c r="BA5" i="3"/>
  <c r="BC5" i="3"/>
  <c r="BD5" i="3"/>
  <c r="BE5" i="3"/>
  <c r="BG5" i="3"/>
  <c r="BH5" i="3"/>
  <c r="BL5" i="3"/>
  <c r="BO5" i="3"/>
  <c r="BJ5" i="3"/>
  <c r="AT6" i="3"/>
  <c r="AU6" i="3"/>
  <c r="AV6" i="3"/>
  <c r="AW6" i="3"/>
  <c r="AY6" i="3"/>
  <c r="BA6" i="3"/>
  <c r="BC6" i="3"/>
  <c r="BD6" i="3"/>
  <c r="BE6" i="3"/>
  <c r="BG6" i="3"/>
  <c r="BH6" i="3"/>
  <c r="BL6" i="3"/>
  <c r="BO6" i="3"/>
  <c r="BJ6" i="3"/>
  <c r="AT7" i="3"/>
  <c r="AU7" i="3"/>
  <c r="AV7" i="3"/>
  <c r="AW7" i="3"/>
  <c r="AY7" i="3"/>
  <c r="BA7" i="3"/>
  <c r="BC7" i="3"/>
  <c r="BD7" i="3"/>
  <c r="BE7" i="3"/>
  <c r="BG7" i="3"/>
  <c r="BH7" i="3"/>
  <c r="BL7" i="3"/>
  <c r="BO7" i="3"/>
  <c r="BJ7" i="3"/>
  <c r="AT8" i="3"/>
  <c r="AU8" i="3"/>
  <c r="AV8" i="3"/>
  <c r="AW8" i="3"/>
  <c r="AY8" i="3"/>
  <c r="BA8" i="3"/>
  <c r="BC8" i="3"/>
  <c r="BD8" i="3"/>
  <c r="BE8" i="3"/>
  <c r="BG8" i="3"/>
  <c r="BH8" i="3"/>
  <c r="BL8" i="3"/>
  <c r="BO8" i="3"/>
  <c r="BJ8" i="3"/>
  <c r="AT9" i="3"/>
  <c r="AU9" i="3"/>
  <c r="AV9" i="3"/>
  <c r="AW9" i="3"/>
  <c r="AY9" i="3"/>
  <c r="BA9" i="3"/>
  <c r="BC9" i="3"/>
  <c r="BD9" i="3"/>
  <c r="BE9" i="3"/>
  <c r="BG9" i="3"/>
  <c r="BH9" i="3"/>
  <c r="BL9" i="3"/>
  <c r="BO9" i="3"/>
  <c r="BJ9" i="3"/>
  <c r="AT10" i="3"/>
  <c r="AU10" i="3"/>
  <c r="AV10" i="3"/>
  <c r="AW10" i="3"/>
  <c r="AY10" i="3"/>
  <c r="BA10" i="3"/>
  <c r="BC10" i="3"/>
  <c r="BD10" i="3"/>
  <c r="BE10" i="3"/>
  <c r="BG10" i="3"/>
  <c r="BH10" i="3"/>
  <c r="BL10" i="3"/>
  <c r="BO10" i="3"/>
  <c r="BJ10" i="3"/>
  <c r="AT11" i="3"/>
  <c r="AU11" i="3"/>
  <c r="AV11" i="3"/>
  <c r="AW11" i="3"/>
  <c r="AY11" i="3"/>
  <c r="BA11" i="3"/>
  <c r="BC11" i="3"/>
  <c r="BD11" i="3"/>
  <c r="BE11" i="3"/>
  <c r="BG11" i="3"/>
  <c r="BH11" i="3"/>
  <c r="BL11" i="3"/>
  <c r="BO11" i="3"/>
  <c r="BJ11" i="3"/>
  <c r="AT12" i="3"/>
  <c r="AU12" i="3"/>
  <c r="AV12" i="3"/>
  <c r="AW12" i="3"/>
  <c r="AY12" i="3"/>
  <c r="BA12" i="3"/>
  <c r="BC12" i="3"/>
  <c r="BE12" i="3"/>
  <c r="BG12" i="3"/>
  <c r="BH12" i="3"/>
  <c r="BL12" i="3"/>
  <c r="BO12" i="3"/>
  <c r="BJ12" i="3"/>
  <c r="AU1" i="3"/>
  <c r="AV1" i="3"/>
  <c r="AW1" i="3"/>
  <c r="AY1" i="3"/>
  <c r="BA1" i="3"/>
  <c r="BC1" i="3"/>
  <c r="BD1" i="3"/>
  <c r="BE1" i="3"/>
  <c r="BG1" i="3"/>
  <c r="BH1" i="3"/>
  <c r="BL1" i="3"/>
  <c r="BO1" i="3"/>
  <c r="BJ1" i="3"/>
  <c r="AT1" i="3"/>
  <c r="H68" i="6"/>
  <c r="H223" i="6" s="1"/>
  <c r="I68" i="6"/>
  <c r="I223" i="6" s="1"/>
  <c r="J68" i="6"/>
  <c r="J223" i="6" s="1"/>
  <c r="C69" i="6"/>
  <c r="C224" i="6" s="1"/>
  <c r="D69" i="6"/>
  <c r="D224" i="6" s="1"/>
  <c r="E69" i="6"/>
  <c r="E224" i="6" s="1"/>
  <c r="F69" i="6"/>
  <c r="F224" i="6" s="1"/>
  <c r="B69" i="6"/>
  <c r="B224" i="6" s="1"/>
  <c r="C98" i="6"/>
  <c r="D98" i="6"/>
  <c r="E98" i="6"/>
  <c r="F98" i="6"/>
  <c r="G98" i="6"/>
  <c r="H98" i="6"/>
  <c r="I98" i="6"/>
  <c r="J98" i="6"/>
  <c r="B98" i="6"/>
  <c r="E97" i="6" l="1"/>
  <c r="BF12" i="3"/>
  <c r="BF11" i="3"/>
  <c r="BF10" i="3"/>
  <c r="BF9" i="3"/>
  <c r="BF8" i="3"/>
  <c r="BF7" i="3"/>
  <c r="BF6" i="3"/>
  <c r="BF5" i="3"/>
  <c r="BF4" i="3"/>
  <c r="BF3" i="3"/>
  <c r="BF2" i="3"/>
  <c r="BI12" i="3"/>
  <c r="BI11" i="3"/>
  <c r="BI10" i="3"/>
  <c r="BI9" i="3"/>
  <c r="BI8" i="3"/>
  <c r="BI7" i="3"/>
  <c r="BI6" i="3"/>
  <c r="BI5" i="3"/>
  <c r="BI4" i="3"/>
  <c r="BI3" i="3"/>
  <c r="BI2" i="3"/>
  <c r="BB12" i="3"/>
  <c r="BM12" i="3" s="1"/>
  <c r="BB11" i="3"/>
  <c r="BB10" i="3"/>
  <c r="BB9" i="3"/>
  <c r="BB8" i="3"/>
  <c r="BB6" i="3"/>
  <c r="BB5" i="3"/>
  <c r="BB4" i="3"/>
  <c r="BB3" i="3"/>
  <c r="BB2" i="3"/>
  <c r="BB7" i="3"/>
  <c r="BM7" i="3" s="1"/>
  <c r="B97" i="6"/>
  <c r="G97" i="6"/>
  <c r="J97" i="6"/>
  <c r="I97" i="6"/>
  <c r="H97" i="6"/>
  <c r="D97" i="6"/>
  <c r="F97" i="6"/>
  <c r="C97" i="6"/>
  <c r="BM9" i="3" l="1"/>
  <c r="BM10" i="3"/>
  <c r="BM6" i="3"/>
  <c r="BM4" i="3"/>
  <c r="BM5" i="3"/>
  <c r="BM3" i="3"/>
  <c r="BM8" i="3"/>
  <c r="BM2" i="3"/>
  <c r="BM11" i="3"/>
  <c r="AP2" i="3"/>
  <c r="AP3" i="3"/>
  <c r="AP4" i="3"/>
  <c r="AP5" i="3"/>
  <c r="AP6" i="3"/>
  <c r="AP7" i="3"/>
  <c r="AP8" i="3"/>
  <c r="AP9" i="3"/>
  <c r="AP10" i="3"/>
  <c r="AP11" i="3"/>
  <c r="AP12" i="3"/>
  <c r="AP1" i="3"/>
  <c r="AK3" i="3"/>
  <c r="AK4" i="3"/>
  <c r="AK5" i="3"/>
  <c r="AK6" i="3"/>
  <c r="AK7" i="3"/>
  <c r="AK8" i="3"/>
  <c r="AK9" i="3"/>
  <c r="AK10" i="3"/>
  <c r="AK11" i="3"/>
  <c r="AK12" i="3"/>
  <c r="AK2" i="3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2" i="3"/>
  <c r="AL3" i="3" l="1"/>
  <c r="AL4" i="3"/>
  <c r="AL5" i="3"/>
  <c r="AL6" i="3"/>
  <c r="AL7" i="3"/>
  <c r="AL8" i="3"/>
  <c r="AL9" i="3"/>
  <c r="AL10" i="3"/>
  <c r="AL11" i="3"/>
  <c r="AL12" i="3"/>
  <c r="AL2" i="3"/>
  <c r="AH3" i="3" l="1"/>
  <c r="AH4" i="3"/>
  <c r="AH5" i="3"/>
  <c r="AH6" i="3"/>
  <c r="AH7" i="3"/>
  <c r="AH8" i="3"/>
  <c r="AH9" i="3"/>
  <c r="AH10" i="3"/>
  <c r="AH11" i="3"/>
  <c r="AH12" i="3"/>
  <c r="AH2" i="3"/>
  <c r="U8" i="1"/>
  <c r="AC3" i="1"/>
  <c r="V3" i="3" s="1"/>
  <c r="AC4" i="1"/>
  <c r="V4" i="3" s="1"/>
  <c r="AC5" i="1"/>
  <c r="V5" i="3" s="1"/>
  <c r="AC6" i="1"/>
  <c r="V6" i="3" s="1"/>
  <c r="AC7" i="1"/>
  <c r="V7" i="3" s="1"/>
  <c r="AC8" i="1"/>
  <c r="V8" i="3" s="1"/>
  <c r="AC9" i="1"/>
  <c r="V9" i="3" s="1"/>
  <c r="AC10" i="1"/>
  <c r="V10" i="3" s="1"/>
  <c r="AC11" i="1"/>
  <c r="V11" i="3" s="1"/>
  <c r="AC12" i="1"/>
  <c r="V12" i="3" s="1"/>
  <c r="AC2" i="1"/>
  <c r="V2" i="3" s="1"/>
  <c r="Z3" i="3"/>
  <c r="Z4" i="3"/>
  <c r="Z5" i="3"/>
  <c r="Z6" i="3"/>
  <c r="Z7" i="3"/>
  <c r="Z8" i="3"/>
  <c r="Z9" i="3"/>
  <c r="Z2" i="3"/>
  <c r="AA3" i="3"/>
  <c r="AA4" i="3"/>
  <c r="AA5" i="3"/>
  <c r="AA6" i="3"/>
  <c r="AA7" i="3"/>
  <c r="AA8" i="3"/>
  <c r="AA9" i="3"/>
  <c r="AA10" i="3"/>
  <c r="AA11" i="3"/>
  <c r="AA12" i="3"/>
  <c r="AA2" i="3"/>
  <c r="Y3" i="3"/>
  <c r="Y4" i="3"/>
  <c r="Y5" i="3"/>
  <c r="Y6" i="3"/>
  <c r="Y7" i="3"/>
  <c r="Y8" i="3"/>
  <c r="Y9" i="3"/>
  <c r="Y10" i="3"/>
  <c r="Y11" i="3"/>
  <c r="Y12" i="3"/>
  <c r="Y13" i="3" s="1"/>
  <c r="Y2" i="3"/>
  <c r="T11" i="1"/>
  <c r="Z11" i="3" s="1"/>
  <c r="T12" i="1"/>
  <c r="Z12" i="3" s="1"/>
  <c r="T10" i="1"/>
  <c r="Z10" i="3" s="1"/>
  <c r="U9" i="1"/>
  <c r="X3" i="3"/>
  <c r="X4" i="3"/>
  <c r="X2" i="3"/>
  <c r="W3" i="3"/>
  <c r="W4" i="3"/>
  <c r="W2" i="3"/>
  <c r="S3" i="3"/>
  <c r="S4" i="3"/>
  <c r="S2" i="3"/>
  <c r="U3" i="3"/>
  <c r="U4" i="3"/>
  <c r="U5" i="3"/>
  <c r="U6" i="3"/>
  <c r="T6" i="3" s="1"/>
  <c r="U7" i="3"/>
  <c r="U8" i="3"/>
  <c r="U9" i="3"/>
  <c r="U10" i="3"/>
  <c r="U11" i="3"/>
  <c r="U12" i="3"/>
  <c r="U2" i="3"/>
  <c r="H14" i="3"/>
  <c r="H15" i="3"/>
  <c r="H16" i="3"/>
  <c r="H13" i="3"/>
  <c r="J3" i="3"/>
  <c r="J4" i="3"/>
  <c r="J5" i="3"/>
  <c r="J6" i="3"/>
  <c r="J7" i="3"/>
  <c r="J8" i="3"/>
  <c r="J9" i="3"/>
  <c r="J10" i="3"/>
  <c r="J11" i="3"/>
  <c r="J12" i="3"/>
  <c r="J2" i="3"/>
  <c r="D13" i="3"/>
  <c r="T8" i="3" l="1"/>
  <c r="T9" i="3"/>
  <c r="T5" i="3"/>
  <c r="Y14" i="3"/>
  <c r="Y15" i="3" s="1"/>
  <c r="Y16" i="3" s="1"/>
  <c r="AA16" i="3" s="1"/>
  <c r="T7" i="3"/>
  <c r="T10" i="3"/>
  <c r="T4" i="3"/>
  <c r="T3" i="3"/>
  <c r="T2" i="3"/>
  <c r="T12" i="3"/>
  <c r="T11" i="3"/>
  <c r="AA13" i="3"/>
  <c r="AA14" i="3" l="1"/>
  <c r="AA15" i="3"/>
  <c r="Z3" i="1" l="1"/>
  <c r="Z4" i="1"/>
  <c r="Z2" i="1"/>
  <c r="X12" i="1"/>
  <c r="X11" i="1"/>
  <c r="V12" i="1"/>
  <c r="S12" i="3" s="1"/>
  <c r="V11" i="1"/>
  <c r="S11" i="3" s="1"/>
  <c r="X10" i="1"/>
  <c r="X9" i="1"/>
  <c r="V10" i="1"/>
  <c r="S10" i="3" s="1"/>
  <c r="V9" i="1"/>
  <c r="S9" i="3" s="1"/>
  <c r="X7" i="1"/>
  <c r="X8" i="1"/>
  <c r="V8" i="1"/>
  <c r="S8" i="3" s="1"/>
  <c r="V7" i="1"/>
  <c r="S7" i="3" s="1"/>
  <c r="X5" i="1"/>
  <c r="V5" i="1"/>
  <c r="X6" i="1"/>
  <c r="V6" i="1"/>
  <c r="U3" i="1"/>
  <c r="U4" i="1"/>
  <c r="U5" i="1"/>
  <c r="U6" i="1"/>
  <c r="U7" i="1"/>
  <c r="U10" i="1"/>
  <c r="U11" i="1"/>
  <c r="U12" i="1"/>
  <c r="U2" i="1"/>
  <c r="S5" i="3" l="1"/>
  <c r="W9" i="1"/>
  <c r="AZ9" i="3" s="1"/>
  <c r="W11" i="1"/>
  <c r="AZ11" i="3" s="1"/>
  <c r="W12" i="1"/>
  <c r="AZ12" i="3" s="1"/>
  <c r="W5" i="1"/>
  <c r="AZ5" i="3" s="1"/>
  <c r="W6" i="1"/>
  <c r="AZ6" i="3" s="1"/>
  <c r="W7" i="1"/>
  <c r="AZ7" i="3" s="1"/>
  <c r="W8" i="1"/>
  <c r="AZ8" i="3" s="1"/>
  <c r="W10" i="1"/>
  <c r="AZ10" i="3" s="1"/>
  <c r="S6" i="3"/>
  <c r="Z6" i="1"/>
  <c r="Z5" i="1"/>
  <c r="Y6" i="1"/>
  <c r="W6" i="3" s="1"/>
  <c r="X6" i="3"/>
  <c r="Y5" i="1"/>
  <c r="W5" i="3" s="1"/>
  <c r="X5" i="3"/>
  <c r="Y12" i="1"/>
  <c r="W12" i="3" s="1"/>
  <c r="X12" i="3"/>
  <c r="Z12" i="1"/>
  <c r="Y11" i="1"/>
  <c r="W11" i="3" s="1"/>
  <c r="X11" i="3"/>
  <c r="Y8" i="1"/>
  <c r="W8" i="3" s="1"/>
  <c r="X8" i="3"/>
  <c r="Z11" i="1"/>
  <c r="Y7" i="1"/>
  <c r="W7" i="3" s="1"/>
  <c r="X7" i="3"/>
  <c r="Z10" i="1"/>
  <c r="Z9" i="1"/>
  <c r="Y10" i="1"/>
  <c r="W10" i="3" s="1"/>
  <c r="X10" i="3"/>
  <c r="Z8" i="1"/>
  <c r="Y9" i="1"/>
  <c r="W9" i="3" s="1"/>
  <c r="X9" i="3"/>
  <c r="Z7" i="1"/>
  <c r="F3" i="1" l="1"/>
  <c r="F4" i="1"/>
  <c r="F5" i="1"/>
  <c r="F6" i="1"/>
  <c r="F7" i="1"/>
  <c r="F8" i="1"/>
  <c r="F9" i="1"/>
  <c r="F10" i="1"/>
  <c r="F11" i="1"/>
  <c r="F12" i="1"/>
  <c r="F2" i="1"/>
  <c r="G4" i="1"/>
  <c r="G5" i="1"/>
  <c r="G6" i="1"/>
  <c r="G7" i="1"/>
  <c r="G8" i="1"/>
  <c r="G9" i="1"/>
  <c r="G10" i="1"/>
  <c r="G11" i="1"/>
  <c r="G12" i="1"/>
  <c r="G3" i="1"/>
  <c r="I2" i="3"/>
  <c r="Q3" i="3" l="1"/>
  <c r="Q4" i="3"/>
  <c r="Q5" i="3"/>
  <c r="Q6" i="3"/>
  <c r="Q7" i="3"/>
  <c r="Q8" i="3"/>
  <c r="Q9" i="3"/>
  <c r="Q10" i="3"/>
  <c r="Q11" i="3"/>
  <c r="Q12" i="3"/>
  <c r="Q2" i="3"/>
  <c r="N14" i="3"/>
  <c r="N15" i="3"/>
  <c r="N16" i="3"/>
  <c r="N13" i="3"/>
  <c r="O3" i="3"/>
  <c r="O4" i="3"/>
  <c r="O5" i="3"/>
  <c r="O6" i="3"/>
  <c r="O7" i="3"/>
  <c r="O8" i="3"/>
  <c r="O9" i="3"/>
  <c r="O10" i="3"/>
  <c r="O11" i="3"/>
  <c r="O12" i="3"/>
  <c r="O2" i="3"/>
  <c r="M3" i="3"/>
  <c r="M4" i="3"/>
  <c r="M5" i="3"/>
  <c r="M6" i="3"/>
  <c r="M7" i="3"/>
  <c r="M8" i="3"/>
  <c r="M9" i="3"/>
  <c r="M10" i="3"/>
  <c r="M11" i="3"/>
  <c r="M12" i="3"/>
  <c r="M2" i="3"/>
  <c r="L14" i="3"/>
  <c r="L15" i="3"/>
  <c r="L16" i="3"/>
  <c r="L13" i="3"/>
  <c r="K3" i="3"/>
  <c r="K4" i="3"/>
  <c r="K5" i="3"/>
  <c r="K6" i="3"/>
  <c r="K7" i="3"/>
  <c r="K8" i="3"/>
  <c r="K9" i="3"/>
  <c r="K10" i="3"/>
  <c r="K11" i="3"/>
  <c r="K12" i="3"/>
  <c r="K2" i="3"/>
  <c r="H3" i="1"/>
  <c r="H4" i="1"/>
  <c r="H5" i="1"/>
  <c r="H6" i="1"/>
  <c r="H7" i="1"/>
  <c r="H8" i="1"/>
  <c r="H9" i="1"/>
  <c r="H10" i="1"/>
  <c r="H11" i="1"/>
  <c r="H12" i="1"/>
  <c r="H2" i="1"/>
  <c r="I3" i="3"/>
  <c r="I4" i="3"/>
  <c r="I5" i="3"/>
  <c r="I6" i="3"/>
  <c r="I7" i="3"/>
  <c r="I8" i="3"/>
  <c r="I9" i="3"/>
  <c r="I10" i="3"/>
  <c r="I11" i="3"/>
  <c r="I12" i="3"/>
  <c r="H3" i="3"/>
  <c r="H4" i="3"/>
  <c r="H5" i="3"/>
  <c r="H6" i="3"/>
  <c r="H7" i="3"/>
  <c r="H8" i="3"/>
  <c r="H9" i="3"/>
  <c r="H10" i="3"/>
  <c r="H2" i="3"/>
  <c r="P11" i="3" l="1"/>
  <c r="AJ11" i="3" s="1"/>
  <c r="P10" i="3"/>
  <c r="AJ10" i="3" s="1"/>
  <c r="P5" i="3"/>
  <c r="AJ5" i="3" s="1"/>
  <c r="P3" i="3"/>
  <c r="AJ3" i="3" s="1"/>
  <c r="P2" i="3"/>
  <c r="AJ2" i="3" s="1"/>
  <c r="P12" i="3"/>
  <c r="AJ12" i="3" s="1"/>
  <c r="P6" i="3"/>
  <c r="AJ6" i="3" s="1"/>
  <c r="P4" i="3"/>
  <c r="AJ4" i="3" s="1"/>
  <c r="P9" i="3"/>
  <c r="AJ9" i="3" s="1"/>
  <c r="P7" i="3"/>
  <c r="AJ7" i="3" s="1"/>
  <c r="P8" i="3"/>
  <c r="AJ8" i="3" s="1"/>
  <c r="G16" i="3"/>
  <c r="G12" i="3"/>
  <c r="G13" i="3"/>
  <c r="G14" i="3"/>
  <c r="G15" i="3"/>
  <c r="G11" i="3"/>
  <c r="E11" i="3" s="1"/>
  <c r="H11" i="3" s="1"/>
  <c r="G3" i="3"/>
  <c r="G4" i="3"/>
  <c r="G5" i="3"/>
  <c r="G6" i="3"/>
  <c r="G7" i="3"/>
  <c r="G8" i="3"/>
  <c r="G9" i="3"/>
  <c r="G10" i="3"/>
  <c r="G2" i="3"/>
  <c r="M3" i="1"/>
  <c r="N3" i="1" s="1"/>
  <c r="L3" i="3" s="1"/>
  <c r="M4" i="1"/>
  <c r="N4" i="1" s="1"/>
  <c r="L4" i="3" s="1"/>
  <c r="M5" i="1"/>
  <c r="N5" i="1" s="1"/>
  <c r="L5" i="3" s="1"/>
  <c r="M6" i="1"/>
  <c r="N6" i="1" s="1"/>
  <c r="L6" i="3" s="1"/>
  <c r="M7" i="1"/>
  <c r="N7" i="1" s="1"/>
  <c r="L7" i="3" s="1"/>
  <c r="M8" i="1"/>
  <c r="N8" i="1" s="1"/>
  <c r="L8" i="3" s="1"/>
  <c r="M9" i="1"/>
  <c r="N9" i="1" s="1"/>
  <c r="L9" i="3" s="1"/>
  <c r="M10" i="1"/>
  <c r="N10" i="1" s="1"/>
  <c r="L10" i="3" s="1"/>
  <c r="M11" i="1"/>
  <c r="N11" i="1" s="1"/>
  <c r="L11" i="3" s="1"/>
  <c r="M12" i="1"/>
  <c r="N12" i="1" s="1"/>
  <c r="L12" i="3" s="1"/>
  <c r="M2" i="1"/>
  <c r="N2" i="1" s="1"/>
  <c r="L2" i="3" s="1"/>
  <c r="K3" i="1"/>
  <c r="K4" i="1"/>
  <c r="K5" i="1"/>
  <c r="K6" i="1"/>
  <c r="K7" i="1"/>
  <c r="K8" i="1"/>
  <c r="K9" i="1"/>
  <c r="K10" i="1"/>
  <c r="K11" i="1"/>
  <c r="K12" i="1"/>
  <c r="K2" i="1"/>
  <c r="D12" i="3"/>
  <c r="D14" i="3"/>
  <c r="D15" i="3"/>
  <c r="D16" i="3"/>
  <c r="D11" i="3"/>
  <c r="B16" i="3"/>
  <c r="B15" i="3"/>
  <c r="C15" i="3" s="1"/>
  <c r="B14" i="3"/>
  <c r="C14" i="3" s="1"/>
  <c r="B13" i="3"/>
  <c r="C13" i="3" s="1"/>
  <c r="B12" i="3"/>
  <c r="C12" i="3" s="1"/>
  <c r="B27" i="3"/>
  <c r="B29" i="3" s="1"/>
  <c r="P3" i="1"/>
  <c r="N3" i="3" s="1"/>
  <c r="P4" i="1"/>
  <c r="N4" i="3" s="1"/>
  <c r="P5" i="1"/>
  <c r="N5" i="3" s="1"/>
  <c r="P6" i="1"/>
  <c r="N6" i="3" s="1"/>
  <c r="P7" i="1"/>
  <c r="N7" i="3" s="1"/>
  <c r="P8" i="1"/>
  <c r="N8" i="3" s="1"/>
  <c r="P9" i="1"/>
  <c r="N9" i="3" s="1"/>
  <c r="P10" i="1"/>
  <c r="N10" i="3" s="1"/>
  <c r="P11" i="1"/>
  <c r="N11" i="3" s="1"/>
  <c r="P12" i="1"/>
  <c r="N12" i="3" s="1"/>
  <c r="P2" i="1"/>
  <c r="N2" i="3" s="1"/>
  <c r="B24" i="3"/>
  <c r="B26" i="3" s="1"/>
  <c r="D4" i="1"/>
  <c r="D5" i="1"/>
  <c r="D6" i="1"/>
  <c r="D7" i="1"/>
  <c r="D8" i="1"/>
  <c r="D9" i="1"/>
  <c r="D10" i="1"/>
  <c r="D11" i="1"/>
  <c r="D12" i="1"/>
  <c r="D3" i="1"/>
  <c r="R12" i="3" l="1"/>
  <c r="AC12" i="3" s="1"/>
  <c r="AI12" i="3" s="1"/>
  <c r="AB18" i="1"/>
  <c r="AB9" i="3"/>
  <c r="AC28" i="3" s="1"/>
  <c r="AE9" i="3"/>
  <c r="AB4" i="3"/>
  <c r="AC23" i="3" s="1"/>
  <c r="AE4" i="3"/>
  <c r="AB6" i="3"/>
  <c r="AC25" i="3" s="1"/>
  <c r="AE6" i="3"/>
  <c r="AB7" i="3"/>
  <c r="AC26" i="3" s="1"/>
  <c r="AE7" i="3"/>
  <c r="AB12" i="3"/>
  <c r="AC31" i="3" s="1"/>
  <c r="AE12" i="3"/>
  <c r="AB2" i="3"/>
  <c r="AC21" i="3" s="1"/>
  <c r="AE2" i="3"/>
  <c r="AB3" i="3"/>
  <c r="AC22" i="3" s="1"/>
  <c r="AE3" i="3"/>
  <c r="AB5" i="3"/>
  <c r="AC24" i="3" s="1"/>
  <c r="AE5" i="3"/>
  <c r="AB10" i="3"/>
  <c r="AC29" i="3" s="1"/>
  <c r="AE10" i="3"/>
  <c r="AB8" i="3"/>
  <c r="AC27" i="3" s="1"/>
  <c r="AE8" i="3"/>
  <c r="AB11" i="3"/>
  <c r="AC30" i="3" s="1"/>
  <c r="AE11" i="3"/>
  <c r="R9" i="3"/>
  <c r="R4" i="3"/>
  <c r="R7" i="3"/>
  <c r="R6" i="3"/>
  <c r="R8" i="3"/>
  <c r="R2" i="3"/>
  <c r="R3" i="3"/>
  <c r="R5" i="3"/>
  <c r="R10" i="3"/>
  <c r="R11" i="3"/>
  <c r="E16" i="3"/>
  <c r="I16" i="3" s="1"/>
  <c r="BC16" i="3" s="1"/>
  <c r="E15" i="3"/>
  <c r="I15" i="3" s="1"/>
  <c r="BC15" i="3" s="1"/>
  <c r="E12" i="3"/>
  <c r="H12" i="3" s="1"/>
  <c r="E14" i="3"/>
  <c r="I14" i="3" s="1"/>
  <c r="E13" i="3"/>
  <c r="I13" i="3" s="1"/>
  <c r="BC13" i="3" s="1"/>
  <c r="B31" i="3"/>
  <c r="B32" i="3" s="1"/>
  <c r="BC14" i="3" l="1"/>
  <c r="AU14" i="3"/>
  <c r="AL16" i="3"/>
  <c r="AV16" i="3"/>
  <c r="AU16" i="3"/>
  <c r="AL15" i="3"/>
  <c r="AV15" i="3"/>
  <c r="AU15" i="3"/>
  <c r="AX15" i="3" s="1"/>
  <c r="AL13" i="3"/>
  <c r="AU13" i="3"/>
  <c r="AV13" i="3"/>
  <c r="AL14" i="3"/>
  <c r="AV14" i="3"/>
  <c r="AM12" i="3"/>
  <c r="AH13" i="3"/>
  <c r="J13" i="3"/>
  <c r="U13" i="3" s="1"/>
  <c r="J15" i="3"/>
  <c r="AH15" i="3"/>
  <c r="J16" i="3"/>
  <c r="AH16" i="3"/>
  <c r="J14" i="3"/>
  <c r="AH14" i="3"/>
  <c r="AF11" i="3"/>
  <c r="AG11" i="3" s="1"/>
  <c r="AC11" i="3"/>
  <c r="AF10" i="3"/>
  <c r="AG10" i="3" s="1"/>
  <c r="AC10" i="3"/>
  <c r="AC3" i="3"/>
  <c r="AF3" i="3"/>
  <c r="AG3" i="3" s="1"/>
  <c r="AF5" i="3"/>
  <c r="AG5" i="3" s="1"/>
  <c r="AC5" i="3"/>
  <c r="AF9" i="3"/>
  <c r="AG9" i="3" s="1"/>
  <c r="AC9" i="3"/>
  <c r="AC2" i="3"/>
  <c r="AF2" i="3"/>
  <c r="AG2" i="3" s="1"/>
  <c r="AF12" i="3"/>
  <c r="AG12" i="3" s="1"/>
  <c r="AD12" i="3"/>
  <c r="AF8" i="3"/>
  <c r="AG8" i="3" s="1"/>
  <c r="AC8" i="3"/>
  <c r="AF4" i="3"/>
  <c r="AG4" i="3" s="1"/>
  <c r="AC4" i="3"/>
  <c r="AF6" i="3"/>
  <c r="AG6" i="3" s="1"/>
  <c r="AC6" i="3"/>
  <c r="AF7" i="3"/>
  <c r="AG7" i="3" s="1"/>
  <c r="AC7" i="3"/>
  <c r="K13" i="3"/>
  <c r="M13" i="3" s="1"/>
  <c r="K16" i="3"/>
  <c r="M16" i="3" s="1"/>
  <c r="O16" i="3"/>
  <c r="K14" i="3"/>
  <c r="M14" i="3" s="1"/>
  <c r="O14" i="3"/>
  <c r="K15" i="3"/>
  <c r="M15" i="3" s="1"/>
  <c r="O15" i="3"/>
  <c r="O13" i="3"/>
  <c r="AQ12" i="3" l="1"/>
  <c r="BN12" i="3" s="1"/>
  <c r="AX14" i="3"/>
  <c r="AX13" i="3"/>
  <c r="AX16" i="3"/>
  <c r="U16" i="3"/>
  <c r="S16" i="3" s="1"/>
  <c r="BP16" i="3" s="1"/>
  <c r="U15" i="3"/>
  <c r="S15" i="3" s="1"/>
  <c r="AD2" i="3"/>
  <c r="AI2" i="3"/>
  <c r="AM2" i="3" s="1"/>
  <c r="AQ2" i="3" s="1"/>
  <c r="BN2" i="3" s="1"/>
  <c r="AD5" i="3"/>
  <c r="AI5" i="3"/>
  <c r="AM5" i="3" s="1"/>
  <c r="AQ5" i="3" s="1"/>
  <c r="AD9" i="3"/>
  <c r="AI9" i="3"/>
  <c r="AM9" i="3" s="1"/>
  <c r="AQ9" i="3" s="1"/>
  <c r="AD11" i="3"/>
  <c r="AI11" i="3"/>
  <c r="AM11" i="3" s="1"/>
  <c r="AQ11" i="3" s="1"/>
  <c r="AD7" i="3"/>
  <c r="AI7" i="3"/>
  <c r="AM7" i="3" s="1"/>
  <c r="AQ7" i="3" s="1"/>
  <c r="AD3" i="3"/>
  <c r="AI3" i="3"/>
  <c r="AM3" i="3" s="1"/>
  <c r="AQ3" i="3" s="1"/>
  <c r="BN3" i="3" s="1"/>
  <c r="AD6" i="3"/>
  <c r="AI6" i="3"/>
  <c r="AM6" i="3" s="1"/>
  <c r="AQ6" i="3" s="1"/>
  <c r="AD4" i="3"/>
  <c r="AI4" i="3"/>
  <c r="AM4" i="3" s="1"/>
  <c r="AQ4" i="3" s="1"/>
  <c r="BN4" i="3" s="1"/>
  <c r="AD8" i="3"/>
  <c r="AI8" i="3"/>
  <c r="AM8" i="3" s="1"/>
  <c r="AQ8" i="3" s="1"/>
  <c r="AD10" i="3"/>
  <c r="AI10" i="3"/>
  <c r="AM10" i="3" s="1"/>
  <c r="AQ10" i="3" s="1"/>
  <c r="S13" i="3"/>
  <c r="P15" i="3"/>
  <c r="P14" i="3"/>
  <c r="AJ14" i="3" s="1"/>
  <c r="U14" i="3"/>
  <c r="P16" i="3"/>
  <c r="AJ16" i="3" s="1"/>
  <c r="P13" i="3"/>
  <c r="AS5" i="3" l="1"/>
  <c r="BN5" i="3"/>
  <c r="AS7" i="3"/>
  <c r="BN7" i="3"/>
  <c r="AS6" i="3"/>
  <c r="BN6" i="3"/>
  <c r="AS10" i="3"/>
  <c r="BN10" i="3"/>
  <c r="AS11" i="3"/>
  <c r="BN11" i="3"/>
  <c r="AS8" i="3"/>
  <c r="BN8" i="3"/>
  <c r="AS9" i="3"/>
  <c r="BN9" i="3"/>
  <c r="AS12" i="3"/>
  <c r="X16" i="3"/>
  <c r="X15" i="3"/>
  <c r="BP15" i="3"/>
  <c r="BP13" i="3"/>
  <c r="AZ13" i="3"/>
  <c r="BO13" i="3" s="1"/>
  <c r="X13" i="3"/>
  <c r="R13" i="3"/>
  <c r="AJ13" i="3"/>
  <c r="AB15" i="3"/>
  <c r="AJ15" i="3"/>
  <c r="V13" i="3"/>
  <c r="T13" i="3" s="1"/>
  <c r="V16" i="3"/>
  <c r="T16" i="3" s="1"/>
  <c r="R14" i="3"/>
  <c r="AF14" i="3" s="1"/>
  <c r="V15" i="3"/>
  <c r="T15" i="3" s="1"/>
  <c r="R15" i="3"/>
  <c r="AF15" i="3" s="1"/>
  <c r="AE15" i="3"/>
  <c r="S14" i="3"/>
  <c r="AE14" i="3"/>
  <c r="V14" i="3"/>
  <c r="T14" i="3" s="1"/>
  <c r="AB16" i="3"/>
  <c r="AE16" i="3"/>
  <c r="AB13" i="3"/>
  <c r="AE13" i="3"/>
  <c r="R16" i="3"/>
  <c r="AZ14" i="3" l="1"/>
  <c r="BO14" i="3" s="1"/>
  <c r="BP14" i="3"/>
  <c r="BA13" i="3"/>
  <c r="BB13" i="3" s="1"/>
  <c r="BG13" i="3"/>
  <c r="AZ16" i="3"/>
  <c r="BO16" i="3" s="1"/>
  <c r="AZ15" i="3"/>
  <c r="BO15" i="3" s="1"/>
  <c r="AC34" i="3"/>
  <c r="AK13" i="3"/>
  <c r="AK15" i="3"/>
  <c r="AK16" i="3"/>
  <c r="X14" i="3"/>
  <c r="AC14" i="3" s="1"/>
  <c r="AC13" i="3"/>
  <c r="AG15" i="3"/>
  <c r="AC32" i="3"/>
  <c r="AC35" i="3"/>
  <c r="AC15" i="3"/>
  <c r="AG14" i="3"/>
  <c r="AB14" i="3"/>
  <c r="AF13" i="3"/>
  <c r="AG13" i="3" s="1"/>
  <c r="AC16" i="3"/>
  <c r="AF16" i="3"/>
  <c r="AG16" i="3" s="1"/>
  <c r="BI13" i="3" l="1"/>
  <c r="BX13" i="3"/>
  <c r="BG14" i="3"/>
  <c r="BA14" i="3"/>
  <c r="BB14" i="3" s="1"/>
  <c r="AI16" i="3"/>
  <c r="AM16" i="3" s="1"/>
  <c r="BA16" i="3"/>
  <c r="BB16" i="3" s="1"/>
  <c r="BG16" i="3"/>
  <c r="BA15" i="3"/>
  <c r="BB15" i="3" s="1"/>
  <c r="BG15" i="3"/>
  <c r="AI13" i="3"/>
  <c r="AM13" i="3" s="1"/>
  <c r="AN13" i="3" s="1"/>
  <c r="AQ13" i="3" s="1"/>
  <c r="AI15" i="3"/>
  <c r="AM15" i="3" s="1"/>
  <c r="AD32" i="3"/>
  <c r="AD13" i="3"/>
  <c r="AK14" i="3"/>
  <c r="AI14" i="3" s="1"/>
  <c r="AM14" i="3" s="1"/>
  <c r="AN14" i="3" s="1"/>
  <c r="AQ14" i="3" s="1"/>
  <c r="BN14" i="3" s="1"/>
  <c r="BW14" i="3" s="1"/>
  <c r="AC33" i="3"/>
  <c r="AD33" i="3" s="1"/>
  <c r="AD16" i="3"/>
  <c r="AD15" i="3"/>
  <c r="AD35" i="3"/>
  <c r="AD14" i="3"/>
  <c r="AD34" i="3"/>
  <c r="BI16" i="3" l="1"/>
  <c r="BX16" i="3"/>
  <c r="BL13" i="3"/>
  <c r="BN13" i="3"/>
  <c r="BW13" i="3" s="1"/>
  <c r="BI15" i="3"/>
  <c r="BX15" i="3"/>
  <c r="BI14" i="3"/>
  <c r="BX14" i="3"/>
  <c r="AS14" i="3"/>
  <c r="BK14" i="3"/>
  <c r="BL14" i="3" s="1"/>
  <c r="BD13" i="3"/>
  <c r="AS13" i="3"/>
  <c r="AN15" i="3"/>
  <c r="AQ15" i="3" s="1"/>
  <c r="BN15" i="3" s="1"/>
  <c r="BW15" i="3" s="1"/>
  <c r="AN16" i="3"/>
  <c r="AQ16" i="3" s="1"/>
  <c r="BN16" i="3" s="1"/>
  <c r="BW16" i="3" s="1"/>
  <c r="BF13" i="3" l="1"/>
  <c r="BM13" i="3" s="1"/>
  <c r="CA13" i="3"/>
  <c r="BR13" i="3" s="1"/>
  <c r="AS15" i="3"/>
  <c r="BK15" i="3"/>
  <c r="AS16" i="3"/>
  <c r="A1" i="6" s="1" a="1"/>
  <c r="BK16" i="3"/>
  <c r="BL15" i="3"/>
  <c r="BD14" i="3"/>
  <c r="H231" i="6" l="1"/>
  <c r="I231" i="6"/>
  <c r="J231" i="6"/>
  <c r="G231" i="6"/>
  <c r="H230" i="6"/>
  <c r="I230" i="6"/>
  <c r="J230" i="6"/>
  <c r="G230" i="6"/>
  <c r="B231" i="6"/>
  <c r="C231" i="6"/>
  <c r="D231" i="6"/>
  <c r="E231" i="6"/>
  <c r="F231" i="6"/>
  <c r="BQ13" i="3"/>
  <c r="CC13" i="3"/>
  <c r="C220" i="6"/>
  <c r="D220" i="6"/>
  <c r="E220" i="6"/>
  <c r="F220" i="6"/>
  <c r="G220" i="6"/>
  <c r="H220" i="6"/>
  <c r="I220" i="6"/>
  <c r="J220" i="6"/>
  <c r="B220" i="6"/>
  <c r="C230" i="6"/>
  <c r="D230" i="6"/>
  <c r="E230" i="6"/>
  <c r="F230" i="6"/>
  <c r="J228" i="6"/>
  <c r="B228" i="6"/>
  <c r="B229" i="6" s="1"/>
  <c r="C228" i="6"/>
  <c r="C229" i="6" s="1"/>
  <c r="D228" i="6"/>
  <c r="D229" i="6" s="1"/>
  <c r="E228" i="6"/>
  <c r="E229" i="6" s="1"/>
  <c r="F228" i="6"/>
  <c r="F229" i="6" s="1"/>
  <c r="G228" i="6"/>
  <c r="H228" i="6"/>
  <c r="I228" i="6"/>
  <c r="B230" i="6"/>
  <c r="A1" i="6"/>
  <c r="BF14" i="3"/>
  <c r="BM14" i="3" s="1"/>
  <c r="CA14" i="3"/>
  <c r="BR14" i="3" s="1"/>
  <c r="BL16" i="3"/>
  <c r="BD16" i="3" s="1"/>
  <c r="BD15" i="3"/>
  <c r="BQ14" i="3" l="1"/>
  <c r="CC14" i="3"/>
  <c r="BF16" i="3"/>
  <c r="BM16" i="3" s="1"/>
  <c r="CA16" i="3"/>
  <c r="BR16" i="3" s="1"/>
  <c r="BF15" i="3"/>
  <c r="BM15" i="3" s="1"/>
  <c r="CA15" i="3"/>
  <c r="BR15" i="3" s="1"/>
  <c r="BQ15" i="3" l="1"/>
  <c r="CC15" i="3"/>
  <c r="BQ16" i="3"/>
  <c r="CC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<sst xmlns="http://schemas.openxmlformats.org/spreadsheetml/2006/main" count="609" uniqueCount="460">
  <si>
    <t>Year</t>
    <phoneticPr fontId="1" type="noConversion"/>
  </si>
  <si>
    <t>Planning additional WM Capacity per day (ton)</t>
    <phoneticPr fontId="1" type="noConversion"/>
  </si>
  <si>
    <t>Operating WM Capacity per day (ton)</t>
    <phoneticPr fontId="1" type="noConversion"/>
  </si>
  <si>
    <t>Newly Completed WM Capacity (ton)</t>
    <phoneticPr fontId="1" type="noConversion"/>
  </si>
  <si>
    <t>Handled Waste per year (ton)</t>
    <phoneticPr fontId="1" type="noConversion"/>
  </si>
  <si>
    <t>Wastes Handled/Total Capacity (%)</t>
    <phoneticPr fontId="1" type="noConversion"/>
  </si>
  <si>
    <t>Increase in Wastes Handled (ton)</t>
    <phoneticPr fontId="1" type="noConversion"/>
  </si>
  <si>
    <t>Generated Electricity/Waste Handled (MWh/ton)</t>
    <phoneticPr fontId="1" type="noConversion"/>
  </si>
  <si>
    <t>Generated Electricity  per year (MWh)</t>
    <phoneticPr fontId="1" type="noConversion"/>
  </si>
  <si>
    <t>Sold Electricity per year (MWh)</t>
    <phoneticPr fontId="1" type="noConversion"/>
  </si>
  <si>
    <t>Sold/Generated (%)</t>
    <phoneticPr fontId="1" type="noConversion"/>
  </si>
  <si>
    <t>Sales of electricity (k HKD)</t>
    <phoneticPr fontId="1" type="noConversion"/>
  </si>
  <si>
    <t>Sale/Generate (HKD/kWh)</t>
    <phoneticPr fontId="1" type="noConversion"/>
  </si>
  <si>
    <t>Sale of electricity (CNY/kWh) (1CNY=0.85HKD)</t>
    <phoneticPr fontId="1" type="noConversion"/>
  </si>
  <si>
    <t>Waste Management Revenue (k HKD)</t>
    <phoneticPr fontId="1" type="noConversion"/>
  </si>
  <si>
    <t>WM fee/Handled (1000 HKD/ton)</t>
    <phoneticPr fontId="1" type="noConversion"/>
  </si>
  <si>
    <t>Energy + WM Gross Margin (%)</t>
    <phoneticPr fontId="1" type="noConversion"/>
  </si>
  <si>
    <t>Other Revenue Ex. BOT (k HKD)</t>
    <phoneticPr fontId="1" type="noConversion"/>
  </si>
  <si>
    <t>Other Gross Profit (1000 HKD)</t>
    <phoneticPr fontId="1" type="noConversion"/>
  </si>
  <si>
    <t>Other Gross Profit Margin</t>
    <phoneticPr fontId="1" type="noConversion"/>
  </si>
  <si>
    <t>Sales of Electricity + WM Revenue  (k HKD)</t>
    <phoneticPr fontId="1" type="noConversion"/>
  </si>
  <si>
    <t>BOT Revenue (1000 HKD)</t>
    <phoneticPr fontId="1" type="noConversion"/>
  </si>
  <si>
    <t>Accumulated BOT Revenue (1000 HKD)</t>
    <phoneticPr fontId="1" type="noConversion"/>
  </si>
  <si>
    <t>BOT Gross Profit (1000 HKD)</t>
    <phoneticPr fontId="1" type="noConversion"/>
  </si>
  <si>
    <t>BOT Gross Profit Margin (%)</t>
    <phoneticPr fontId="1" type="noConversion"/>
  </si>
  <si>
    <t>Total Revenue (1000 HKD)</t>
    <phoneticPr fontId="1" type="noConversion"/>
  </si>
  <si>
    <t>Cost of Goods Sold (1000 HKD)</t>
    <phoneticPr fontId="1" type="noConversion"/>
  </si>
  <si>
    <t>Construction Cost (1000 HKD)</t>
    <phoneticPr fontId="1" type="noConversion"/>
  </si>
  <si>
    <t>Cost of Goods Sold Ex. Construction (1000 HKD)</t>
    <phoneticPr fontId="1" type="noConversion"/>
  </si>
  <si>
    <t>Operating Expense (1000 HKD)</t>
    <phoneticPr fontId="1" type="noConversion"/>
  </si>
  <si>
    <t>Other Income (1000 HKD)</t>
    <phoneticPr fontId="1" type="noConversion"/>
  </si>
  <si>
    <t>Income Tax Expense (M HKD)</t>
    <phoneticPr fontId="1" type="noConversion"/>
  </si>
  <si>
    <t>Net Interest Expense (1000 HKD)</t>
    <phoneticPr fontId="1" type="noConversion"/>
  </si>
  <si>
    <t>Minority Interest (1000 HKD)</t>
    <phoneticPr fontId="1" type="noConversion"/>
  </si>
  <si>
    <t>Share of Net Profit of Joint Venture (1000 HKD)</t>
    <phoneticPr fontId="1" type="noConversion"/>
  </si>
  <si>
    <t>Cash &amp; Near Cash Items (1m HKD)</t>
    <phoneticPr fontId="1" type="noConversion"/>
  </si>
  <si>
    <t>% of Cash in Current Asset</t>
    <phoneticPr fontId="1" type="noConversion"/>
  </si>
  <si>
    <t>Accounts &amp; Notes Receivables (1m HKD)</t>
    <phoneticPr fontId="1" type="noConversion"/>
  </si>
  <si>
    <t>% of Receivables in Current Assets</t>
    <phoneticPr fontId="1" type="noConversion"/>
  </si>
  <si>
    <t>Inventories (1m HKD)</t>
    <phoneticPr fontId="1" type="noConversion"/>
  </si>
  <si>
    <t>% of Inventories in Current Assets</t>
    <phoneticPr fontId="1" type="noConversion"/>
  </si>
  <si>
    <t>Other Current Assets (1m HKD)</t>
    <phoneticPr fontId="1" type="noConversion"/>
  </si>
  <si>
    <t>% of Other Current Assets in total current Assets</t>
    <phoneticPr fontId="1" type="noConversion"/>
  </si>
  <si>
    <t>Total Current Assets (1m HKD)</t>
    <phoneticPr fontId="1" type="noConversion"/>
  </si>
  <si>
    <t>Net Fixed Assets (1m HKD)</t>
    <phoneticPr fontId="1" type="noConversion"/>
  </si>
  <si>
    <t>Other Long Term Assets (1m HKD)</t>
    <phoneticPr fontId="1" type="noConversion"/>
  </si>
  <si>
    <t>Account Payable (1m HKD)</t>
    <phoneticPr fontId="1" type="noConversion"/>
  </si>
  <si>
    <t>Short Term Borrowing (1m HKD)</t>
    <phoneticPr fontId="1" type="noConversion"/>
  </si>
  <si>
    <t>Other Short term Liabilities (1m HKD)</t>
    <phoneticPr fontId="1" type="noConversion"/>
  </si>
  <si>
    <t>Total Current Liabilities (1m HKD)</t>
    <phoneticPr fontId="1" type="noConversion"/>
  </si>
  <si>
    <t>Long Term Borrowing (1m HKD)</t>
    <phoneticPr fontId="1" type="noConversion"/>
  </si>
  <si>
    <t>Other Long Term Borrowing (1m HKD)</t>
    <phoneticPr fontId="1" type="noConversion"/>
  </si>
  <si>
    <t>Shareholders Equity (1m HKD)</t>
    <phoneticPr fontId="1" type="noConversion"/>
  </si>
  <si>
    <t>Minority Interest--Balance sheet (1m HKD)</t>
    <phoneticPr fontId="1" type="noConversion"/>
  </si>
  <si>
    <t>Depreciation (1m HKD)</t>
    <phoneticPr fontId="1" type="noConversion"/>
  </si>
  <si>
    <t>Other Non-Cash Adjustment (1m HKD)</t>
    <phoneticPr fontId="1" type="noConversion"/>
  </si>
  <si>
    <t>Change in Non-Cash Capital (1m HKD)</t>
    <phoneticPr fontId="1" type="noConversion"/>
  </si>
  <si>
    <t>Cash from Operating Activities</t>
    <phoneticPr fontId="1" type="noConversion"/>
  </si>
  <si>
    <t>Capital Expenditure (1m HKD)</t>
    <phoneticPr fontId="1" type="noConversion"/>
  </si>
  <si>
    <t>Disposal of Fixed Assets (1m HKD)</t>
    <phoneticPr fontId="1" type="noConversion"/>
  </si>
  <si>
    <t>Other Investing Cashflow (1m HKD)</t>
    <phoneticPr fontId="1" type="noConversion"/>
  </si>
  <si>
    <t>Cash from Investing Activities (1m HKD)</t>
    <phoneticPr fontId="1" type="noConversion"/>
  </si>
  <si>
    <t>Dividend Paid (1m HKD)</t>
    <phoneticPr fontId="1" type="noConversion"/>
  </si>
  <si>
    <t>Net Borrowing (1m HKD)</t>
    <phoneticPr fontId="1" type="noConversion"/>
  </si>
  <si>
    <t>Net Increase in Capital Stocks (1m HKD)</t>
    <phoneticPr fontId="1" type="noConversion"/>
  </si>
  <si>
    <t>Other Financing Activities (1m HKD)</t>
    <phoneticPr fontId="1" type="noConversion"/>
  </si>
  <si>
    <t>Cash From Financing Activities (1m HKD)</t>
    <phoneticPr fontId="1" type="noConversion"/>
  </si>
  <si>
    <t>Construct Cost/Newly Completed Capacity (5y Average) (1000 HKD/ton)</t>
    <phoneticPr fontId="1" type="noConversion"/>
  </si>
  <si>
    <r>
      <t xml:space="preserve">Quantity of Collected and Transported (10,000 ton) from </t>
    </r>
    <r>
      <rPr>
        <b/>
        <sz val="11"/>
        <color theme="1"/>
        <rFont val="細明體"/>
        <family val="1"/>
        <charset val="136"/>
      </rPr>
      <t>住建部</t>
    </r>
    <phoneticPr fontId="1" type="noConversion"/>
  </si>
  <si>
    <t>Collected and Transported (1m ton)</t>
    <phoneticPr fontId="1" type="noConversion"/>
  </si>
  <si>
    <r>
      <rPr>
        <b/>
        <sz val="11"/>
        <color theme="1"/>
        <rFont val="新細明體"/>
        <family val="2"/>
      </rPr>
      <t>全國日均城市生活垃圾焚燒無害化處理能力</t>
    </r>
    <r>
      <rPr>
        <b/>
        <sz val="11"/>
        <color theme="1"/>
        <rFont val="Times New Roman"/>
        <family val="1"/>
      </rPr>
      <t xml:space="preserve"> (10000 ton)</t>
    </r>
    <phoneticPr fontId="1" type="noConversion"/>
  </si>
  <si>
    <t>Incinerated (10000 ton)</t>
    <phoneticPr fontId="1" type="noConversion"/>
  </si>
  <si>
    <t>Incinerated (1m ton)</t>
    <phoneticPr fontId="1" type="noConversion"/>
  </si>
  <si>
    <t>Incinerated/Collected (%)</t>
    <phoneticPr fontId="1" type="noConversion"/>
  </si>
  <si>
    <t>Canvest Market Share (%) by Quantity of Treatment</t>
    <phoneticPr fontId="1" type="noConversion"/>
  </si>
  <si>
    <t>Canvest Treatment Quantity</t>
    <phoneticPr fontId="1" type="noConversion"/>
  </si>
  <si>
    <t>Canvest Operating Capacity (ton/day)</t>
    <phoneticPr fontId="1" type="noConversion"/>
  </si>
  <si>
    <t>Electricity Generated (MWh)</t>
    <phoneticPr fontId="1" type="noConversion"/>
  </si>
  <si>
    <t>Electricity Price (CNY/kWh)</t>
    <phoneticPr fontId="1" type="noConversion"/>
  </si>
  <si>
    <t>Sales of Electricity (1000 HKD)</t>
    <phoneticPr fontId="1" type="noConversion"/>
  </si>
  <si>
    <t>WM Fee (1000 HKD/ton)</t>
    <phoneticPr fontId="1" type="noConversion"/>
  </si>
  <si>
    <t>WM Revenue (1000 HKD)</t>
    <phoneticPr fontId="1" type="noConversion"/>
  </si>
  <si>
    <t>Energy + WM Revenue (1000 HKD)</t>
    <phoneticPr fontId="1" type="noConversion"/>
  </si>
  <si>
    <t>Energy + WM Revenue Gross Margin</t>
    <phoneticPr fontId="1" type="noConversion"/>
  </si>
  <si>
    <t>WM + Energy Gross Profit (1000 HKD)</t>
    <phoneticPr fontId="1" type="noConversion"/>
  </si>
  <si>
    <t>Total Cost of Goods Sold (1000 HKD)</t>
    <phoneticPr fontId="1" type="noConversion"/>
  </si>
  <si>
    <t>Cost of Goods Sold Ex. Constuction (1000 HKD) by Regression</t>
    <phoneticPr fontId="1" type="noConversion"/>
  </si>
  <si>
    <t>BOT Gross Margin (%)</t>
    <phoneticPr fontId="1" type="noConversion"/>
  </si>
  <si>
    <t>BOT Gross Profit</t>
    <phoneticPr fontId="1" type="noConversion"/>
  </si>
  <si>
    <t>Other Service Revenue (1000HKD)</t>
    <phoneticPr fontId="1" type="noConversion"/>
  </si>
  <si>
    <t>Other Gross Profit Margin (%)</t>
    <phoneticPr fontId="1" type="noConversion"/>
  </si>
  <si>
    <t>Total Gross Profit (1000 HKD) by Assuming Profit Margin</t>
    <phoneticPr fontId="1" type="noConversion"/>
  </si>
  <si>
    <t>Total Gross Profit Margin (%)</t>
    <phoneticPr fontId="1" type="noConversion"/>
  </si>
  <si>
    <t>Revenue Ex. BOT (1000 HKD)</t>
    <phoneticPr fontId="1" type="noConversion"/>
  </si>
  <si>
    <t>Gross Profit Ex. BOT (1000 HKD)</t>
    <phoneticPr fontId="1" type="noConversion"/>
  </si>
  <si>
    <t>Gross Profit Margin Ex. BOT (%)</t>
    <phoneticPr fontId="1" type="noConversion"/>
  </si>
  <si>
    <t>Operating Income (1000 HKD)</t>
    <phoneticPr fontId="1" type="noConversion"/>
  </si>
  <si>
    <t>Adjusted Operating Income (1000 HKD)</t>
    <phoneticPr fontId="1" type="noConversion"/>
  </si>
  <si>
    <t>Pretax Income (1000 HKD)</t>
    <phoneticPr fontId="1" type="noConversion"/>
  </si>
  <si>
    <t>Tax Expense (1000 HKD) (11.5% of Op. Income)</t>
    <phoneticPr fontId="1" type="noConversion"/>
  </si>
  <si>
    <t>Net Profit (1000 HKD)</t>
    <phoneticPr fontId="1" type="noConversion"/>
  </si>
  <si>
    <t>Shares Outstanding (K)</t>
    <phoneticPr fontId="1" type="noConversion"/>
  </si>
  <si>
    <t>EPS (HKD)</t>
    <phoneticPr fontId="1" type="noConversion"/>
  </si>
  <si>
    <t>Accumulated BOT Revenue</t>
    <phoneticPr fontId="1" type="noConversion"/>
  </si>
  <si>
    <t>Total Long-Term Assets (1m HKD)</t>
    <phoneticPr fontId="1" type="noConversion"/>
  </si>
  <si>
    <t>Total Long-Term Liabilities (1m HKD)</t>
    <phoneticPr fontId="1" type="noConversion"/>
  </si>
  <si>
    <t>Assets - Liabilities (1m HKD)</t>
    <phoneticPr fontId="1" type="noConversion"/>
  </si>
  <si>
    <t>Net Income (1m HKD)</t>
    <phoneticPr fontId="1" type="noConversion"/>
  </si>
  <si>
    <t>Cash from Operating Activities (1m HKD)</t>
    <phoneticPr fontId="1" type="noConversion"/>
  </si>
  <si>
    <t>Dividend Paid (1m HKD)</t>
  </si>
  <si>
    <t>Net Long-Term Borrowing (1m HKD)</t>
    <phoneticPr fontId="1" type="noConversion"/>
  </si>
  <si>
    <t>Net Cash &amp; Cash Equivalent (1m HKD)</t>
    <phoneticPr fontId="1" type="noConversion"/>
  </si>
  <si>
    <t>Free Cash Flow (1m HKD)</t>
    <phoneticPr fontId="1" type="noConversion"/>
  </si>
  <si>
    <t>Construct Cost/Newly Completed Capacity (5y Average) (1000 HKD/ton)</t>
  </si>
  <si>
    <t>Gross Profit by Regression Method</t>
    <phoneticPr fontId="1" type="noConversion"/>
  </si>
  <si>
    <t>Combustion Percentage</t>
    <phoneticPr fontId="1" type="noConversion"/>
  </si>
  <si>
    <t>Quantity</t>
    <phoneticPr fontId="1" type="noConversion"/>
  </si>
  <si>
    <t>2025E</t>
    <phoneticPr fontId="1" type="noConversion"/>
  </si>
  <si>
    <t>Quantity</t>
  </si>
  <si>
    <t>5Y Growth</t>
    <phoneticPr fontId="1" type="noConversion"/>
  </si>
  <si>
    <t>Error</t>
  </si>
  <si>
    <t>Per annum</t>
    <phoneticPr fontId="1" type="noConversion"/>
  </si>
  <si>
    <t>source:</t>
    <phoneticPr fontId="1" type="noConversion"/>
  </si>
  <si>
    <t>https://www.in-en.com/finance/html/energy-2246063.shtml</t>
  </si>
  <si>
    <t>Stock price (@ End of year, HKD)</t>
  </si>
  <si>
    <t>Income Statement (1000 HKD)</t>
    <phoneticPr fontId="1" type="noConversion"/>
  </si>
  <si>
    <t>2022E</t>
    <phoneticPr fontId="1" type="noConversion"/>
  </si>
  <si>
    <t>2023E</t>
    <phoneticPr fontId="1" type="noConversion"/>
  </si>
  <si>
    <t>2024E</t>
    <phoneticPr fontId="1" type="noConversion"/>
  </si>
  <si>
    <t>Income Statement (1m HKD)</t>
    <phoneticPr fontId="1" type="noConversion"/>
  </si>
  <si>
    <t>Revenue</t>
    <phoneticPr fontId="1" type="noConversion"/>
  </si>
  <si>
    <t>Cost of Sales</t>
    <phoneticPr fontId="1" type="noConversion"/>
  </si>
  <si>
    <t>(By Method of Assuming Profit Margin)</t>
    <phoneticPr fontId="1" type="noConversion"/>
  </si>
  <si>
    <t>Gross Profit</t>
    <phoneticPr fontId="1" type="noConversion"/>
  </si>
  <si>
    <t>General and Adminstrative Expense</t>
    <phoneticPr fontId="1" type="noConversion"/>
  </si>
  <si>
    <t>Other Income</t>
    <phoneticPr fontId="1" type="noConversion"/>
  </si>
  <si>
    <t>Operating Profit</t>
    <phoneticPr fontId="1" type="noConversion"/>
  </si>
  <si>
    <t>Net Interest Expense</t>
    <phoneticPr fontId="1" type="noConversion"/>
  </si>
  <si>
    <t>Share of Net Profit of Joint Venture</t>
    <phoneticPr fontId="1" type="noConversion"/>
  </si>
  <si>
    <t>Profit before Income Tax</t>
    <phoneticPr fontId="1" type="noConversion"/>
  </si>
  <si>
    <t>Tax Expense</t>
    <phoneticPr fontId="1" type="noConversion"/>
  </si>
  <si>
    <t>Non-controlling Interest</t>
    <phoneticPr fontId="1" type="noConversion"/>
  </si>
  <si>
    <t>Net Income</t>
    <phoneticPr fontId="1" type="noConversion"/>
  </si>
  <si>
    <t>Earing per Share</t>
    <phoneticPr fontId="1" type="noConversion"/>
  </si>
  <si>
    <t>Divident Per Share</t>
    <phoneticPr fontId="1" type="noConversion"/>
  </si>
  <si>
    <t>Payout Ratio</t>
    <phoneticPr fontId="1" type="noConversion"/>
  </si>
  <si>
    <t>EBIT</t>
    <phoneticPr fontId="1" type="noConversion"/>
  </si>
  <si>
    <t>Revenue &amp; Gross Profit Breakdown (1000 HKD)</t>
    <phoneticPr fontId="1" type="noConversion"/>
  </si>
  <si>
    <t>Revenue &amp; Gross Profit Breakdown (1m HKD)</t>
    <phoneticPr fontId="1" type="noConversion"/>
  </si>
  <si>
    <t>2022E</t>
  </si>
  <si>
    <t>2023E</t>
  </si>
  <si>
    <t>2024E</t>
  </si>
  <si>
    <t>2025E</t>
  </si>
  <si>
    <t>Sales of Electricity and Waste Management</t>
    <phoneticPr fontId="1" type="noConversion"/>
  </si>
  <si>
    <t>Sales of Electricity and Waste Management</t>
  </si>
  <si>
    <t>Gross Profit Margin</t>
    <phoneticPr fontId="1" type="noConversion"/>
  </si>
  <si>
    <t>Gross Profit Margin</t>
  </si>
  <si>
    <t xml:space="preserve">Gross Profit </t>
    <phoneticPr fontId="1" type="noConversion"/>
  </si>
  <si>
    <t xml:space="preserve">Gross Profit </t>
  </si>
  <si>
    <t>Construction Revenue</t>
    <phoneticPr fontId="1" type="noConversion"/>
  </si>
  <si>
    <t>Construction Revenue</t>
  </si>
  <si>
    <t>Gross Profit</t>
  </si>
  <si>
    <t>Other Services Revenue</t>
    <phoneticPr fontId="1" type="noConversion"/>
  </si>
  <si>
    <t>Other Services Revenue</t>
  </si>
  <si>
    <t>NA</t>
    <phoneticPr fontId="1" type="noConversion"/>
  </si>
  <si>
    <t>NA</t>
  </si>
  <si>
    <t>Total Revenue</t>
    <phoneticPr fontId="1" type="noConversion"/>
  </si>
  <si>
    <t>Total Revenue</t>
  </si>
  <si>
    <t>Total Gross Profit Margin</t>
    <phoneticPr fontId="1" type="noConversion"/>
  </si>
  <si>
    <t>Total Gross Profit Margin</t>
  </si>
  <si>
    <t>Total Gross Profit</t>
    <phoneticPr fontId="1" type="noConversion"/>
  </si>
  <si>
    <t>Total Gross Profit</t>
  </si>
  <si>
    <t>Excluding Construction Sector</t>
    <phoneticPr fontId="1" type="noConversion"/>
  </si>
  <si>
    <t>Excluding Construction Sector</t>
  </si>
  <si>
    <t>Total Revenue Ex. Constuction</t>
    <phoneticPr fontId="1" type="noConversion"/>
  </si>
  <si>
    <t>Total Revenue Ex. Constuction</t>
  </si>
  <si>
    <t>Total Gross Profit Margin Ex. Construction</t>
    <phoneticPr fontId="1" type="noConversion"/>
  </si>
  <si>
    <t>Total Gross Profit Margin Ex. Construction</t>
  </si>
  <si>
    <t>Total Gross Profit Ex. Construction</t>
    <phoneticPr fontId="1" type="noConversion"/>
  </si>
  <si>
    <t>Total Gross Profit Ex. Construction</t>
  </si>
  <si>
    <t>Cash &amp; Near Cash Items (1000 HKD)</t>
    <phoneticPr fontId="1" type="noConversion"/>
  </si>
  <si>
    <t>Accounts &amp; Notes Receivables (1000 HKD)</t>
    <phoneticPr fontId="1" type="noConversion"/>
  </si>
  <si>
    <t>Inventories (1000 HKD)</t>
    <phoneticPr fontId="1" type="noConversion"/>
  </si>
  <si>
    <t>Other Current Assets (1000 HKD)</t>
    <phoneticPr fontId="1" type="noConversion"/>
  </si>
  <si>
    <t>Total Current Assets (1000 HKD)</t>
    <phoneticPr fontId="1" type="noConversion"/>
  </si>
  <si>
    <t>Net Fixed Assets (1000 HKD)</t>
    <phoneticPr fontId="1" type="noConversion"/>
  </si>
  <si>
    <t>Other Long Term Assets (1000 HKD)</t>
    <phoneticPr fontId="1" type="noConversion"/>
  </si>
  <si>
    <t>Total Long-Term Assets (1000 HKD)</t>
    <phoneticPr fontId="1" type="noConversion"/>
  </si>
  <si>
    <t>Account Payable (1000 HKD)</t>
    <phoneticPr fontId="1" type="noConversion"/>
  </si>
  <si>
    <t>Short Term Borrowing (1000 HKD)</t>
    <phoneticPr fontId="1" type="noConversion"/>
  </si>
  <si>
    <t>Other Short term Liabilities (1m HKD)</t>
  </si>
  <si>
    <t>Total Current Liabilities (1m HKD)</t>
  </si>
  <si>
    <t>Long Term Borrowing (1m HKD)</t>
  </si>
  <si>
    <t>Other Long Term Borrowing (1m HKD)</t>
  </si>
  <si>
    <t>Total Long-Term Liabilities (1m HKD)</t>
  </si>
  <si>
    <t>Minority Interest--Balance sheet (1m HKD)</t>
  </si>
  <si>
    <t>Shareholders Equity (1m HKD)</t>
  </si>
  <si>
    <t>Assets - Liabilities (1m HKD)</t>
  </si>
  <si>
    <t>Depreciation (1m HKD)</t>
  </si>
  <si>
    <t>Balance Sheet (1000 HKD)</t>
    <phoneticPr fontId="1" type="noConversion"/>
  </si>
  <si>
    <t>Balance Sheet (1m HKD)</t>
    <phoneticPr fontId="1" type="noConversion"/>
  </si>
  <si>
    <t>Cash &amp; Near Cash Items</t>
    <phoneticPr fontId="1" type="noConversion"/>
  </si>
  <si>
    <t>Accounts &amp; Notes Receivables</t>
    <phoneticPr fontId="1" type="noConversion"/>
  </si>
  <si>
    <t>Inventories</t>
    <phoneticPr fontId="1" type="noConversion"/>
  </si>
  <si>
    <t>Other Current Assets</t>
    <phoneticPr fontId="1" type="noConversion"/>
  </si>
  <si>
    <t>Total Current Assets</t>
    <phoneticPr fontId="1" type="noConversion"/>
  </si>
  <si>
    <t>Net Fixed Assets</t>
    <phoneticPr fontId="1" type="noConversion"/>
  </si>
  <si>
    <t>Other Long-Term Assets</t>
    <phoneticPr fontId="1" type="noConversion"/>
  </si>
  <si>
    <t>Total Long-Term Assets</t>
    <phoneticPr fontId="1" type="noConversion"/>
  </si>
  <si>
    <t>Account Payable</t>
    <phoneticPr fontId="1" type="noConversion"/>
  </si>
  <si>
    <t>Short-Term Borrowing</t>
    <phoneticPr fontId="1" type="noConversion"/>
  </si>
  <si>
    <t>Other Short-Term Liabilities</t>
    <phoneticPr fontId="1" type="noConversion"/>
  </si>
  <si>
    <t>Total Current Liabilities</t>
    <phoneticPr fontId="1" type="noConversion"/>
  </si>
  <si>
    <t>Long-Term Borrowing</t>
    <phoneticPr fontId="1" type="noConversion"/>
  </si>
  <si>
    <t>Other Long-Term Borrowing</t>
    <phoneticPr fontId="1" type="noConversion"/>
  </si>
  <si>
    <t>Total Long Term Liabilities</t>
    <phoneticPr fontId="1" type="noConversion"/>
  </si>
  <si>
    <t>Share Capital</t>
    <phoneticPr fontId="1" type="noConversion"/>
  </si>
  <si>
    <t>Retained Earning</t>
    <phoneticPr fontId="1" type="noConversion"/>
  </si>
  <si>
    <t>Minority Interest</t>
    <phoneticPr fontId="1" type="noConversion"/>
  </si>
  <si>
    <t>Total Equity</t>
    <phoneticPr fontId="1" type="noConversion"/>
  </si>
  <si>
    <t>Total Assets - Total Liabilities</t>
    <phoneticPr fontId="1" type="noConversion"/>
  </si>
  <si>
    <t>Debt-to-Equity Ratio</t>
    <phoneticPr fontId="1" type="noConversion"/>
  </si>
  <si>
    <t>Net Income (1m HKD)</t>
  </si>
  <si>
    <t>Other Non-Cash Adjustment (1m HKD)</t>
  </si>
  <si>
    <t>Change in Non-Cash Capital (1m HKD)</t>
  </si>
  <si>
    <t>Cash from Operating Activities (1m HKD)</t>
  </si>
  <si>
    <t>Capital Expenditure (1m HKD)</t>
  </si>
  <si>
    <t>Disposal of Fixed Assets (1m HKD)</t>
  </si>
  <si>
    <t>Other Investing Cashflow (1m HKD)</t>
  </si>
  <si>
    <t>Cash from Investing Activities (1m HKD)</t>
  </si>
  <si>
    <t>Net Long-Term Borrowing (1m HKD)</t>
  </si>
  <si>
    <t>Net Increase in Capital Stocks (1m HKD)</t>
  </si>
  <si>
    <t>Other Financing Activities (1m HKD)</t>
  </si>
  <si>
    <t>Cash From Financing Activities (1m HKD)</t>
  </si>
  <si>
    <t>Net Cash &amp; Cash Equivalent (1m HKD)</t>
  </si>
  <si>
    <t>Free Cash Flow (1m HKD)</t>
  </si>
  <si>
    <t>Cash Flow Statement (1000 HKD)</t>
    <phoneticPr fontId="1" type="noConversion"/>
  </si>
  <si>
    <t>Cash Flow Statement (1m HKD)</t>
    <phoneticPr fontId="1" type="noConversion"/>
  </si>
  <si>
    <t xml:space="preserve">Net Income </t>
    <phoneticPr fontId="1" type="noConversion"/>
  </si>
  <si>
    <t>Depreciation</t>
    <phoneticPr fontId="1" type="noConversion"/>
  </si>
  <si>
    <t xml:space="preserve">Non-Cash Adjustment </t>
    <phoneticPr fontId="1" type="noConversion"/>
  </si>
  <si>
    <t>Change in Non-Cash Capital</t>
    <phoneticPr fontId="1" type="noConversion"/>
  </si>
  <si>
    <t xml:space="preserve">Capital Expenditure </t>
    <phoneticPr fontId="1" type="noConversion"/>
  </si>
  <si>
    <t>Disposal of Fixed Assets</t>
    <phoneticPr fontId="1" type="noConversion"/>
  </si>
  <si>
    <t>Other Investing Cashflow</t>
    <phoneticPr fontId="1" type="noConversion"/>
  </si>
  <si>
    <t xml:space="preserve">Cash from Investing Activities </t>
    <phoneticPr fontId="1" type="noConversion"/>
  </si>
  <si>
    <t xml:space="preserve">Dividend Paid </t>
    <phoneticPr fontId="1" type="noConversion"/>
  </si>
  <si>
    <t>Net Increase of Long-Term Borrowing</t>
    <phoneticPr fontId="1" type="noConversion"/>
  </si>
  <si>
    <t>Net Increase in Capital Stocks</t>
    <phoneticPr fontId="1" type="noConversion"/>
  </si>
  <si>
    <t>Other Financing Activities</t>
    <phoneticPr fontId="1" type="noConversion"/>
  </si>
  <si>
    <t xml:space="preserve">Cash From Financing Activities </t>
    <phoneticPr fontId="1" type="noConversion"/>
  </si>
  <si>
    <t xml:space="preserve">Net Cash &amp; Cash Equivalent </t>
    <phoneticPr fontId="1" type="noConversion"/>
  </si>
  <si>
    <t>Free Cash Flow (CFO - CAPEX)</t>
    <phoneticPr fontId="1" type="noConversion"/>
  </si>
  <si>
    <t>Share Price</t>
  </si>
  <si>
    <t>Financial Ratio</t>
    <phoneticPr fontId="1" type="noConversion"/>
  </si>
  <si>
    <t>Profitability</t>
    <phoneticPr fontId="1" type="noConversion"/>
  </si>
  <si>
    <t>Return on Assets</t>
    <phoneticPr fontId="1" type="noConversion"/>
  </si>
  <si>
    <t>Return on Equity</t>
    <phoneticPr fontId="1" type="noConversion"/>
  </si>
  <si>
    <t xml:space="preserve">Gross margin ratio </t>
  </si>
  <si>
    <t>Net Profit Margin</t>
    <phoneticPr fontId="1" type="noConversion"/>
  </si>
  <si>
    <t>Sustainbility</t>
    <phoneticPr fontId="1" type="noConversion"/>
  </si>
  <si>
    <t xml:space="preserve">Current ratio </t>
  </si>
  <si>
    <t xml:space="preserve">Quick ratio </t>
    <phoneticPr fontId="1" type="noConversion"/>
  </si>
  <si>
    <t>Efficiency</t>
    <phoneticPr fontId="1" type="noConversion"/>
  </si>
  <si>
    <t>Total asset turnover</t>
  </si>
  <si>
    <t xml:space="preserve">Times interest earned </t>
  </si>
  <si>
    <t xml:space="preserve">Book value per ordinary share </t>
  </si>
  <si>
    <t>Dividend</t>
    <phoneticPr fontId="1" type="noConversion"/>
  </si>
  <si>
    <t>Dividend Yield</t>
    <phoneticPr fontId="1" type="noConversion"/>
  </si>
  <si>
    <t xml:space="preserve">Cash flow on total assets </t>
    <phoneticPr fontId="1" type="noConversion"/>
  </si>
  <si>
    <t>Value</t>
    <phoneticPr fontId="1" type="noConversion"/>
  </si>
  <si>
    <t>EPS</t>
  </si>
  <si>
    <t>P/E</t>
  </si>
  <si>
    <t>P/B</t>
  </si>
  <si>
    <t>P/S</t>
    <phoneticPr fontId="1" type="noConversion"/>
  </si>
  <si>
    <t>Discount Dividend Model</t>
    <phoneticPr fontId="1" type="noConversion"/>
  </si>
  <si>
    <t>Dividend per Share</t>
    <phoneticPr fontId="1" type="noConversion"/>
  </si>
  <si>
    <t>Discount Factor</t>
  </si>
  <si>
    <t>PV of Dividend</t>
    <phoneticPr fontId="1" type="noConversion"/>
  </si>
  <si>
    <t>Beta (w/ HSCEI)</t>
    <phoneticPr fontId="1" type="noConversion"/>
  </si>
  <si>
    <t>Terminal Value</t>
    <phoneticPr fontId="1" type="noConversion"/>
  </si>
  <si>
    <t>Risk-free Rate (1-y LPR)</t>
    <phoneticPr fontId="1" type="noConversion"/>
  </si>
  <si>
    <t>Terminal Growth</t>
    <phoneticPr fontId="1" type="noConversion"/>
  </si>
  <si>
    <t>Risk Premium</t>
    <phoneticPr fontId="1" type="noConversion"/>
  </si>
  <si>
    <t>TV Discounted Factor</t>
    <phoneticPr fontId="1" type="noConversion"/>
  </si>
  <si>
    <t>CAPM Required Return</t>
    <phoneticPr fontId="1" type="noConversion"/>
  </si>
  <si>
    <t>PV of Terminal Value</t>
    <phoneticPr fontId="1" type="noConversion"/>
  </si>
  <si>
    <t>Predicted Share Price</t>
    <phoneticPr fontId="1" type="noConversion"/>
  </si>
  <si>
    <t>Today Price (May 13)</t>
    <phoneticPr fontId="1" type="noConversion"/>
  </si>
  <si>
    <t>Potential Upside</t>
    <phoneticPr fontId="1" type="noConversion"/>
  </si>
  <si>
    <t>Date</t>
  </si>
  <si>
    <t>HSCEI Change %</t>
    <phoneticPr fontId="1" type="noConversion"/>
  </si>
  <si>
    <t>1381 Change %</t>
    <phoneticPr fontId="1" type="noConversion"/>
  </si>
  <si>
    <t xml:space="preserve">Everbright Environment </t>
    <phoneticPr fontId="1" type="noConversion"/>
  </si>
  <si>
    <t>Company</t>
    <phoneticPr fontId="1" type="noConversion"/>
  </si>
  <si>
    <t>Operating</t>
    <phoneticPr fontId="1" type="noConversion"/>
  </si>
  <si>
    <t>Building</t>
    <phoneticPr fontId="1" type="noConversion"/>
  </si>
  <si>
    <t xml:space="preserve">Planning </t>
    <phoneticPr fontId="1" type="noConversion"/>
  </si>
  <si>
    <t>Total</t>
    <phoneticPr fontId="1" type="noConversion"/>
  </si>
  <si>
    <t xml:space="preserve">(Building+Planning)/Operating </t>
    <phoneticPr fontId="1" type="noConversion"/>
  </si>
  <si>
    <t>Planning/(Operating+Building)</t>
    <phoneticPr fontId="1" type="noConversion"/>
  </si>
  <si>
    <t>Dynagreen Environmental Protection Group</t>
  </si>
  <si>
    <t>SIIC Environment Holdings</t>
    <phoneticPr fontId="1" type="noConversion"/>
  </si>
  <si>
    <t>Sus Environment</t>
    <phoneticPr fontId="1" type="noConversion"/>
  </si>
  <si>
    <t>China National Environment Protection Group</t>
    <phoneticPr fontId="1" type="noConversion"/>
  </si>
  <si>
    <t>Shenzhen Energy</t>
    <phoneticPr fontId="1" type="noConversion"/>
  </si>
  <si>
    <t>Sanfeng Environment</t>
    <phoneticPr fontId="1" type="noConversion"/>
  </si>
  <si>
    <t>Zheneng Jinjiang Environment</t>
    <phoneticPr fontId="1" type="noConversion"/>
  </si>
  <si>
    <t>Canvest Environmental Protection Group Company</t>
    <phoneticPr fontId="1" type="noConversion"/>
  </si>
  <si>
    <t>Beijing Enterprises Group Company</t>
    <phoneticPr fontId="1" type="noConversion"/>
  </si>
  <si>
    <t>Capital Environment Holding</t>
    <phoneticPr fontId="1" type="noConversion"/>
  </si>
  <si>
    <t>Other</t>
    <phoneticPr fontId="1" type="noConversion"/>
  </si>
  <si>
    <t xml:space="preserve">List of </t>
    <phoneticPr fontId="14" type="noConversion"/>
  </si>
  <si>
    <t>Project Name</t>
    <phoneticPr fontId="14" type="noConversion"/>
  </si>
  <si>
    <t>Location</t>
    <phoneticPr fontId="14" type="noConversion"/>
  </si>
  <si>
    <t>Daily  Processing Capacity</t>
    <phoneticPr fontId="14" type="noConversion"/>
  </si>
  <si>
    <t>Installed Power Generation Capacity</t>
    <phoneticPr fontId="14" type="noConversion"/>
  </si>
  <si>
    <t xml:space="preserve">Waste Management Fee </t>
    <phoneticPr fontId="14" type="noConversion"/>
  </si>
  <si>
    <t>Status</t>
    <phoneticPr fontId="14" type="noConversion"/>
  </si>
  <si>
    <t xml:space="preserve">Eco-Tech I WTE plant </t>
  </si>
  <si>
    <t>Dongguan</t>
  </si>
  <si>
    <t>1,800 tonnes</t>
  </si>
  <si>
    <t>36MW</t>
  </si>
  <si>
    <t>RMB110/tonne</t>
  </si>
  <si>
    <t>In operation</t>
  </si>
  <si>
    <t xml:space="preserve">Eco-Tech II WTE plant </t>
  </si>
  <si>
    <t>1,500 tonnes</t>
  </si>
  <si>
    <t>50MW</t>
  </si>
  <si>
    <t xml:space="preserve">Kewei WTE plant  </t>
  </si>
  <si>
    <t>30MW</t>
  </si>
  <si>
    <t xml:space="preserve">China Scivest I  WTE plant </t>
  </si>
  <si>
    <t>42MW</t>
  </si>
  <si>
    <t xml:space="preserve">China Scivest II  WTE plant </t>
  </si>
  <si>
    <t>1,200 tonnes</t>
  </si>
  <si>
    <t xml:space="preserve">Machong  WTE plant  </t>
  </si>
  <si>
    <t>2,250 tonnes</t>
  </si>
  <si>
    <t>80MW</t>
  </si>
  <si>
    <t xml:space="preserve">Zhanjiang  WTE plant </t>
  </si>
  <si>
    <t>Zhanjiang</t>
  </si>
  <si>
    <t>RMB81.8/tonne</t>
  </si>
  <si>
    <t xml:space="preserve">Qingyuan  WTE plant </t>
  </si>
  <si>
    <t>Qingyuan</t>
  </si>
  <si>
    <t>Phase 1: 1,500 tonnes
Phase 2: 1,000 tonnes</t>
    <phoneticPr fontId="14" type="noConversion"/>
  </si>
  <si>
    <t>RMB88/tonne</t>
  </si>
  <si>
    <t xml:space="preserve">Zhongshan I WTE plant </t>
  </si>
  <si>
    <t>Zhongshan</t>
  </si>
  <si>
    <t>1,040 tonnes</t>
  </si>
  <si>
    <t>24MW</t>
  </si>
  <si>
    <t>RMB93.61/tonne</t>
  </si>
  <si>
    <t xml:space="preserve">Zhongshan II WTE plant </t>
  </si>
  <si>
    <t>70MW</t>
  </si>
  <si>
    <t xml:space="preserve">Lufeng WTE plant  </t>
  </si>
  <si>
    <t>Lufeng</t>
  </si>
  <si>
    <t>Phase 1: 1,200 tonnes
Phase 2: 400 tonnes</t>
    <phoneticPr fontId="14" type="noConversion"/>
  </si>
  <si>
    <t>Phase 1: 30MW
Phase 2: 12MW</t>
    <phoneticPr fontId="14" type="noConversion"/>
  </si>
  <si>
    <t>RMB91.5/tonne</t>
  </si>
  <si>
    <t>Phase 1: In operation
Phase 2: Planning</t>
  </si>
  <si>
    <t xml:space="preserve">Xinyi WTE plant  </t>
  </si>
  <si>
    <t>Xinyi</t>
  </si>
  <si>
    <t>1,000 tonnes</t>
  </si>
  <si>
    <t>RMB79/tonne</t>
  </si>
  <si>
    <t xml:space="preserve">Xuwen WTE plant  </t>
  </si>
  <si>
    <t>Xuwen</t>
  </si>
  <si>
    <t>Phase 1: 500 tonnes
Phase 2: 250 tonnes</t>
    <phoneticPr fontId="14" type="noConversion"/>
  </si>
  <si>
    <t>Phase 1: 12MW
Phase 2: 6MW</t>
    <phoneticPr fontId="14" type="noConversion"/>
  </si>
  <si>
    <t>RMB80.5/tonne</t>
  </si>
  <si>
    <t xml:space="preserve">Dianbai WTE plant   </t>
  </si>
  <si>
    <t>Maoming</t>
  </si>
  <si>
    <t>Phase 1: 1,500 tonnes
Phase 2: 750 tonnes</t>
    <phoneticPr fontId="14" type="noConversion"/>
  </si>
  <si>
    <t>Phase 1: 25MW
Phase 2: 25MW</t>
    <phoneticPr fontId="14" type="noConversion"/>
  </si>
  <si>
    <t>RMB89.5/tonne</t>
  </si>
  <si>
    <t xml:space="preserve">Shaoguan  WTE plant </t>
  </si>
  <si>
    <t>Shaoguan</t>
  </si>
  <si>
    <t>Phase 1: 700 tonnes
Phase 2: 350 tonnes</t>
    <phoneticPr fontId="14" type="noConversion"/>
  </si>
  <si>
    <t>RMB88.88/tonne</t>
  </si>
  <si>
    <t xml:space="preserve">Huizhou WTE plant  </t>
  </si>
  <si>
    <t>Huizhou</t>
  </si>
  <si>
    <t>Planning</t>
  </si>
  <si>
    <t xml:space="preserve">Laibin WTE plant  </t>
  </si>
  <si>
    <t>Laibin</t>
  </si>
  <si>
    <t>Phase 1: 1,000 tonnes
Phase 2: 500 tonnes</t>
    <phoneticPr fontId="14" type="noConversion"/>
  </si>
  <si>
    <t>Phase
Phase</t>
  </si>
  <si>
    <t>RMB95/tonne</t>
  </si>
  <si>
    <t xml:space="preserve">Beiliu WTE plant  </t>
  </si>
  <si>
    <t>Beiliu</t>
  </si>
  <si>
    <t>RMB83/tonne
(Calculated on
weighted average
basis)</t>
  </si>
  <si>
    <t xml:space="preserve">Xingyi WTE plant  </t>
  </si>
  <si>
    <t>Xingyi</t>
  </si>
  <si>
    <t>Phase 1: 700 tonnes
Phase 2: 500 tonnes</t>
    <phoneticPr fontId="14" type="noConversion"/>
  </si>
  <si>
    <t>Phase 1: 12MW
Phase 2: 12MW</t>
    <phoneticPr fontId="14" type="noConversion"/>
  </si>
  <si>
    <t>RMB80/tonne</t>
  </si>
  <si>
    <t xml:space="preserve">Qiandongnan Prefecture South Area WTE plant  </t>
  </si>
  <si>
    <t>Liping</t>
  </si>
  <si>
    <t>15MW</t>
  </si>
  <si>
    <t>RMB66.8/tonne</t>
  </si>
  <si>
    <t xml:space="preserve">Zaozhuang WTE plant </t>
  </si>
  <si>
    <t>Zaozhuang</t>
  </si>
  <si>
    <t>Phase 1: 1,000 tonnes
Phase 2: 800 tonnes</t>
    <phoneticPr fontId="14" type="noConversion"/>
  </si>
  <si>
    <t>Phase 1: 15MW
Phase 2: 15MW</t>
    <phoneticPr fontId="14" type="noConversion"/>
  </si>
  <si>
    <t>RMB49/tonne
(Under negotiation)</t>
  </si>
  <si>
    <t xml:space="preserve">Shen County WTE plant </t>
  </si>
  <si>
    <t>Shen County,
Liaocheng</t>
    <phoneticPr fontId="14" type="noConversion"/>
  </si>
  <si>
    <t>RMB70/tonne</t>
  </si>
  <si>
    <t xml:space="preserve">Baoshan WTE  plant </t>
  </si>
  <si>
    <t>Shanghai</t>
  </si>
  <si>
    <t>3,800 tonnes</t>
  </si>
  <si>
    <t>126MW</t>
  </si>
  <si>
    <t>Under negotiation</t>
  </si>
  <si>
    <t>Under construction</t>
  </si>
  <si>
    <t xml:space="preserve">Jingjiang WTE plant </t>
  </si>
  <si>
    <t>Jingjiang</t>
  </si>
  <si>
    <t>Phase 1: 800 tonnes
Phase 2: 400 tonnes</t>
    <phoneticPr fontId="14" type="noConversion"/>
  </si>
  <si>
    <t>Phase 1: 15MW
Phase 2: 7.5MW</t>
    <phoneticPr fontId="14" type="noConversion"/>
  </si>
  <si>
    <t>RMB67.8/tonne</t>
  </si>
  <si>
    <t xml:space="preserve">Taizhou WTE plant </t>
  </si>
  <si>
    <t>Taizhou</t>
  </si>
  <si>
    <t>850 tonnes</t>
  </si>
  <si>
    <t>18MW</t>
  </si>
  <si>
    <t>RMB79.9/tonne</t>
  </si>
  <si>
    <t xml:space="preserve">Jianyang WTE plant </t>
  </si>
  <si>
    <t>Jianyang</t>
  </si>
  <si>
    <t>Phase 1: 1,500 tonnes
Phase 2: 1,500 tonnes</t>
    <phoneticPr fontId="14" type="noConversion"/>
  </si>
  <si>
    <t>Phase 1: 18MW
Phase 2: 18MW</t>
    <phoneticPr fontId="14" type="noConversion"/>
  </si>
  <si>
    <t>RMB93.1/tonne</t>
  </si>
  <si>
    <t xml:space="preserve">Ruili WTE plant  </t>
  </si>
  <si>
    <t>Ruili</t>
  </si>
  <si>
    <t>Phase 1: 600 tonnes
Phase 2: 400 tonnes</t>
    <phoneticPr fontId="14" type="noConversion"/>
  </si>
  <si>
    <t>Phase 1: 15MW
Phase 2: Planning</t>
    <phoneticPr fontId="14" type="noConversion"/>
  </si>
  <si>
    <t>RMB75/tonne</t>
  </si>
  <si>
    <t xml:space="preserve">Xiangyun WTE plant </t>
  </si>
  <si>
    <t>Xiangyun</t>
  </si>
  <si>
    <t>Phase 1: 500 tonnes
Phase 2: 500 tonnes</t>
    <phoneticPr fontId="14" type="noConversion"/>
  </si>
  <si>
    <t>RMB56.8/tonne</t>
  </si>
  <si>
    <t xml:space="preserve">Mancheng WTE plant </t>
  </si>
  <si>
    <t>Mancheng</t>
  </si>
  <si>
    <t>RMB76.8/tonne</t>
  </si>
  <si>
    <t xml:space="preserve">Yi County WTE plant </t>
  </si>
  <si>
    <t>Yi County</t>
  </si>
  <si>
    <t>800 tonnes</t>
  </si>
  <si>
    <t>RMB106.68/tonne</t>
  </si>
  <si>
    <t xml:space="preserve">Linfen WTE plant  </t>
  </si>
  <si>
    <t>Linfen</t>
  </si>
  <si>
    <t>RMB94.6/tonne</t>
  </si>
  <si>
    <t xml:space="preserve">Hunyuan WTE plant </t>
  </si>
  <si>
    <t>Hunyuan</t>
  </si>
  <si>
    <t>Phase 1: 9MW
Phase 2: 9MW</t>
    <phoneticPr fontId="14" type="noConversion"/>
  </si>
  <si>
    <t>RMB57.5/tonne</t>
  </si>
  <si>
    <t xml:space="preserve">Yingkou WTE plant </t>
  </si>
  <si>
    <t>Yingkou</t>
  </si>
  <si>
    <t>Phase 1: 1,500 tonnes 
Phase 2: 750 tonnes</t>
    <phoneticPr fontId="14" type="noConversion"/>
  </si>
  <si>
    <t>Phase 1: 30MW 
Phase 2: 15MW</t>
    <phoneticPr fontId="14" type="noConversion"/>
  </si>
  <si>
    <t>RMB66/tonne</t>
  </si>
  <si>
    <t>Phase 1: In operation Phase 2: Planning</t>
  </si>
  <si>
    <t xml:space="preserve">Changning WTE plant </t>
  </si>
  <si>
    <t>Changning</t>
  </si>
  <si>
    <t>RMB61.8/tonne</t>
  </si>
  <si>
    <t xml:space="preserve">Xinfeng WTE plant </t>
  </si>
  <si>
    <t>Xinfeng</t>
  </si>
  <si>
    <t>Phase 1: 400 tonnes
Phase 2: 400 tonnes</t>
    <phoneticPr fontId="14" type="noConversion"/>
  </si>
  <si>
    <t>In operation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</si>
</sst>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0.000000"/>
    <numFmt numFmtId="169" formatCode="0.0000_);[Red]\(0.0000\)"/>
    <numFmt numFmtId="170" formatCode="0.0"/>
    <numFmt numFmtId="171" formatCode="0.000%"/>
    <numFmt numFmtId="172" formatCode="0.000_);[Red]\(0.000\)"/>
    <numFmt numFmtId="173" formatCode="_-* #,##0.0000_-;\-* #,##0.0000_-;_-* &quot;-&quot;_-;_-@_-"/>
    <numFmt numFmtId="174" formatCode="0.000"/>
    <numFmt numFmtId="175" formatCode="_-* #,##0_-;\-* #,##0_-;_-* &quot;-&quot;??_-;_-@_-"/>
    <numFmt numFmtId="176" formatCode="_-* #,##0.000_-;\-* #,##0.000_-;_-* &quot;-&quot;??_-;_-@_-"/>
    <numFmt numFmtId="177" formatCode="0.00_);[Red]\(0.00\)"/>
    <numFmt numFmtId="178" formatCode="0_);[Red]\(0\)"/>
    <numFmt numFmtId="179" formatCode="_-* #,##0.000_-;\-* #,##0.000_-;_-* &quot;-&quot;_-;_-@_-"/>
    <numFmt numFmtId="180" formatCode="0.000_ "/>
    <numFmt numFmtId="181" formatCode="#,##0.000_);[Red]\(#,##0.000\)"/>
    <numFmt numFmtId="182" formatCode="0.0000%"/>
    <numFmt numFmtId="183" formatCode="0.0%"/>
    <numFmt numFmtId="184" formatCode="0.000000%"/>
    <numFmt numFmtId="185" formatCode="_-* #,##0.00_-;\-* #,##0.00_-;_-* &quot;-&quot;_-;_-@_-"/>
  </numFmts>
  <fonts count="1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細明體"/>
      <family val="1"/>
      <charset val="136"/>
    </font>
    <font>
      <b/>
      <sz val="11"/>
      <color theme="1"/>
      <name val="新細明體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新細明體"/>
      <family val="2"/>
      <scheme val="minor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1"/>
      <color rgb="FF262626"/>
      <name val="Times New Roman"/>
      <family val="1"/>
    </font>
    <font>
      <sz val="9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</cellStyleXfs>
  <cellXfs count="179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10" fontId="0" fillId="0" borderId="0" xfId="2" applyNumberFormat="1" applyFont="1" applyAlignment="1"/>
    <xf numFmtId="0" fontId="5" fillId="0" borderId="0" xfId="0" applyFont="1"/>
    <xf numFmtId="165" fontId="4" fillId="0" borderId="0" xfId="1" applyFont="1" applyAlignment="1"/>
    <xf numFmtId="10" fontId="4" fillId="0" borderId="0" xfId="2" applyNumberFormat="1" applyFont="1" applyAlignment="1"/>
    <xf numFmtId="172" fontId="4" fillId="0" borderId="0" xfId="2" applyNumberFormat="1" applyFont="1" applyAlignment="1"/>
    <xf numFmtId="169" fontId="4" fillId="0" borderId="0" xfId="2" applyNumberFormat="1" applyFont="1" applyAlignment="1"/>
    <xf numFmtId="168" fontId="4" fillId="0" borderId="0" xfId="0" applyNumberFormat="1" applyFont="1"/>
    <xf numFmtId="165" fontId="4" fillId="0" borderId="0" xfId="0" applyNumberFormat="1" applyFont="1"/>
    <xf numFmtId="0" fontId="8" fillId="0" borderId="0" xfId="0" applyFont="1"/>
    <xf numFmtId="170" fontId="4" fillId="0" borderId="0" xfId="0" applyNumberFormat="1" applyFont="1"/>
    <xf numFmtId="1" fontId="4" fillId="0" borderId="0" xfId="0" applyNumberFormat="1" applyFont="1"/>
    <xf numFmtId="171" fontId="4" fillId="0" borderId="0" xfId="2" applyNumberFormat="1" applyFont="1" applyAlignment="1"/>
    <xf numFmtId="173" fontId="4" fillId="0" borderId="0" xfId="0" applyNumberFormat="1" applyFont="1"/>
    <xf numFmtId="10" fontId="4" fillId="0" borderId="0" xfId="0" applyNumberFormat="1" applyFont="1"/>
    <xf numFmtId="167" fontId="4" fillId="0" borderId="0" xfId="0" applyNumberFormat="1" applyFont="1"/>
    <xf numFmtId="170" fontId="9" fillId="0" borderId="0" xfId="0" applyNumberFormat="1" applyFont="1"/>
    <xf numFmtId="1" fontId="9" fillId="0" borderId="0" xfId="0" applyNumberFormat="1" applyFont="1"/>
    <xf numFmtId="10" fontId="9" fillId="0" borderId="0" xfId="2" applyNumberFormat="1" applyFont="1" applyAlignment="1"/>
    <xf numFmtId="171" fontId="9" fillId="0" borderId="0" xfId="2" applyNumberFormat="1" applyFont="1" applyAlignment="1"/>
    <xf numFmtId="0" fontId="9" fillId="0" borderId="0" xfId="0" applyFont="1" applyAlignment="1">
      <alignment horizontal="right"/>
    </xf>
    <xf numFmtId="0" fontId="9" fillId="0" borderId="0" xfId="0" applyFont="1"/>
    <xf numFmtId="171" fontId="9" fillId="0" borderId="0" xfId="2" applyNumberFormat="1" applyFont="1" applyFill="1" applyAlignment="1"/>
    <xf numFmtId="165" fontId="9" fillId="0" borderId="0" xfId="0" applyNumberFormat="1" applyFont="1"/>
    <xf numFmtId="173" fontId="9" fillId="0" borderId="0" xfId="0" applyNumberFormat="1" applyFont="1"/>
    <xf numFmtId="10" fontId="9" fillId="0" borderId="0" xfId="0" applyNumberFormat="1" applyFont="1"/>
    <xf numFmtId="167" fontId="9" fillId="0" borderId="0" xfId="0" applyNumberFormat="1" applyFont="1"/>
    <xf numFmtId="10" fontId="5" fillId="0" borderId="0" xfId="2" applyNumberFormat="1" applyFont="1" applyAlignment="1"/>
    <xf numFmtId="167" fontId="0" fillId="0" borderId="0" xfId="0" applyNumberFormat="1"/>
    <xf numFmtId="9" fontId="4" fillId="0" borderId="0" xfId="2" applyFont="1" applyAlignment="1"/>
    <xf numFmtId="0" fontId="10" fillId="0" borderId="0" xfId="0" applyFont="1"/>
    <xf numFmtId="10" fontId="8" fillId="0" borderId="0" xfId="2" applyNumberFormat="1" applyFont="1" applyAlignment="1"/>
    <xf numFmtId="0" fontId="11" fillId="0" borderId="0" xfId="0" applyFont="1"/>
    <xf numFmtId="9" fontId="9" fillId="0" borderId="0" xfId="2" applyFont="1" applyAlignment="1"/>
    <xf numFmtId="174" fontId="4" fillId="0" borderId="0" xfId="0" applyNumberFormat="1" applyFont="1"/>
    <xf numFmtId="174" fontId="9" fillId="0" borderId="0" xfId="0" applyNumberFormat="1" applyFont="1"/>
    <xf numFmtId="175" fontId="4" fillId="0" borderId="0" xfId="0" applyNumberFormat="1" applyFont="1"/>
    <xf numFmtId="175" fontId="9" fillId="0" borderId="0" xfId="0" applyNumberFormat="1" applyFont="1"/>
    <xf numFmtId="10" fontId="5" fillId="0" borderId="0" xfId="2" applyNumberFormat="1" applyFont="1" applyAlignment="1">
      <alignment horizontal="right"/>
    </xf>
    <xf numFmtId="176" fontId="4" fillId="0" borderId="0" xfId="0" applyNumberFormat="1" applyFont="1"/>
    <xf numFmtId="176" fontId="9" fillId="0" borderId="0" xfId="0" applyNumberFormat="1" applyFont="1"/>
    <xf numFmtId="165" fontId="9" fillId="0" borderId="0" xfId="1" applyFont="1" applyAlignment="1"/>
    <xf numFmtId="167" fontId="4" fillId="0" borderId="0" xfId="3" applyFont="1" applyAlignment="1"/>
    <xf numFmtId="167" fontId="4" fillId="0" borderId="0" xfId="3" applyFont="1" applyAlignment="1">
      <alignment horizontal="right"/>
    </xf>
    <xf numFmtId="167" fontId="9" fillId="0" borderId="0" xfId="3" applyFont="1" applyAlignment="1"/>
    <xf numFmtId="178" fontId="4" fillId="0" borderId="0" xfId="2" applyNumberFormat="1" applyFont="1" applyAlignment="1"/>
    <xf numFmtId="178" fontId="9" fillId="0" borderId="0" xfId="2" applyNumberFormat="1" applyFont="1" applyAlignment="1"/>
    <xf numFmtId="2" fontId="4" fillId="0" borderId="0" xfId="0" applyNumberFormat="1" applyFont="1"/>
    <xf numFmtId="2" fontId="9" fillId="0" borderId="0" xfId="0" applyNumberFormat="1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5" fillId="2" borderId="0" xfId="0" applyFont="1" applyFill="1"/>
    <xf numFmtId="0" fontId="4" fillId="2" borderId="0" xfId="0" applyFont="1" applyFill="1"/>
    <xf numFmtId="0" fontId="8" fillId="2" borderId="0" xfId="0" applyFont="1" applyFill="1"/>
    <xf numFmtId="38" fontId="4" fillId="2" borderId="0" xfId="4" applyNumberFormat="1" applyFont="1" applyFill="1" applyAlignment="1"/>
    <xf numFmtId="38" fontId="8" fillId="2" borderId="0" xfId="4" applyNumberFormat="1" applyFont="1" applyFill="1" applyAlignment="1"/>
    <xf numFmtId="38" fontId="4" fillId="2" borderId="1" xfId="0" applyNumberFormat="1" applyFont="1" applyFill="1" applyBorder="1"/>
    <xf numFmtId="38" fontId="8" fillId="2" borderId="0" xfId="0" applyNumberFormat="1" applyFont="1" applyFill="1"/>
    <xf numFmtId="38" fontId="4" fillId="2" borderId="1" xfId="4" applyNumberFormat="1" applyFont="1" applyFill="1" applyBorder="1" applyAlignment="1"/>
    <xf numFmtId="38" fontId="8" fillId="2" borderId="1" xfId="4" applyNumberFormat="1" applyFont="1" applyFill="1" applyBorder="1" applyAlignment="1"/>
    <xf numFmtId="38" fontId="4" fillId="2" borderId="0" xfId="4" applyNumberFormat="1" applyFont="1" applyFill="1" applyBorder="1" applyAlignment="1"/>
    <xf numFmtId="38" fontId="8" fillId="2" borderId="0" xfId="4" applyNumberFormat="1" applyFont="1" applyFill="1" applyBorder="1" applyAlignment="1"/>
    <xf numFmtId="39" fontId="4" fillId="2" borderId="0" xfId="4" applyNumberFormat="1" applyFont="1" applyFill="1" applyAlignment="1"/>
    <xf numFmtId="39" fontId="8" fillId="2" borderId="0" xfId="4" applyNumberFormat="1" applyFont="1" applyFill="1" applyAlignment="1"/>
    <xf numFmtId="0" fontId="12" fillId="3" borderId="1" xfId="0" applyFont="1" applyFill="1" applyBorder="1"/>
    <xf numFmtId="0" fontId="12" fillId="3" borderId="1" xfId="0" applyFont="1" applyFill="1" applyBorder="1" applyAlignment="1">
      <alignment horizontal="right"/>
    </xf>
    <xf numFmtId="0" fontId="8" fillId="3" borderId="0" xfId="0" applyFont="1" applyFill="1"/>
    <xf numFmtId="0" fontId="12" fillId="3" borderId="0" xfId="0" applyFont="1" applyFill="1"/>
    <xf numFmtId="37" fontId="8" fillId="3" borderId="0" xfId="0" applyNumberFormat="1" applyFont="1" applyFill="1"/>
    <xf numFmtId="10" fontId="8" fillId="3" borderId="0" xfId="2" applyNumberFormat="1" applyFont="1" applyFill="1" applyAlignment="1"/>
    <xf numFmtId="37" fontId="8" fillId="3" borderId="1" xfId="0" applyNumberFormat="1" applyFont="1" applyFill="1" applyBorder="1"/>
    <xf numFmtId="10" fontId="8" fillId="3" borderId="0" xfId="2" applyNumberFormat="1" applyFont="1" applyFill="1" applyAlignment="1">
      <alignment horizontal="right"/>
    </xf>
    <xf numFmtId="0" fontId="5" fillId="3" borderId="0" xfId="0" applyFont="1" applyFill="1"/>
    <xf numFmtId="37" fontId="4" fillId="3" borderId="0" xfId="0" applyNumberFormat="1" applyFont="1" applyFill="1"/>
    <xf numFmtId="10" fontId="4" fillId="3" borderId="0" xfId="2" applyNumberFormat="1" applyFont="1" applyFill="1" applyAlignment="1"/>
    <xf numFmtId="0" fontId="5" fillId="3" borderId="1" xfId="0" applyFont="1" applyFill="1" applyBorder="1"/>
    <xf numFmtId="37" fontId="4" fillId="3" borderId="1" xfId="0" applyNumberFormat="1" applyFont="1" applyFill="1" applyBorder="1"/>
    <xf numFmtId="174" fontId="4" fillId="2" borderId="0" xfId="0" applyNumberFormat="1" applyFont="1" applyFill="1"/>
    <xf numFmtId="10" fontId="4" fillId="2" borderId="0" xfId="2" applyNumberFormat="1" applyFont="1" applyFill="1" applyAlignment="1"/>
    <xf numFmtId="9" fontId="4" fillId="2" borderId="0" xfId="0" applyNumberFormat="1" applyFont="1" applyFill="1"/>
    <xf numFmtId="179" fontId="4" fillId="0" borderId="0" xfId="1" applyNumberFormat="1" applyFont="1" applyAlignment="1"/>
    <xf numFmtId="10" fontId="4" fillId="2" borderId="1" xfId="2" applyNumberFormat="1" applyFont="1" applyFill="1" applyBorder="1" applyAlignment="1"/>
    <xf numFmtId="9" fontId="4" fillId="2" borderId="1" xfId="0" applyNumberFormat="1" applyFont="1" applyFill="1" applyBorder="1"/>
    <xf numFmtId="179" fontId="9" fillId="0" borderId="0" xfId="1" applyNumberFormat="1" applyFont="1" applyAlignment="1"/>
    <xf numFmtId="0" fontId="5" fillId="0" borderId="1" xfId="0" applyFont="1" applyBorder="1"/>
    <xf numFmtId="0" fontId="4" fillId="0" borderId="1" xfId="0" applyFont="1" applyBorder="1"/>
    <xf numFmtId="0" fontId="12" fillId="4" borderId="1" xfId="0" applyFont="1" applyFill="1" applyBorder="1"/>
    <xf numFmtId="0" fontId="12" fillId="4" borderId="1" xfId="0" applyFont="1" applyFill="1" applyBorder="1" applyAlignment="1">
      <alignment horizontal="right"/>
    </xf>
    <xf numFmtId="0" fontId="4" fillId="4" borderId="0" xfId="0" applyFont="1" applyFill="1"/>
    <xf numFmtId="165" fontId="4" fillId="4" borderId="0" xfId="1" applyFont="1" applyFill="1" applyAlignment="1"/>
    <xf numFmtId="165" fontId="4" fillId="4" borderId="1" xfId="1" applyFont="1" applyFill="1" applyBorder="1" applyAlignment="1"/>
    <xf numFmtId="165" fontId="4" fillId="4" borderId="0" xfId="0" applyNumberFormat="1" applyFont="1" applyFill="1"/>
    <xf numFmtId="0" fontId="5" fillId="4" borderId="0" xfId="0" applyFont="1" applyFill="1" applyAlignment="1">
      <alignment horizontal="left" indent="2"/>
    </xf>
    <xf numFmtId="0" fontId="5" fillId="4" borderId="1" xfId="0" applyFont="1" applyFill="1" applyBorder="1" applyAlignment="1">
      <alignment horizontal="left" indent="1"/>
    </xf>
    <xf numFmtId="0" fontId="4" fillId="4" borderId="0" xfId="0" applyFont="1" applyFill="1" applyAlignment="1">
      <alignment horizontal="left" indent="1"/>
    </xf>
    <xf numFmtId="181" fontId="4" fillId="0" borderId="0" xfId="0" applyNumberFormat="1" applyFont="1"/>
    <xf numFmtId="165" fontId="4" fillId="4" borderId="1" xfId="0" applyNumberFormat="1" applyFont="1" applyFill="1" applyBorder="1"/>
    <xf numFmtId="0" fontId="5" fillId="4" borderId="0" xfId="0" applyFont="1" applyFill="1" applyAlignment="1">
      <alignment horizontal="left" indent="1"/>
    </xf>
    <xf numFmtId="165" fontId="4" fillId="4" borderId="0" xfId="1" applyFont="1" applyFill="1" applyBorder="1" applyAlignment="1"/>
    <xf numFmtId="176" fontId="9" fillId="0" borderId="0" xfId="0" applyNumberFormat="1" applyFont="1" applyAlignment="1">
      <alignment horizontal="left" indent="9"/>
    </xf>
    <xf numFmtId="0" fontId="4" fillId="0" borderId="0" xfId="0" applyFont="1" applyAlignment="1">
      <alignment horizontal="right"/>
    </xf>
    <xf numFmtId="180" fontId="0" fillId="0" borderId="0" xfId="0" applyNumberFormat="1"/>
    <xf numFmtId="180" fontId="4" fillId="0" borderId="0" xfId="0" applyNumberFormat="1" applyFont="1"/>
    <xf numFmtId="165" fontId="5" fillId="0" borderId="0" xfId="1" applyFont="1" applyAlignment="1"/>
    <xf numFmtId="0" fontId="9" fillId="5" borderId="0" xfId="0" applyFont="1" applyFill="1"/>
    <xf numFmtId="174" fontId="9" fillId="5" borderId="0" xfId="0" applyNumberFormat="1" applyFont="1" applyFill="1"/>
    <xf numFmtId="180" fontId="9" fillId="0" borderId="0" xfId="0" applyNumberFormat="1" applyFont="1"/>
    <xf numFmtId="38" fontId="4" fillId="0" borderId="0" xfId="0" applyNumberFormat="1" applyFont="1"/>
    <xf numFmtId="0" fontId="12" fillId="6" borderId="1" xfId="0" applyFont="1" applyFill="1" applyBorder="1"/>
    <xf numFmtId="0" fontId="12" fillId="6" borderId="1" xfId="0" applyFont="1" applyFill="1" applyBorder="1" applyAlignment="1">
      <alignment horizontal="right"/>
    </xf>
    <xf numFmtId="0" fontId="5" fillId="6" borderId="0" xfId="0" applyFont="1" applyFill="1"/>
    <xf numFmtId="38" fontId="4" fillId="6" borderId="0" xfId="0" applyNumberFormat="1" applyFont="1" applyFill="1"/>
    <xf numFmtId="38" fontId="4" fillId="2" borderId="0" xfId="5" applyNumberFormat="1" applyFont="1" applyFill="1" applyAlignment="1"/>
    <xf numFmtId="182" fontId="4" fillId="0" borderId="0" xfId="0" applyNumberFormat="1" applyFont="1"/>
    <xf numFmtId="177" fontId="4" fillId="0" borderId="0" xfId="0" applyNumberFormat="1" applyFont="1"/>
    <xf numFmtId="0" fontId="12" fillId="7" borderId="1" xfId="0" applyFont="1" applyFill="1" applyBorder="1"/>
    <xf numFmtId="0" fontId="12" fillId="7" borderId="1" xfId="0" applyFont="1" applyFill="1" applyBorder="1" applyAlignment="1">
      <alignment horizontal="right"/>
    </xf>
    <xf numFmtId="9" fontId="4" fillId="0" borderId="0" xfId="0" applyNumberFormat="1" applyFont="1"/>
    <xf numFmtId="183" fontId="0" fillId="0" borderId="0" xfId="2" applyNumberFormat="1" applyFont="1" applyAlignment="1"/>
    <xf numFmtId="184" fontId="4" fillId="0" borderId="0" xfId="0" applyNumberFormat="1" applyFont="1"/>
    <xf numFmtId="0" fontId="12" fillId="6" borderId="0" xfId="0" applyFont="1" applyFill="1"/>
    <xf numFmtId="0" fontId="12" fillId="6" borderId="0" xfId="0" applyFont="1" applyFill="1" applyAlignment="1">
      <alignment horizontal="right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72" fontId="0" fillId="0" borderId="0" xfId="0" applyNumberFormat="1"/>
    <xf numFmtId="0" fontId="5" fillId="8" borderId="0" xfId="0" applyFont="1" applyFill="1"/>
    <xf numFmtId="0" fontId="4" fillId="8" borderId="0" xfId="0" applyFont="1" applyFill="1"/>
    <xf numFmtId="0" fontId="13" fillId="9" borderId="0" xfId="0" applyFont="1" applyFill="1"/>
    <xf numFmtId="0" fontId="12" fillId="10" borderId="1" xfId="0" applyFont="1" applyFill="1" applyBorder="1" applyAlignment="1">
      <alignment horizontal="right"/>
    </xf>
    <xf numFmtId="0" fontId="4" fillId="10" borderId="0" xfId="0" applyFont="1" applyFill="1"/>
    <xf numFmtId="181" fontId="4" fillId="10" borderId="0" xfId="0" applyNumberFormat="1" applyFont="1" applyFill="1"/>
    <xf numFmtId="10" fontId="4" fillId="10" borderId="0" xfId="0" applyNumberFormat="1" applyFont="1" applyFill="1"/>
    <xf numFmtId="172" fontId="4" fillId="10" borderId="0" xfId="2" applyNumberFormat="1" applyFont="1" applyFill="1" applyAlignment="1"/>
    <xf numFmtId="172" fontId="4" fillId="10" borderId="0" xfId="0" applyNumberFormat="1" applyFont="1" applyFill="1"/>
    <xf numFmtId="181" fontId="8" fillId="10" borderId="0" xfId="4" applyNumberFormat="1" applyFont="1" applyFill="1" applyBorder="1" applyAlignment="1"/>
    <xf numFmtId="174" fontId="4" fillId="10" borderId="0" xfId="0" applyNumberFormat="1" applyFont="1" applyFill="1"/>
    <xf numFmtId="2" fontId="4" fillId="10" borderId="0" xfId="0" applyNumberFormat="1" applyFont="1" applyFill="1"/>
    <xf numFmtId="10" fontId="4" fillId="10" borderId="0" xfId="2" applyNumberFormat="1" applyFont="1" applyFill="1" applyAlignment="1"/>
    <xf numFmtId="37" fontId="4" fillId="10" borderId="0" xfId="0" applyNumberFormat="1" applyFont="1" applyFill="1"/>
    <xf numFmtId="177" fontId="4" fillId="10" borderId="0" xfId="2" applyNumberFormat="1" applyFont="1" applyFill="1" applyAlignment="1"/>
    <xf numFmtId="9" fontId="4" fillId="10" borderId="0" xfId="2" applyFont="1" applyFill="1" applyAlignment="1"/>
    <xf numFmtId="0" fontId="12" fillId="10" borderId="0" xfId="0" applyFont="1" applyFill="1" applyAlignment="1">
      <alignment horizontal="right"/>
    </xf>
    <xf numFmtId="40" fontId="4" fillId="0" borderId="0" xfId="0" applyNumberFormat="1" applyFont="1"/>
    <xf numFmtId="0" fontId="4" fillId="11" borderId="0" xfId="0" applyFont="1" applyFill="1"/>
    <xf numFmtId="0" fontId="5" fillId="10" borderId="1" xfId="0" applyFont="1" applyFill="1" applyBorder="1"/>
    <xf numFmtId="0" fontId="4" fillId="12" borderId="0" xfId="0" applyFont="1" applyFill="1"/>
    <xf numFmtId="174" fontId="4" fillId="12" borderId="0" xfId="0" applyNumberFormat="1" applyFont="1" applyFill="1"/>
    <xf numFmtId="2" fontId="4" fillId="2" borderId="0" xfId="0" applyNumberFormat="1" applyFont="1" applyFill="1"/>
    <xf numFmtId="9" fontId="4" fillId="2" borderId="1" xfId="2" applyFont="1" applyFill="1" applyBorder="1" applyAlignment="1"/>
    <xf numFmtId="9" fontId="0" fillId="0" borderId="0" xfId="2" applyFont="1" applyAlignment="1"/>
    <xf numFmtId="0" fontId="4" fillId="3" borderId="0" xfId="0" applyFont="1" applyFill="1"/>
    <xf numFmtId="1" fontId="4" fillId="3" borderId="0" xfId="0" applyNumberFormat="1" applyFont="1" applyFill="1"/>
    <xf numFmtId="9" fontId="4" fillId="3" borderId="0" xfId="2" applyFont="1" applyFill="1" applyAlignment="1"/>
    <xf numFmtId="1" fontId="4" fillId="3" borderId="0" xfId="0" applyNumberFormat="1" applyFont="1" applyFill="1" applyAlignment="1">
      <alignment horizontal="right"/>
    </xf>
    <xf numFmtId="9" fontId="4" fillId="4" borderId="0" xfId="2" applyFont="1" applyFill="1" applyBorder="1" applyAlignment="1"/>
    <xf numFmtId="175" fontId="0" fillId="0" borderId="0" xfId="0" applyNumberFormat="1"/>
    <xf numFmtId="0" fontId="4" fillId="4" borderId="0" xfId="0" applyFont="1" applyFill="1" applyAlignment="1">
      <alignment horizontal="right"/>
    </xf>
    <xf numFmtId="175" fontId="4" fillId="4" borderId="0" xfId="0" applyNumberFormat="1" applyFont="1" applyFill="1"/>
    <xf numFmtId="0" fontId="5" fillId="6" borderId="0" xfId="0" applyFont="1" applyFill="1" applyAlignment="1">
      <alignment horizontal="left"/>
    </xf>
    <xf numFmtId="0" fontId="5" fillId="6" borderId="0" xfId="0" applyFont="1" applyFill="1" applyAlignment="1">
      <alignment horizontal="right"/>
    </xf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right"/>
    </xf>
    <xf numFmtId="178" fontId="4" fillId="6" borderId="0" xfId="0" applyNumberFormat="1" applyFont="1" applyFill="1" applyAlignment="1">
      <alignment horizontal="right"/>
    </xf>
    <xf numFmtId="9" fontId="4" fillId="0" borderId="0" xfId="2" applyFont="1" applyFill="1" applyAlignment="1"/>
    <xf numFmtId="183" fontId="4" fillId="0" borderId="0" xfId="2" applyNumberFormat="1" applyFont="1" applyAlignment="1"/>
    <xf numFmtId="0" fontId="12" fillId="7" borderId="0" xfId="0" applyFont="1" applyFill="1"/>
    <xf numFmtId="0" fontId="12" fillId="7" borderId="0" xfId="0" applyFont="1" applyFill="1" applyAlignment="1">
      <alignment horizontal="right"/>
    </xf>
    <xf numFmtId="0" fontId="5" fillId="12" borderId="0" xfId="0" applyFont="1" applyFill="1"/>
    <xf numFmtId="0" fontId="5" fillId="11" borderId="0" xfId="0" applyFont="1" applyFill="1"/>
    <xf numFmtId="183" fontId="4" fillId="0" borderId="0" xfId="2" applyNumberFormat="1" applyFont="1" applyFill="1" applyAlignme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85" fontId="4" fillId="0" borderId="0" xfId="0" applyNumberFormat="1" applyFont="1" applyAlignment="1">
      <alignment horizontal="left" indent="1"/>
    </xf>
  </cellXfs>
  <cellStyles count="6">
    <cellStyle name="Comma" xfId="3" builtinId="3"/>
    <cellStyle name="Comma [0]" xfId="1" builtinId="6"/>
    <cellStyle name="Currency" xfId="4" builtinId="4"/>
    <cellStyle name="Currency [0]" xfId="5" builtinId="7"/>
    <cellStyle name="Normal" xfId="0" builtinId="0"/>
    <cellStyle name="Percent" xfId="2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Adjusted</a:t>
            </a:r>
            <a:r>
              <a:rPr lang="en-US" altLang="zh-TW" baseline="0"/>
              <a:t> Revenue by Segment (thousand HKD)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9B-482C-9FA8-9EBE565C6845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A-4AAB-8AB8-10FA5FA255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91B-4F0B-968A-E7FAF513ADD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91B-4F0B-968A-E7FAF513AD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'Company Historical'!$L$1:$R$1</c15:sqref>
                  </c15:fullRef>
                </c:ext>
              </c:extLst>
              <c:f>('Company Historical'!$L$1,'Company Historical'!$O$1,'Company Historical'!$R$1)</c:f>
              <c:strCache>
                <c:ptCount val="3"/>
                <c:pt idx="0">
                  <c:v>Sales of electricity (k HKD)</c:v>
                </c:pt>
                <c:pt idx="1">
                  <c:v>Waste Management Revenue (k HKD)</c:v>
                </c:pt>
                <c:pt idx="2">
                  <c:v>Other Revenue Ex. BOT (k HKD)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'Company Historical'!$L$12:$S$12</c15:sqref>
                  </c15:fullRef>
                </c:ext>
              </c:extLst>
              <c:f>('Company Historical'!$L$12,'Company Historical'!$O$12,'Company Historical'!$R$12:$S$12)</c:f>
              <c:numCache>
                <c:formatCode>0.0000_);[Red]\(0.0000\)</c:formatCode>
                <c:ptCount val="4"/>
                <c:pt idx="0" formatCode="_-* #,##0_-;\-* #,##0_-;_-* &quot;-&quot;_-;_-@_-">
                  <c:v>2119197</c:v>
                </c:pt>
                <c:pt idx="1" formatCode="_-* #,##0_-;\-* #,##0_-;_-* &quot;-&quot;_-;_-@_-">
                  <c:v>878067</c:v>
                </c:pt>
                <c:pt idx="2" formatCode="General">
                  <c:v>167149</c:v>
                </c:pt>
                <c:pt idx="3" formatCode="_-* #,##0_-;\-* #,##0_-;_-* &quot;-&quot;_-;_-@_-">
                  <c:v>35995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'Company Historical'!$P$12</c15:sqref>
                  <c15:spPr xmlns:c15="http://schemas.microsoft.com/office/drawing/2012/chart"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1704-4E68-8E3E-410C8C4F4B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Historical'!$E$1</c:f>
              <c:strCache>
                <c:ptCount val="1"/>
                <c:pt idx="0">
                  <c:v>Handled Waste per year (ton)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8621522309711286"/>
                  <c:y val="-4.5609507144940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Historical'!$E$2:$E$12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C-450D-B4A3-E2792FC49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586064"/>
        <c:axId val="1098584816"/>
      </c:scatterChart>
      <c:valAx>
        <c:axId val="109858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84816"/>
        <c:crosses val="autoZero"/>
        <c:crossBetween val="midCat"/>
      </c:valAx>
      <c:valAx>
        <c:axId val="1098584816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8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Historical'!$U$1</c:f>
              <c:strCache>
                <c:ptCount val="1"/>
                <c:pt idx="0">
                  <c:v>Sales of Electricity + WM Revenue  (k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7835571860837332"/>
                  <c:y val="8.754629629629630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800" baseline="0"/>
                      <a:t>y = 5E-228e</a:t>
                    </a:r>
                    <a:r>
                      <a:rPr lang="en-US" altLang="zh-TW" sz="800" baseline="30000"/>
                      <a:t>0.2664x</a:t>
                    </a:r>
                    <a:br>
                      <a:rPr lang="en-US" altLang="zh-TW" sz="800" baseline="0"/>
                    </a:br>
                    <a:r>
                      <a:rPr lang="en-US" altLang="zh-TW" sz="800" baseline="0"/>
                      <a:t>R² = 0.9894</a:t>
                    </a:r>
                    <a:endParaRPr lang="en-US" altLang="zh-TW" sz="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Historical'!$U$2:$U$12</c:f>
              <c:numCache>
                <c:formatCode>_-* #,##0_-;\-* #,##0_-;_-* "-"_-;_-@_-</c:formatCode>
                <c:ptCount val="11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542128</c:v>
                </c:pt>
                <c:pt idx="4">
                  <c:v>581128</c:v>
                </c:pt>
                <c:pt idx="5">
                  <c:v>775590</c:v>
                </c:pt>
                <c:pt idx="6">
                  <c:v>1079171</c:v>
                </c:pt>
                <c:pt idx="7">
                  <c:v>1563691</c:v>
                </c:pt>
                <c:pt idx="8">
                  <c:v>1756910</c:v>
                </c:pt>
                <c:pt idx="9">
                  <c:v>2062249</c:v>
                </c:pt>
                <c:pt idx="10">
                  <c:v>2997264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D5-46E0-A1CB-29446B2BC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597280"/>
        <c:axId val="1943596448"/>
      </c:scatterChart>
      <c:valAx>
        <c:axId val="194359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596448"/>
        <c:crosses val="autoZero"/>
        <c:crossBetween val="midCat"/>
      </c:valAx>
      <c:valAx>
        <c:axId val="19435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59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Historical'!$B$1</c:f>
              <c:strCache>
                <c:ptCount val="1"/>
                <c:pt idx="0">
                  <c:v>Planning additional WM Capacity per day (ton)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809849781077555"/>
                  <c:y val="1.38896179644211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Historical'!$B$2:$B$12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3300</c:v>
                </c:pt>
                <c:pt idx="3">
                  <c:v>4800</c:v>
                </c:pt>
                <c:pt idx="4">
                  <c:v>7000</c:v>
                </c:pt>
                <c:pt idx="5">
                  <c:v>11490</c:v>
                </c:pt>
                <c:pt idx="6">
                  <c:v>13200</c:v>
                </c:pt>
                <c:pt idx="7">
                  <c:v>14300</c:v>
                </c:pt>
                <c:pt idx="8">
                  <c:v>26500</c:v>
                </c:pt>
                <c:pt idx="9">
                  <c:v>23800</c:v>
                </c:pt>
                <c:pt idx="10">
                  <c:v>16750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0-4E3A-9571-2B1B08131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437792"/>
        <c:axId val="1902434048"/>
      </c:scatterChart>
      <c:valAx>
        <c:axId val="190243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434048"/>
        <c:crosses val="autoZero"/>
        <c:crossBetween val="midCat"/>
      </c:valAx>
      <c:valAx>
        <c:axId val="190243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43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Historical'!$L$1</c:f>
              <c:strCache>
                <c:ptCount val="1"/>
                <c:pt idx="0">
                  <c:v>Sales of electricity (k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7599300087489064"/>
                  <c:y val="7.74744823563721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Historical'!$L$2:$L$12</c:f>
              <c:numCache>
                <c:formatCode>_-* #,##0_-;\-* #,##0_-;_-* "-"_-;_-@_-</c:formatCode>
                <c:ptCount val="11"/>
                <c:pt idx="0">
                  <c:v>107025</c:v>
                </c:pt>
                <c:pt idx="1">
                  <c:v>265407</c:v>
                </c:pt>
                <c:pt idx="2">
                  <c:v>261737</c:v>
                </c:pt>
                <c:pt idx="3">
                  <c:v>349149</c:v>
                </c:pt>
                <c:pt idx="4">
                  <c:v>376211</c:v>
                </c:pt>
                <c:pt idx="5">
                  <c:v>519386</c:v>
                </c:pt>
                <c:pt idx="6">
                  <c:v>772609</c:v>
                </c:pt>
                <c:pt idx="7">
                  <c:v>1129326</c:v>
                </c:pt>
                <c:pt idx="8">
                  <c:v>1263882</c:v>
                </c:pt>
                <c:pt idx="9">
                  <c:v>1470289</c:v>
                </c:pt>
                <c:pt idx="10">
                  <c:v>2119197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3-4106-B785-9F3C25A8B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628832"/>
        <c:axId val="2019628000"/>
      </c:scatterChart>
      <c:valAx>
        <c:axId val="201962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628000"/>
        <c:crosses val="autoZero"/>
        <c:crossBetween val="midCat"/>
      </c:valAx>
      <c:valAx>
        <c:axId val="201962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62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Waste management capacity per day against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980451016581686E-2"/>
          <c:y val="0.1438427891574785"/>
          <c:w val="0.8782153690799428"/>
          <c:h val="0.72791035513408109"/>
        </c:manualLayout>
      </c:layout>
      <c:lineChart>
        <c:grouping val="standard"/>
        <c:varyColors val="0"/>
        <c:ser>
          <c:idx val="0"/>
          <c:order val="0"/>
          <c:tx>
            <c:strRef>
              <c:f>'Company Historical'!$B$1</c:f>
              <c:strCache>
                <c:ptCount val="1"/>
                <c:pt idx="0">
                  <c:v>Planning additional WM Capacity per day (ton)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'Company Historical'!$B$2:$B$12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3300</c:v>
                </c:pt>
                <c:pt idx="3">
                  <c:v>4800</c:v>
                </c:pt>
                <c:pt idx="4">
                  <c:v>7000</c:v>
                </c:pt>
                <c:pt idx="5">
                  <c:v>11490</c:v>
                </c:pt>
                <c:pt idx="6">
                  <c:v>13200</c:v>
                </c:pt>
                <c:pt idx="7">
                  <c:v>14300</c:v>
                </c:pt>
                <c:pt idx="8">
                  <c:v>26500</c:v>
                </c:pt>
                <c:pt idx="9">
                  <c:v>23800</c:v>
                </c:pt>
                <c:pt idx="10">
                  <c:v>16750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7-4572-958C-2F0481E5D273}"/>
            </c:ext>
          </c:extLst>
        </c:ser>
        <c:ser>
          <c:idx val="1"/>
          <c:order val="1"/>
          <c:tx>
            <c:strRef>
              <c:f>'Company Historical'!$C$1</c:f>
              <c:strCache>
                <c:ptCount val="1"/>
                <c:pt idx="0">
                  <c:v>Operating WM Capacity per day (ton)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'Company Historical'!$C$2:$C$12</c:f>
              <c:numCache>
                <c:formatCode>_-* #,##0_-;\-* #,##0_-;_-* "-"_-;_-@_-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2000</c:v>
                </c:pt>
                <c:pt idx="3">
                  <c:v>3600</c:v>
                </c:pt>
                <c:pt idx="4">
                  <c:v>5400</c:v>
                </c:pt>
                <c:pt idx="5">
                  <c:v>7600</c:v>
                </c:pt>
                <c:pt idx="6">
                  <c:v>12840</c:v>
                </c:pt>
                <c:pt idx="7">
                  <c:v>14740</c:v>
                </c:pt>
                <c:pt idx="8">
                  <c:v>15890</c:v>
                </c:pt>
                <c:pt idx="9">
                  <c:v>23090</c:v>
                </c:pt>
                <c:pt idx="10">
                  <c:v>35240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7-4572-958C-2F0481E5D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845008"/>
        <c:axId val="1084850416"/>
      </c:lineChart>
      <c:catAx>
        <c:axId val="108484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50416"/>
        <c:crosses val="autoZero"/>
        <c:auto val="1"/>
        <c:lblAlgn val="ctr"/>
        <c:lblOffset val="100"/>
        <c:noMultiLvlLbl val="0"/>
      </c:catAx>
      <c:valAx>
        <c:axId val="108485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4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Historical'!$P$1</c:f>
              <c:strCache>
                <c:ptCount val="1"/>
                <c:pt idx="0">
                  <c:v>WM fee/Handled (1000 HKD/ton)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500311665824345"/>
                  <c:y val="0.14131889390537797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Historical'!$A$8:$A$12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xVal>
          <c:yVal>
            <c:numRef>
              <c:f>'Company Historical'!$P$8:$P$12</c:f>
              <c:numCache>
                <c:formatCode>0.0000_);[Red]\(0.0000\)</c:formatCode>
                <c:ptCount val="5"/>
                <c:pt idx="0">
                  <c:v>8.6913181793825789E-2</c:v>
                </c:pt>
                <c:pt idx="1">
                  <c:v>8.6291430276508443E-2</c:v>
                </c:pt>
                <c:pt idx="2">
                  <c:v>8.3394451962110955E-2</c:v>
                </c:pt>
                <c:pt idx="3">
                  <c:v>8.2514636186228049E-2</c:v>
                </c:pt>
                <c:pt idx="4">
                  <c:v>7.9294047846423299E-2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6-454F-8AF2-5ED18EA99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344"/>
        <c:axId val="67025840"/>
      </c:scatterChart>
      <c:valAx>
        <c:axId val="6702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5840"/>
        <c:crosses val="autoZero"/>
        <c:crossBetween val="midCat"/>
      </c:valAx>
      <c:valAx>
        <c:axId val="67025840"/>
        <c:scaling>
          <c:orientation val="minMax"/>
          <c:min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Historical'!$N$1</c:f>
              <c:strCache>
                <c:ptCount val="1"/>
                <c:pt idx="0">
                  <c:v>Sale of electricity (CNY/kWh) (1CNY=0.85HKD)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65879265091863E-2"/>
                  <c:y val="0.15761847477398658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Historical'!$N$2:$N$12</c:f>
              <c:numCache>
                <c:formatCode>0.0000_);[Red]\(0.0000\)</c:formatCode>
                <c:ptCount val="11"/>
                <c:pt idx="0">
                  <c:v>0.59000214024437703</c:v>
                </c:pt>
                <c:pt idx="1">
                  <c:v>0.55234911735181058</c:v>
                </c:pt>
                <c:pt idx="2">
                  <c:v>0.54426225698258424</c:v>
                </c:pt>
                <c:pt idx="3">
                  <c:v>0.56507251509422107</c:v>
                </c:pt>
                <c:pt idx="4">
                  <c:v>0.5547102241187899</c:v>
                </c:pt>
                <c:pt idx="5">
                  <c:v>0.52380879496644017</c:v>
                </c:pt>
                <c:pt idx="6">
                  <c:v>0.51592079999748608</c:v>
                </c:pt>
                <c:pt idx="7">
                  <c:v>0.53323773210101622</c:v>
                </c:pt>
                <c:pt idx="8">
                  <c:v>0.5208367229989499</c:v>
                </c:pt>
                <c:pt idx="9">
                  <c:v>0.51043152494884436</c:v>
                </c:pt>
                <c:pt idx="10">
                  <c:v>0.47443980009086772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8-49FA-BDB8-806339E60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683408"/>
        <c:axId val="783930144"/>
      </c:scatterChart>
      <c:valAx>
        <c:axId val="38568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30144"/>
        <c:crosses val="autoZero"/>
        <c:crossBetween val="midCat"/>
      </c:valAx>
      <c:valAx>
        <c:axId val="783930144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68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Historical'!$H$1</c:f>
              <c:strCache>
                <c:ptCount val="1"/>
                <c:pt idx="0">
                  <c:v>Generated Electricity/Waste Handled (MWh/ton)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Historical'!$H$2:$H$12</c:f>
              <c:numCache>
                <c:formatCode>0.000_);[Red]\(0.000\)</c:formatCode>
                <c:ptCount val="11"/>
                <c:pt idx="0">
                  <c:v>0.42775592276307972</c:v>
                </c:pt>
                <c:pt idx="1">
                  <c:v>0.45495083660712266</c:v>
                </c:pt>
                <c:pt idx="2">
                  <c:v>0.48714072983862339</c:v>
                </c:pt>
                <c:pt idx="3">
                  <c:v>0.45347446464104763</c:v>
                </c:pt>
                <c:pt idx="4">
                  <c:v>0.43680403148300034</c:v>
                </c:pt>
                <c:pt idx="5">
                  <c:v>0.40644012652660494</c:v>
                </c:pt>
                <c:pt idx="6">
                  <c:v>0.41174851249751576</c:v>
                </c:pt>
                <c:pt idx="7">
                  <c:v>0.40795653612910426</c:v>
                </c:pt>
                <c:pt idx="8">
                  <c:v>0.3984998308525034</c:v>
                </c:pt>
                <c:pt idx="9">
                  <c:v>0.38967702815723448</c:v>
                </c:pt>
                <c:pt idx="10">
                  <c:v>0.39512749067485553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5-4C37-AAE8-030FE69DE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825728"/>
        <c:axId val="1156824064"/>
      </c:scatterChart>
      <c:valAx>
        <c:axId val="115682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24064"/>
        <c:crosses val="autoZero"/>
        <c:crossBetween val="midCat"/>
      </c:valAx>
      <c:valAx>
        <c:axId val="115682406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2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Historical'!$Q$1</c:f>
              <c:strCache>
                <c:ptCount val="1"/>
                <c:pt idx="0">
                  <c:v>Energy + WM Gross Margin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584645669291339E-2"/>
                  <c:y val="0.14492271799358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Historical'!$Q$2:$Q$12</c:f>
              <c:numCache>
                <c:formatCode>0.00%</c:formatCode>
                <c:ptCount val="11"/>
                <c:pt idx="0">
                  <c:v>0.61499999999999999</c:v>
                </c:pt>
                <c:pt idx="1">
                  <c:v>0.53400000000000003</c:v>
                </c:pt>
                <c:pt idx="2">
                  <c:v>0.51900000000000002</c:v>
                </c:pt>
                <c:pt idx="3">
                  <c:v>0.54800000000000004</c:v>
                </c:pt>
                <c:pt idx="4">
                  <c:v>0.55400000000000005</c:v>
                </c:pt>
                <c:pt idx="5">
                  <c:v>0.53400000000000003</c:v>
                </c:pt>
                <c:pt idx="6">
                  <c:v>0.51400000000000001</c:v>
                </c:pt>
                <c:pt idx="7">
                  <c:v>0.47899999999999998</c:v>
                </c:pt>
                <c:pt idx="8">
                  <c:v>0.47599999999999998</c:v>
                </c:pt>
                <c:pt idx="9">
                  <c:v>0.47099999999999997</c:v>
                </c:pt>
                <c:pt idx="10">
                  <c:v>0.499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01-48C9-9D10-ADC60A73E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330080"/>
        <c:axId val="1032307616"/>
      </c:scatterChart>
      <c:valAx>
        <c:axId val="103233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07616"/>
        <c:crosses val="autoZero"/>
        <c:crossBetween val="midCat"/>
      </c:valAx>
      <c:valAx>
        <c:axId val="10323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3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Cost of Goods Sold Ex. Construction (1000 HKD)</a:t>
            </a:r>
            <a:r>
              <a:rPr lang="en-US" altLang="zh-TW" baseline="0"/>
              <a:t> Against Operating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Historical'!$AC$1</c:f>
              <c:strCache>
                <c:ptCount val="1"/>
                <c:pt idx="0">
                  <c:v>Cost of Goods Sold Ex. Construction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Historical'!$C$2:$C$12</c:f>
              <c:numCache>
                <c:formatCode>_-* #,##0_-;\-* #,##0_-;_-* "-"_-;_-@_-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2000</c:v>
                </c:pt>
                <c:pt idx="3">
                  <c:v>3600</c:v>
                </c:pt>
                <c:pt idx="4">
                  <c:v>5400</c:v>
                </c:pt>
                <c:pt idx="5">
                  <c:v>7600</c:v>
                </c:pt>
                <c:pt idx="6">
                  <c:v>12840</c:v>
                </c:pt>
                <c:pt idx="7">
                  <c:v>14740</c:v>
                </c:pt>
                <c:pt idx="8">
                  <c:v>15890</c:v>
                </c:pt>
                <c:pt idx="9">
                  <c:v>23090</c:v>
                </c:pt>
                <c:pt idx="10">
                  <c:v>35240</c:v>
                </c:pt>
              </c:numCache>
            </c:numRef>
          </c:xVal>
          <c:yVal>
            <c:numRef>
              <c:f>'Company Historical'!$AC$2:$AC$12</c:f>
              <c:numCache>
                <c:formatCode>_-* #,##0_-;\-* #,##0_-;_-* "-"_-;_-@_-</c:formatCode>
                <c:ptCount val="11"/>
                <c:pt idx="0">
                  <c:v>59474</c:v>
                </c:pt>
                <c:pt idx="1">
                  <c:v>180367</c:v>
                </c:pt>
                <c:pt idx="2">
                  <c:v>187537</c:v>
                </c:pt>
                <c:pt idx="3">
                  <c:v>245177</c:v>
                </c:pt>
                <c:pt idx="4">
                  <c:v>259106</c:v>
                </c:pt>
                <c:pt idx="5">
                  <c:v>361132</c:v>
                </c:pt>
                <c:pt idx="6">
                  <c:v>523990</c:v>
                </c:pt>
                <c:pt idx="7">
                  <c:v>815127</c:v>
                </c:pt>
                <c:pt idx="8">
                  <c:v>1008282</c:v>
                </c:pt>
                <c:pt idx="9">
                  <c:v>1188386</c:v>
                </c:pt>
                <c:pt idx="10">
                  <c:v>1631880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9-4F81-9894-8BBABCEB2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430960"/>
        <c:axId val="1049436784"/>
      </c:scatterChart>
      <c:valAx>
        <c:axId val="104943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36784"/>
        <c:crosses val="autoZero"/>
        <c:crossBetween val="midCat"/>
      </c:valAx>
      <c:valAx>
        <c:axId val="10494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3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Cost of Goods Sold Ex. Construction (1000 HKD) Against</a:t>
            </a:r>
            <a:r>
              <a:rPr lang="en-US" altLang="zh-TW" baseline="0"/>
              <a:t> Sale of Electricity + WM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Historical'!$AC$1</c:f>
              <c:strCache>
                <c:ptCount val="1"/>
                <c:pt idx="0">
                  <c:v>Cost of Goods Sold Ex. Construction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Historical'!$U$2:$U$12</c:f>
              <c:numCache>
                <c:formatCode>_-* #,##0_-;\-* #,##0_-;_-* "-"_-;_-@_-</c:formatCode>
                <c:ptCount val="11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542128</c:v>
                </c:pt>
                <c:pt idx="4">
                  <c:v>581128</c:v>
                </c:pt>
                <c:pt idx="5">
                  <c:v>775590</c:v>
                </c:pt>
                <c:pt idx="6">
                  <c:v>1079171</c:v>
                </c:pt>
                <c:pt idx="7">
                  <c:v>1563691</c:v>
                </c:pt>
                <c:pt idx="8">
                  <c:v>1756910</c:v>
                </c:pt>
                <c:pt idx="9">
                  <c:v>2062249</c:v>
                </c:pt>
                <c:pt idx="10">
                  <c:v>2997264</c:v>
                </c:pt>
              </c:numCache>
            </c:numRef>
          </c:xVal>
          <c:yVal>
            <c:numRef>
              <c:f>'Company Historical'!$AC$2:$AC$12</c:f>
              <c:numCache>
                <c:formatCode>_-* #,##0_-;\-* #,##0_-;_-* "-"_-;_-@_-</c:formatCode>
                <c:ptCount val="11"/>
                <c:pt idx="0">
                  <c:v>59474</c:v>
                </c:pt>
                <c:pt idx="1">
                  <c:v>180367</c:v>
                </c:pt>
                <c:pt idx="2">
                  <c:v>187537</c:v>
                </c:pt>
                <c:pt idx="3">
                  <c:v>245177</c:v>
                </c:pt>
                <c:pt idx="4">
                  <c:v>259106</c:v>
                </c:pt>
                <c:pt idx="5">
                  <c:v>361132</c:v>
                </c:pt>
                <c:pt idx="6">
                  <c:v>523990</c:v>
                </c:pt>
                <c:pt idx="7">
                  <c:v>815127</c:v>
                </c:pt>
                <c:pt idx="8">
                  <c:v>1008282</c:v>
                </c:pt>
                <c:pt idx="9">
                  <c:v>1188386</c:v>
                </c:pt>
                <c:pt idx="10">
                  <c:v>1631880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21-496C-9D3C-67164A49B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114816"/>
        <c:axId val="650109408"/>
      </c:scatterChart>
      <c:valAx>
        <c:axId val="65011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09408"/>
        <c:crosses val="autoZero"/>
        <c:crossBetween val="midCat"/>
      </c:valAx>
      <c:valAx>
        <c:axId val="6501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Operating Expense (1000 HKD) Against</a:t>
            </a:r>
            <a:r>
              <a:rPr lang="en-US" altLang="zh-TW" baseline="0"/>
              <a:t> Annual Handled Wastes (ton)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Historical'!$AD$1</c:f>
              <c:strCache>
                <c:ptCount val="1"/>
                <c:pt idx="0">
                  <c:v>Operating Expense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Historical'!$E$2:$E$12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xVal>
          <c:yVal>
            <c:numRef>
              <c:f>'Company Historical'!$AD$2:$AD$12</c:f>
              <c:numCache>
                <c:formatCode>_-* #,##0_-;\-* #,##0_-;_-* "-"_-;_-@_-</c:formatCode>
                <c:ptCount val="11"/>
                <c:pt idx="0">
                  <c:v>16467</c:v>
                </c:pt>
                <c:pt idx="1">
                  <c:v>35147</c:v>
                </c:pt>
                <c:pt idx="2">
                  <c:v>38584</c:v>
                </c:pt>
                <c:pt idx="3">
                  <c:v>63542</c:v>
                </c:pt>
                <c:pt idx="4">
                  <c:v>111646</c:v>
                </c:pt>
                <c:pt idx="5">
                  <c:v>122904</c:v>
                </c:pt>
                <c:pt idx="6">
                  <c:v>164701</c:v>
                </c:pt>
                <c:pt idx="7">
                  <c:v>228299</c:v>
                </c:pt>
                <c:pt idx="8">
                  <c:v>241915</c:v>
                </c:pt>
                <c:pt idx="9">
                  <c:v>325363</c:v>
                </c:pt>
                <c:pt idx="10">
                  <c:v>517952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A0-4253-B405-B6197D129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139712"/>
        <c:axId val="996135136"/>
      </c:scatterChart>
      <c:valAx>
        <c:axId val="99613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135136"/>
        <c:crosses val="autoZero"/>
        <c:crossBetween val="midCat"/>
      </c:valAx>
      <c:valAx>
        <c:axId val="9961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13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Operating Expense (1000 HKD) Against</a:t>
            </a:r>
            <a:r>
              <a:rPr lang="en-US" altLang="zh-TW" baseline="0"/>
              <a:t> Energy + WM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Historical'!$AD$1</c:f>
              <c:strCache>
                <c:ptCount val="1"/>
                <c:pt idx="0">
                  <c:v>Operating Expense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Historical'!$U$2:$U$12</c:f>
              <c:numCache>
                <c:formatCode>_-* #,##0_-;\-* #,##0_-;_-* "-"_-;_-@_-</c:formatCode>
                <c:ptCount val="11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542128</c:v>
                </c:pt>
                <c:pt idx="4">
                  <c:v>581128</c:v>
                </c:pt>
                <c:pt idx="5">
                  <c:v>775590</c:v>
                </c:pt>
                <c:pt idx="6">
                  <c:v>1079171</c:v>
                </c:pt>
                <c:pt idx="7">
                  <c:v>1563691</c:v>
                </c:pt>
                <c:pt idx="8">
                  <c:v>1756910</c:v>
                </c:pt>
                <c:pt idx="9">
                  <c:v>2062249</c:v>
                </c:pt>
                <c:pt idx="10">
                  <c:v>2997264</c:v>
                </c:pt>
              </c:numCache>
            </c:numRef>
          </c:xVal>
          <c:yVal>
            <c:numRef>
              <c:f>'Company Historical'!$AD$2:$AD$12</c:f>
              <c:numCache>
                <c:formatCode>_-* #,##0_-;\-* #,##0_-;_-* "-"_-;_-@_-</c:formatCode>
                <c:ptCount val="11"/>
                <c:pt idx="0">
                  <c:v>16467</c:v>
                </c:pt>
                <c:pt idx="1">
                  <c:v>35147</c:v>
                </c:pt>
                <c:pt idx="2">
                  <c:v>38584</c:v>
                </c:pt>
                <c:pt idx="3">
                  <c:v>63542</c:v>
                </c:pt>
                <c:pt idx="4">
                  <c:v>111646</c:v>
                </c:pt>
                <c:pt idx="5">
                  <c:v>122904</c:v>
                </c:pt>
                <c:pt idx="6">
                  <c:v>164701</c:v>
                </c:pt>
                <c:pt idx="7">
                  <c:v>228299</c:v>
                </c:pt>
                <c:pt idx="8">
                  <c:v>241915</c:v>
                </c:pt>
                <c:pt idx="9">
                  <c:v>325363</c:v>
                </c:pt>
                <c:pt idx="10">
                  <c:v>517952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E-4D21-AC2D-C3BE19679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766544"/>
        <c:axId val="1843772368"/>
      </c:scatterChart>
      <c:valAx>
        <c:axId val="184376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72368"/>
        <c:crosses val="autoZero"/>
        <c:crossBetween val="midCat"/>
      </c:valAx>
      <c:valAx>
        <c:axId val="18437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6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Other Income (1000 HKD) Against</a:t>
            </a:r>
            <a:r>
              <a:rPr lang="en-US" altLang="zh-TW" baseline="0"/>
              <a:t> Total Revenue</a:t>
            </a:r>
            <a:r>
              <a:rPr lang="en-US" altLang="zh-TW"/>
              <a:t> Ex. 2020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Historical'!$AE$1</c:f>
              <c:strCache>
                <c:ptCount val="1"/>
                <c:pt idx="0">
                  <c:v>Other Income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('Company Historical'!$Z$2:$Z$10,'Company Historical'!$Z$12)</c:f>
              <c:numCache>
                <c:formatCode>_-* #,##0_-;\-* #,##0_-;_-* "-"_-;_-@_-</c:formatCode>
                <c:ptCount val="10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794149</c:v>
                </c:pt>
                <c:pt idx="4">
                  <c:v>1184536</c:v>
                </c:pt>
                <c:pt idx="5">
                  <c:v>1653552</c:v>
                </c:pt>
                <c:pt idx="6">
                  <c:v>2397531</c:v>
                </c:pt>
                <c:pt idx="7">
                  <c:v>3325804</c:v>
                </c:pt>
                <c:pt idx="8">
                  <c:v>3864929</c:v>
                </c:pt>
                <c:pt idx="9">
                  <c:v>6663417</c:v>
                </c:pt>
              </c:numCache>
            </c:numRef>
          </c:xVal>
          <c:yVal>
            <c:numRef>
              <c:f>'Company Historical'!$AE$2:$AE$12</c:f>
              <c:numCache>
                <c:formatCode>_-* #,##0_-;\-* #,##0_-;_-* "-"_-;_-@_-</c:formatCode>
                <c:ptCount val="11"/>
                <c:pt idx="0">
                  <c:v>569</c:v>
                </c:pt>
                <c:pt idx="1">
                  <c:v>12890</c:v>
                </c:pt>
                <c:pt idx="2">
                  <c:v>13314</c:v>
                </c:pt>
                <c:pt idx="3">
                  <c:v>51848</c:v>
                </c:pt>
                <c:pt idx="4">
                  <c:v>53483</c:v>
                </c:pt>
                <c:pt idx="5">
                  <c:v>80967</c:v>
                </c:pt>
                <c:pt idx="6">
                  <c:v>95190</c:v>
                </c:pt>
                <c:pt idx="7">
                  <c:v>121460</c:v>
                </c:pt>
                <c:pt idx="8">
                  <c:v>147485</c:v>
                </c:pt>
                <c:pt idx="9">
                  <c:v>259595</c:v>
                </c:pt>
                <c:pt idx="10">
                  <c:v>270193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04-49FD-BF33-D0B3CB2E8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179952"/>
        <c:axId val="423181200"/>
      </c:scatterChart>
      <c:valAx>
        <c:axId val="4231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81200"/>
        <c:crosses val="autoZero"/>
        <c:crossBetween val="midCat"/>
      </c:valAx>
      <c:valAx>
        <c:axId val="4231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7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Net Interest Expense (1000 HKD) vs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Historical'!$AG$1</c:f>
              <c:strCache>
                <c:ptCount val="1"/>
                <c:pt idx="0">
                  <c:v>Net Interest Expense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1200" baseline="0"/>
                      <a:t>y = 0.061132 x - 5,264.124222 </a:t>
                    </a:r>
                    <a:br>
                      <a:rPr lang="en-US" altLang="zh-TW" sz="1200" baseline="0"/>
                    </a:br>
                    <a:r>
                      <a:rPr lang="en-US" altLang="zh-TW" sz="1200" baseline="0"/>
                      <a:t>R² = 0.962971 </a:t>
                    </a:r>
                    <a:endParaRPr lang="en-US" altLang="zh-TW" sz="1400"/>
                  </a:p>
                </c:rich>
              </c:tx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Historical'!$Z$2:$Z$12</c:f>
              <c:numCache>
                <c:formatCode>_-* #,##0_-;\-* #,##0_-;_-* "-"_-;_-@_-</c:formatCode>
                <c:ptCount val="11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794149</c:v>
                </c:pt>
                <c:pt idx="4">
                  <c:v>1184536</c:v>
                </c:pt>
                <c:pt idx="5">
                  <c:v>1653552</c:v>
                </c:pt>
                <c:pt idx="6">
                  <c:v>2397531</c:v>
                </c:pt>
                <c:pt idx="7">
                  <c:v>3325804</c:v>
                </c:pt>
                <c:pt idx="8">
                  <c:v>3864929</c:v>
                </c:pt>
                <c:pt idx="9">
                  <c:v>4890197</c:v>
                </c:pt>
                <c:pt idx="10">
                  <c:v>6663417</c:v>
                </c:pt>
              </c:numCache>
            </c:numRef>
          </c:xVal>
          <c:yVal>
            <c:numRef>
              <c:f>'Company Historical'!$AG$2:$AG$12</c:f>
              <c:numCache>
                <c:formatCode>_-* #,##0_-;\-* #,##0_-;_-* "-"_-;_-@_-</c:formatCode>
                <c:ptCount val="11"/>
                <c:pt idx="0">
                  <c:v>25020</c:v>
                </c:pt>
                <c:pt idx="1">
                  <c:v>32575</c:v>
                </c:pt>
                <c:pt idx="2">
                  <c:v>25861</c:v>
                </c:pt>
                <c:pt idx="3">
                  <c:v>61809</c:v>
                </c:pt>
                <c:pt idx="4">
                  <c:v>51374</c:v>
                </c:pt>
                <c:pt idx="5">
                  <c:v>84905</c:v>
                </c:pt>
                <c:pt idx="6">
                  <c:v>105572</c:v>
                </c:pt>
                <c:pt idx="7">
                  <c:v>169990</c:v>
                </c:pt>
                <c:pt idx="8">
                  <c:v>204183</c:v>
                </c:pt>
                <c:pt idx="9">
                  <c:v>340642</c:v>
                </c:pt>
                <c:pt idx="10">
                  <c:v>411608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5-4855-8132-97E597969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999232"/>
        <c:axId val="392995904"/>
      </c:scatterChart>
      <c:valAx>
        <c:axId val="39299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95904"/>
        <c:crosses val="autoZero"/>
        <c:crossBetween val="midCat"/>
      </c:valAx>
      <c:valAx>
        <c:axId val="3929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9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Net Interest Expense (1000 HKD) vs Handled</a:t>
            </a:r>
            <a:r>
              <a:rPr lang="en-US" altLang="zh-TW" baseline="0"/>
              <a:t> Wastes per Year Ex. 2020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02445042627727"/>
          <c:y val="0.15964153206142068"/>
          <c:w val="0.83165996090436778"/>
          <c:h val="0.765055356929252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'Company Historical'!$AG$1</c:f>
              <c:strCache>
                <c:ptCount val="1"/>
                <c:pt idx="0">
                  <c:v>Net Interest Expense (1000 HKD)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('Company Historical'!$E$2:$E$10,'Company Historical'!$E$12)</c:f>
              <c:numCache>
                <c:formatCode>_-* #,##0_-;\-* #,##0_-;_-* "-"_-;_-@_-</c:formatCode>
                <c:ptCount val="10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11073555</c:v>
                </c:pt>
              </c:numCache>
            </c:numRef>
          </c:xVal>
          <c:yVal>
            <c:numRef>
              <c:f>('Company Historical'!$AG$2:$AG$10,'Company Historical'!$AG$12)</c:f>
              <c:numCache>
                <c:formatCode>_-* #,##0_-;\-* #,##0_-;_-* "-"_-;_-@_-</c:formatCode>
                <c:ptCount val="10"/>
                <c:pt idx="0">
                  <c:v>25020</c:v>
                </c:pt>
                <c:pt idx="1">
                  <c:v>32575</c:v>
                </c:pt>
                <c:pt idx="2">
                  <c:v>25861</c:v>
                </c:pt>
                <c:pt idx="3">
                  <c:v>61809</c:v>
                </c:pt>
                <c:pt idx="4">
                  <c:v>51374</c:v>
                </c:pt>
                <c:pt idx="5">
                  <c:v>84905</c:v>
                </c:pt>
                <c:pt idx="6">
                  <c:v>105572</c:v>
                </c:pt>
                <c:pt idx="7">
                  <c:v>169990</c:v>
                </c:pt>
                <c:pt idx="8">
                  <c:v>204183</c:v>
                </c:pt>
                <c:pt idx="9">
                  <c:v>411608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D-4872-923C-9DB477A68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8559"/>
        <c:axId val="6405215"/>
      </c:scatterChart>
      <c:valAx>
        <c:axId val="639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215"/>
        <c:crosses val="autoZero"/>
        <c:crossBetween val="midCat"/>
      </c:valAx>
      <c:valAx>
        <c:axId val="64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Inventories (1m HKD) vs Total Revenue Ex.</a:t>
            </a:r>
            <a:r>
              <a:rPr lang="en-US" altLang="zh-TW" baseline="0"/>
              <a:t> 2011-2014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Historical'!$AN$1</c:f>
              <c:strCache>
                <c:ptCount val="1"/>
                <c:pt idx="0">
                  <c:v>Inventories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Historical'!$Z$5:$Z$12</c:f>
              <c:numCache>
                <c:formatCode>_-* #,##0_-;\-* #,##0_-;_-* "-"_-;_-@_-</c:formatCode>
                <c:ptCount val="8"/>
                <c:pt idx="0">
                  <c:v>794149</c:v>
                </c:pt>
                <c:pt idx="1">
                  <c:v>1184536</c:v>
                </c:pt>
                <c:pt idx="2">
                  <c:v>1653552</c:v>
                </c:pt>
                <c:pt idx="3">
                  <c:v>2397531</c:v>
                </c:pt>
                <c:pt idx="4">
                  <c:v>3325804</c:v>
                </c:pt>
                <c:pt idx="5">
                  <c:v>3864929</c:v>
                </c:pt>
                <c:pt idx="6">
                  <c:v>4890197</c:v>
                </c:pt>
                <c:pt idx="7">
                  <c:v>6663417</c:v>
                </c:pt>
              </c:numCache>
            </c:numRef>
          </c:xVal>
          <c:yVal>
            <c:numRef>
              <c:f>'Company Historical'!$AN$5:$AN$12</c:f>
              <c:numCache>
                <c:formatCode>0.000</c:formatCode>
                <c:ptCount val="8"/>
                <c:pt idx="0">
                  <c:v>0.50700000000000001</c:v>
                </c:pt>
                <c:pt idx="1">
                  <c:v>0.47199999999999998</c:v>
                </c:pt>
                <c:pt idx="2">
                  <c:v>0.76100000000000001</c:v>
                </c:pt>
                <c:pt idx="3">
                  <c:v>2.3140000000000001</c:v>
                </c:pt>
                <c:pt idx="4">
                  <c:v>5.7249999999999996</c:v>
                </c:pt>
                <c:pt idx="5">
                  <c:v>6.6189999999999998</c:v>
                </c:pt>
                <c:pt idx="6">
                  <c:v>15.353</c:v>
                </c:pt>
                <c:pt idx="7">
                  <c:v>22.321000000000002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2-481E-A068-A4EBEEFA9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490639"/>
        <c:axId val="800487311"/>
      </c:scatterChart>
      <c:valAx>
        <c:axId val="80049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87311"/>
        <c:crosses val="autoZero"/>
        <c:crossBetween val="midCat"/>
      </c:valAx>
      <c:valAx>
        <c:axId val="80048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49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Total Current Assets (1m HKD) vs</a:t>
            </a:r>
            <a:r>
              <a:rPr lang="en-US" altLang="zh-TW" baseline="0"/>
              <a:t> Total Revenue Ex. 2014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Historical'!$AR$1</c:f>
              <c:strCache>
                <c:ptCount val="1"/>
                <c:pt idx="0">
                  <c:v>Total Current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58195538057742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('Company Historical'!$Z$2:$Z$4,'Company Historical'!$Z$6:$Z$12)</c:f>
              <c:numCache>
                <c:formatCode>_-* #,##0_-;\-* #,##0_-;_-* "-"_-;_-@_-</c:formatCode>
                <c:ptCount val="10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1184536</c:v>
                </c:pt>
                <c:pt idx="4">
                  <c:v>1653552</c:v>
                </c:pt>
                <c:pt idx="5">
                  <c:v>2397531</c:v>
                </c:pt>
                <c:pt idx="6">
                  <c:v>3325804</c:v>
                </c:pt>
                <c:pt idx="7">
                  <c:v>3864929</c:v>
                </c:pt>
                <c:pt idx="8">
                  <c:v>4890197</c:v>
                </c:pt>
                <c:pt idx="9">
                  <c:v>6663417</c:v>
                </c:pt>
              </c:numCache>
            </c:numRef>
          </c:xVal>
          <c:yVal>
            <c:numRef>
              <c:f>('Company Historical'!$AR$2:$AR$4,'Company Historical'!$AR$6:$AR$12)</c:f>
              <c:numCache>
                <c:formatCode>0.000</c:formatCode>
                <c:ptCount val="10"/>
                <c:pt idx="0">
                  <c:v>130.22499999999999</c:v>
                </c:pt>
                <c:pt idx="1">
                  <c:v>139.28199999999998</c:v>
                </c:pt>
                <c:pt idx="2">
                  <c:v>216.096</c:v>
                </c:pt>
                <c:pt idx="3">
                  <c:v>803.14499999999998</c:v>
                </c:pt>
                <c:pt idx="4">
                  <c:v>972.26300000000003</c:v>
                </c:pt>
                <c:pt idx="5">
                  <c:v>1971.5740000000003</c:v>
                </c:pt>
                <c:pt idx="6">
                  <c:v>2020.6289999999999</c:v>
                </c:pt>
                <c:pt idx="7">
                  <c:v>2167.2640000000001</c:v>
                </c:pt>
                <c:pt idx="8">
                  <c:v>3369.0540000000001</c:v>
                </c:pt>
                <c:pt idx="9">
                  <c:v>4011.7440000000001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D-4F8E-9C7B-1B885AF7D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979135"/>
        <c:axId val="723967071"/>
      </c:scatterChart>
      <c:valAx>
        <c:axId val="72397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67071"/>
        <c:crosses val="autoZero"/>
        <c:crossBetween val="midCat"/>
      </c:valAx>
      <c:valAx>
        <c:axId val="72396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7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Other Current Assets (1m HKD) vs BOT</a:t>
            </a:r>
            <a:r>
              <a:rPr lang="en-US" altLang="zh-TW" baseline="0"/>
              <a:t>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Historical'!$AP$1</c:f>
              <c:strCache>
                <c:ptCount val="1"/>
                <c:pt idx="0">
                  <c:v>Other Current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Historical'!$V$2:$V$12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603408</c:v>
                </c:pt>
                <c:pt idx="5">
                  <c:v>877962</c:v>
                </c:pt>
                <c:pt idx="6">
                  <c:v>1318360</c:v>
                </c:pt>
                <c:pt idx="7">
                  <c:v>1762113</c:v>
                </c:pt>
                <c:pt idx="8">
                  <c:v>2089531</c:v>
                </c:pt>
                <c:pt idx="9">
                  <c:v>2803959</c:v>
                </c:pt>
                <c:pt idx="10">
                  <c:v>3630158</c:v>
                </c:pt>
              </c:numCache>
            </c:numRef>
          </c:xVal>
          <c:yVal>
            <c:numRef>
              <c:f>'Company Historical'!$AP$2:$AP$12</c:f>
              <c:numCache>
                <c:formatCode>0.000</c:formatCode>
                <c:ptCount val="11"/>
                <c:pt idx="0">
                  <c:v>8.4979999999999993</c:v>
                </c:pt>
                <c:pt idx="1">
                  <c:v>13.3</c:v>
                </c:pt>
                <c:pt idx="2">
                  <c:v>96.441000000000003</c:v>
                </c:pt>
                <c:pt idx="3">
                  <c:v>39.944000000000003</c:v>
                </c:pt>
                <c:pt idx="4">
                  <c:v>266.959</c:v>
                </c:pt>
                <c:pt idx="5">
                  <c:v>238.215</c:v>
                </c:pt>
                <c:pt idx="6">
                  <c:v>361.26600000000002</c:v>
                </c:pt>
                <c:pt idx="7">
                  <c:v>437.15</c:v>
                </c:pt>
                <c:pt idx="8">
                  <c:v>674.40200000000004</c:v>
                </c:pt>
                <c:pt idx="9">
                  <c:v>885.072</c:v>
                </c:pt>
                <c:pt idx="10">
                  <c:v>1223.395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8-45B2-A749-EA71FA3FE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893327"/>
        <c:axId val="925894991"/>
      </c:scatterChart>
      <c:valAx>
        <c:axId val="9258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94991"/>
        <c:crosses val="autoZero"/>
        <c:crossBetween val="midCat"/>
      </c:valAx>
      <c:valAx>
        <c:axId val="92589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Accounts &amp; Notes Receivables (1m HKD) vs</a:t>
            </a:r>
            <a:r>
              <a:rPr lang="en-US" altLang="zh-TW" baseline="0"/>
              <a:t> Total Revenue Ex. 2011-2014 (No BOT)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Historical'!$AL$1</c:f>
              <c:strCache>
                <c:ptCount val="1"/>
                <c:pt idx="0">
                  <c:v>Accounts &amp; Notes Receivables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Historical'!$Z$5:$Z$12</c:f>
              <c:numCache>
                <c:formatCode>_-* #,##0_-;\-* #,##0_-;_-* "-"_-;_-@_-</c:formatCode>
                <c:ptCount val="8"/>
                <c:pt idx="0">
                  <c:v>794149</c:v>
                </c:pt>
                <c:pt idx="1">
                  <c:v>1184536</c:v>
                </c:pt>
                <c:pt idx="2">
                  <c:v>1653552</c:v>
                </c:pt>
                <c:pt idx="3">
                  <c:v>2397531</c:v>
                </c:pt>
                <c:pt idx="4">
                  <c:v>3325804</c:v>
                </c:pt>
                <c:pt idx="5">
                  <c:v>3864929</c:v>
                </c:pt>
                <c:pt idx="6">
                  <c:v>4890197</c:v>
                </c:pt>
                <c:pt idx="7">
                  <c:v>6663417</c:v>
                </c:pt>
              </c:numCache>
            </c:numRef>
          </c:xVal>
          <c:yVal>
            <c:numRef>
              <c:f>'Company Historical'!$AL$5:$AL$12</c:f>
              <c:numCache>
                <c:formatCode>General</c:formatCode>
                <c:ptCount val="8"/>
                <c:pt idx="0">
                  <c:v>70.966999999999999</c:v>
                </c:pt>
                <c:pt idx="1">
                  <c:v>86.578000000000003</c:v>
                </c:pt>
                <c:pt idx="2">
                  <c:v>114.334</c:v>
                </c:pt>
                <c:pt idx="3">
                  <c:v>260.19099999999997</c:v>
                </c:pt>
                <c:pt idx="4">
                  <c:v>260.32299999999998</c:v>
                </c:pt>
                <c:pt idx="5">
                  <c:v>465.916</c:v>
                </c:pt>
                <c:pt idx="6">
                  <c:v>699.03099999999995</c:v>
                </c:pt>
                <c:pt idx="7">
                  <c:v>1062.02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2C-4C70-B046-D5310E945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088815"/>
        <c:axId val="738084239"/>
      </c:scatterChart>
      <c:valAx>
        <c:axId val="73808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084239"/>
        <c:crosses val="autoZero"/>
        <c:crossBetween val="midCat"/>
      </c:valAx>
      <c:valAx>
        <c:axId val="73808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08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Inventories (1m HKD) vs</a:t>
            </a:r>
            <a:r>
              <a:rPr lang="en-US" altLang="zh-TW" baseline="0"/>
              <a:t> Wastes Handled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Historical'!$AN$1</c:f>
              <c:strCache>
                <c:ptCount val="1"/>
                <c:pt idx="0">
                  <c:v>Inventories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Historical'!$E$5:$E$12</c:f>
              <c:numCache>
                <c:formatCode>_-* #,##0_-;\-* #,##0_-;_-* "-"_-;_-@_-</c:formatCode>
                <c:ptCount val="8"/>
                <c:pt idx="0">
                  <c:v>1320189</c:v>
                </c:pt>
                <c:pt idx="1">
                  <c:v>1504558</c:v>
                </c:pt>
                <c:pt idx="2">
                  <c:v>2369146</c:v>
                </c:pt>
                <c:pt idx="3">
                  <c:v>3527221</c:v>
                </c:pt>
                <c:pt idx="4">
                  <c:v>5033698</c:v>
                </c:pt>
                <c:pt idx="5">
                  <c:v>5912000</c:v>
                </c:pt>
                <c:pt idx="6">
                  <c:v>7174000</c:v>
                </c:pt>
                <c:pt idx="7">
                  <c:v>11073555</c:v>
                </c:pt>
              </c:numCache>
            </c:numRef>
          </c:xVal>
          <c:yVal>
            <c:numRef>
              <c:f>'Company Historical'!$AN$5:$AN$12</c:f>
              <c:numCache>
                <c:formatCode>0.000</c:formatCode>
                <c:ptCount val="8"/>
                <c:pt idx="0">
                  <c:v>0.50700000000000001</c:v>
                </c:pt>
                <c:pt idx="1">
                  <c:v>0.47199999999999998</c:v>
                </c:pt>
                <c:pt idx="2">
                  <c:v>0.76100000000000001</c:v>
                </c:pt>
                <c:pt idx="3">
                  <c:v>2.3140000000000001</c:v>
                </c:pt>
                <c:pt idx="4">
                  <c:v>5.7249999999999996</c:v>
                </c:pt>
                <c:pt idx="5">
                  <c:v>6.6189999999999998</c:v>
                </c:pt>
                <c:pt idx="6">
                  <c:v>15.353</c:v>
                </c:pt>
                <c:pt idx="7">
                  <c:v>22.321000000000002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C8-4313-B83B-91E8C4950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899343"/>
        <c:axId val="532908911"/>
      </c:scatterChart>
      <c:valAx>
        <c:axId val="53289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08911"/>
        <c:crosses val="autoZero"/>
        <c:crossBetween val="midCat"/>
      </c:valAx>
      <c:valAx>
        <c:axId val="5329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99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Accounts &amp; Notes Receivables (1m HKD) vs Waste Handled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Historical'!$AL$1</c:f>
              <c:strCache>
                <c:ptCount val="1"/>
                <c:pt idx="0">
                  <c:v>Accounts &amp; Notes Receivables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Historical'!$E$5:$E$12</c:f>
              <c:numCache>
                <c:formatCode>_-* #,##0_-;\-* #,##0_-;_-* "-"_-;_-@_-</c:formatCode>
                <c:ptCount val="8"/>
                <c:pt idx="0">
                  <c:v>1320189</c:v>
                </c:pt>
                <c:pt idx="1">
                  <c:v>1504558</c:v>
                </c:pt>
                <c:pt idx="2">
                  <c:v>2369146</c:v>
                </c:pt>
                <c:pt idx="3">
                  <c:v>3527221</c:v>
                </c:pt>
                <c:pt idx="4">
                  <c:v>5033698</c:v>
                </c:pt>
                <c:pt idx="5">
                  <c:v>5912000</c:v>
                </c:pt>
                <c:pt idx="6">
                  <c:v>7174000</c:v>
                </c:pt>
                <c:pt idx="7">
                  <c:v>11073555</c:v>
                </c:pt>
              </c:numCache>
            </c:numRef>
          </c:xVal>
          <c:yVal>
            <c:numRef>
              <c:f>'Company Historical'!$AL$5:$AL$12</c:f>
              <c:numCache>
                <c:formatCode>General</c:formatCode>
                <c:ptCount val="8"/>
                <c:pt idx="0">
                  <c:v>70.966999999999999</c:v>
                </c:pt>
                <c:pt idx="1">
                  <c:v>86.578000000000003</c:v>
                </c:pt>
                <c:pt idx="2">
                  <c:v>114.334</c:v>
                </c:pt>
                <c:pt idx="3">
                  <c:v>260.19099999999997</c:v>
                </c:pt>
                <c:pt idx="4">
                  <c:v>260.32299999999998</c:v>
                </c:pt>
                <c:pt idx="5">
                  <c:v>465.916</c:v>
                </c:pt>
                <c:pt idx="6">
                  <c:v>699.03099999999995</c:v>
                </c:pt>
                <c:pt idx="7">
                  <c:v>1062.02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E-46FC-ACF5-9194EA2D3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440303"/>
        <c:axId val="472442383"/>
      </c:scatterChart>
      <c:valAx>
        <c:axId val="47244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42383"/>
        <c:crosses val="autoZero"/>
        <c:crossBetween val="midCat"/>
      </c:valAx>
      <c:valAx>
        <c:axId val="4724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4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Historical'!$AS$1</c:f>
              <c:strCache>
                <c:ptCount val="1"/>
                <c:pt idx="0">
                  <c:v>Net Fixed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Historical'!$AS$2:$AS$12</c:f>
              <c:numCache>
                <c:formatCode>0.000</c:formatCode>
                <c:ptCount val="11"/>
                <c:pt idx="0">
                  <c:v>699.63300000000004</c:v>
                </c:pt>
                <c:pt idx="1">
                  <c:v>659.7</c:v>
                </c:pt>
                <c:pt idx="2">
                  <c:v>643.12400000000002</c:v>
                </c:pt>
                <c:pt idx="3">
                  <c:v>697.35900000000004</c:v>
                </c:pt>
                <c:pt idx="4">
                  <c:v>1118.6310000000001</c:v>
                </c:pt>
                <c:pt idx="5">
                  <c:v>1342.152</c:v>
                </c:pt>
                <c:pt idx="6">
                  <c:v>1665.7270000000001</c:v>
                </c:pt>
                <c:pt idx="7">
                  <c:v>1527.8910000000001</c:v>
                </c:pt>
                <c:pt idx="8">
                  <c:v>1444.6489999999999</c:v>
                </c:pt>
                <c:pt idx="9">
                  <c:v>1478.7049999999999</c:v>
                </c:pt>
                <c:pt idx="10">
                  <c:v>1729.3720000000001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5-4568-9953-33811A0DB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699183"/>
        <c:axId val="805689615"/>
      </c:scatterChart>
      <c:valAx>
        <c:axId val="80569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689615"/>
        <c:crosses val="autoZero"/>
        <c:crossBetween val="midCat"/>
      </c:valAx>
      <c:valAx>
        <c:axId val="80568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69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Other Long Term Assets (1m HKD) vs Accumulated</a:t>
            </a:r>
            <a:r>
              <a:rPr lang="en-US" altLang="zh-TW" baseline="0"/>
              <a:t> BOT Revenue Ex. 2011-2013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Historical'!$AT$1</c:f>
              <c:strCache>
                <c:ptCount val="1"/>
                <c:pt idx="0">
                  <c:v>Other Long Term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Historical'!$W$5:$W$12</c:f>
              <c:numCache>
                <c:formatCode>_-* #,##0_-;\-* #,##0_-;_-* "-"_-;_-@_-</c:formatCode>
                <c:ptCount val="8"/>
                <c:pt idx="0">
                  <c:v>252021</c:v>
                </c:pt>
                <c:pt idx="1">
                  <c:v>855429</c:v>
                </c:pt>
                <c:pt idx="2">
                  <c:v>1733391</c:v>
                </c:pt>
                <c:pt idx="3">
                  <c:v>3051751</c:v>
                </c:pt>
                <c:pt idx="4">
                  <c:v>4813864</c:v>
                </c:pt>
                <c:pt idx="5">
                  <c:v>6903395</c:v>
                </c:pt>
                <c:pt idx="6">
                  <c:v>9707354</c:v>
                </c:pt>
                <c:pt idx="7">
                  <c:v>13337512</c:v>
                </c:pt>
              </c:numCache>
            </c:numRef>
          </c:xVal>
          <c:yVal>
            <c:numRef>
              <c:f>'Company Historical'!$AT$5:$AT$12</c:f>
              <c:numCache>
                <c:formatCode>General</c:formatCode>
                <c:ptCount val="8"/>
                <c:pt idx="0">
                  <c:v>1503.703</c:v>
                </c:pt>
                <c:pt idx="1">
                  <c:v>2546.1410000000001</c:v>
                </c:pt>
                <c:pt idx="2">
                  <c:v>3746.489</c:v>
                </c:pt>
                <c:pt idx="3">
                  <c:v>5621.6360000000004</c:v>
                </c:pt>
                <c:pt idx="4">
                  <c:v>7369.732</c:v>
                </c:pt>
                <c:pt idx="5">
                  <c:v>9854.8539999999994</c:v>
                </c:pt>
                <c:pt idx="6">
                  <c:v>14174.075999999999</c:v>
                </c:pt>
                <c:pt idx="7">
                  <c:v>18698.554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5-4E1D-ADE6-42BBFB996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70127"/>
        <c:axId val="1132643919"/>
      </c:scatterChart>
      <c:valAx>
        <c:axId val="113267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43919"/>
        <c:crosses val="autoZero"/>
        <c:crossBetween val="midCat"/>
      </c:valAx>
      <c:valAx>
        <c:axId val="113264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7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Historical'!$AU$1</c:f>
              <c:strCache>
                <c:ptCount val="1"/>
                <c:pt idx="0">
                  <c:v>Account Payable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('Company Historical'!$AL$2:$AL$8,'Company Historical'!$AL$10:$AL$12)</c:f>
              <c:numCache>
                <c:formatCode>General</c:formatCode>
                <c:ptCount val="10"/>
                <c:pt idx="0">
                  <c:v>63.009</c:v>
                </c:pt>
                <c:pt idx="1">
                  <c:v>78.77</c:v>
                </c:pt>
                <c:pt idx="2">
                  <c:v>68.272999999999996</c:v>
                </c:pt>
                <c:pt idx="3">
                  <c:v>70.966999999999999</c:v>
                </c:pt>
                <c:pt idx="4">
                  <c:v>86.578000000000003</c:v>
                </c:pt>
                <c:pt idx="5">
                  <c:v>114.334</c:v>
                </c:pt>
                <c:pt idx="6">
                  <c:v>260.19099999999997</c:v>
                </c:pt>
                <c:pt idx="7">
                  <c:v>465.916</c:v>
                </c:pt>
                <c:pt idx="8">
                  <c:v>699.03099999999995</c:v>
                </c:pt>
                <c:pt idx="9">
                  <c:v>1062.02</c:v>
                </c:pt>
              </c:numCache>
            </c:numRef>
          </c:xVal>
          <c:yVal>
            <c:numRef>
              <c:f>('Company Historical'!$AU$2:$AU$8,'Company Historical'!$AU$10:$AU$12)</c:f>
              <c:numCache>
                <c:formatCode>0.000</c:formatCode>
                <c:ptCount val="10"/>
                <c:pt idx="0">
                  <c:v>9.4009999999999998</c:v>
                </c:pt>
                <c:pt idx="1">
                  <c:v>7.3140000000000001</c:v>
                </c:pt>
                <c:pt idx="2">
                  <c:v>18.097000000000001</c:v>
                </c:pt>
                <c:pt idx="3">
                  <c:v>25.696000000000002</c:v>
                </c:pt>
                <c:pt idx="4">
                  <c:v>49.642000000000003</c:v>
                </c:pt>
                <c:pt idx="5">
                  <c:v>64.475999999999999</c:v>
                </c:pt>
                <c:pt idx="6">
                  <c:v>113.078</c:v>
                </c:pt>
                <c:pt idx="7">
                  <c:v>154.00200000000001</c:v>
                </c:pt>
                <c:pt idx="8">
                  <c:v>185.83099999999999</c:v>
                </c:pt>
                <c:pt idx="9">
                  <c:v>261.31299999999999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5-4DF3-A485-190660C6D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392703"/>
        <c:axId val="1039398943"/>
      </c:scatterChart>
      <c:valAx>
        <c:axId val="103939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398943"/>
        <c:crosses val="autoZero"/>
        <c:crossBetween val="midCat"/>
      </c:valAx>
      <c:valAx>
        <c:axId val="10393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39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Account Payable (1m HKD) vs Handled Wastes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Historical'!$AU$1</c:f>
              <c:strCache>
                <c:ptCount val="1"/>
                <c:pt idx="0">
                  <c:v>Account Payable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_);[Red]\(#,##0.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Historical'!$E$2:$E$12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xVal>
          <c:yVal>
            <c:numRef>
              <c:f>'Company Historical'!$AU$2:$AU$12</c:f>
              <c:numCache>
                <c:formatCode>0.000</c:formatCode>
                <c:ptCount val="11"/>
                <c:pt idx="0">
                  <c:v>9.4009999999999998</c:v>
                </c:pt>
                <c:pt idx="1">
                  <c:v>7.3140000000000001</c:v>
                </c:pt>
                <c:pt idx="2">
                  <c:v>18.097000000000001</c:v>
                </c:pt>
                <c:pt idx="3">
                  <c:v>25.696000000000002</c:v>
                </c:pt>
                <c:pt idx="4">
                  <c:v>49.642000000000003</c:v>
                </c:pt>
                <c:pt idx="5">
                  <c:v>64.475999999999999</c:v>
                </c:pt>
                <c:pt idx="6">
                  <c:v>113.078</c:v>
                </c:pt>
                <c:pt idx="7">
                  <c:v>198.73</c:v>
                </c:pt>
                <c:pt idx="8">
                  <c:v>154.00200000000001</c:v>
                </c:pt>
                <c:pt idx="9">
                  <c:v>185.83099999999999</c:v>
                </c:pt>
                <c:pt idx="10">
                  <c:v>261.31299999999999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82-4C6B-99A5-A26708F9B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171903"/>
        <c:axId val="732156095"/>
      </c:scatterChart>
      <c:valAx>
        <c:axId val="73217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56095"/>
        <c:crosses val="autoZero"/>
        <c:crossBetween val="midCat"/>
      </c:valAx>
      <c:valAx>
        <c:axId val="73215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7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Long Term Borrowing (1m HKD) vs Accumulated</a:t>
            </a:r>
            <a:r>
              <a:rPr lang="en-US" altLang="zh-TW" baseline="0"/>
              <a:t> BOT Revenue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Historical'!$AY$1</c:f>
              <c:strCache>
                <c:ptCount val="1"/>
                <c:pt idx="0">
                  <c:v>Long Term Borrowing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'Company Historical'!$W$2:$W$12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855429</c:v>
                </c:pt>
                <c:pt idx="5">
                  <c:v>1733391</c:v>
                </c:pt>
                <c:pt idx="6">
                  <c:v>3051751</c:v>
                </c:pt>
                <c:pt idx="7">
                  <c:v>4813864</c:v>
                </c:pt>
                <c:pt idx="8">
                  <c:v>6903395</c:v>
                </c:pt>
                <c:pt idx="9">
                  <c:v>9707354</c:v>
                </c:pt>
                <c:pt idx="10">
                  <c:v>13337512</c:v>
                </c:pt>
              </c:numCache>
            </c:numRef>
          </c:xVal>
          <c:yVal>
            <c:numRef>
              <c:f>'Company Historical'!$AY$2:$AY$12</c:f>
              <c:numCache>
                <c:formatCode>0.000</c:formatCode>
                <c:ptCount val="11"/>
                <c:pt idx="0">
                  <c:v>399.346</c:v>
                </c:pt>
                <c:pt idx="1">
                  <c:v>323.73399999999998</c:v>
                </c:pt>
                <c:pt idx="2">
                  <c:v>293.80700000000002</c:v>
                </c:pt>
                <c:pt idx="3">
                  <c:v>776.11</c:v>
                </c:pt>
                <c:pt idx="4">
                  <c:v>1098.8520000000001</c:v>
                </c:pt>
                <c:pt idx="5">
                  <c:v>2042.4839999999999</c:v>
                </c:pt>
                <c:pt idx="6">
                  <c:v>2797.0610000000001</c:v>
                </c:pt>
                <c:pt idx="7">
                  <c:v>3616.9360000000001</c:v>
                </c:pt>
                <c:pt idx="8">
                  <c:v>4562.5929999999998</c:v>
                </c:pt>
                <c:pt idx="9">
                  <c:v>8357.65</c:v>
                </c:pt>
                <c:pt idx="10">
                  <c:v>11282.224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D-45A5-A2D1-45F1D60DB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486735"/>
        <c:axId val="927499631"/>
      </c:scatterChart>
      <c:valAx>
        <c:axId val="92748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99631"/>
        <c:crosses val="autoZero"/>
        <c:crossBetween val="midCat"/>
      </c:valAx>
      <c:valAx>
        <c:axId val="9274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8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Historical'!$AZ$1</c:f>
              <c:strCache>
                <c:ptCount val="1"/>
                <c:pt idx="0">
                  <c:v>Other Long Term Borrowing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Historical'!$A$5:$A$12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xVal>
          <c:yVal>
            <c:numRef>
              <c:f>'Company Historical'!$AZ$5:$AZ$12</c:f>
              <c:numCache>
                <c:formatCode>General</c:formatCode>
                <c:ptCount val="8"/>
                <c:pt idx="0">
                  <c:v>105.82899999999999</c:v>
                </c:pt>
                <c:pt idx="1">
                  <c:v>249.43700000000001</c:v>
                </c:pt>
                <c:pt idx="2">
                  <c:v>436.72500000000002</c:v>
                </c:pt>
                <c:pt idx="3">
                  <c:v>535.88800000000003</c:v>
                </c:pt>
                <c:pt idx="4">
                  <c:v>668.423</c:v>
                </c:pt>
                <c:pt idx="5">
                  <c:v>826.06399999999996</c:v>
                </c:pt>
                <c:pt idx="6">
                  <c:v>938.09100000000001</c:v>
                </c:pt>
                <c:pt idx="7">
                  <c:v>1091.44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17-4162-B0F0-3486283D1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97727"/>
        <c:axId val="1123281919"/>
      </c:scatterChart>
      <c:valAx>
        <c:axId val="112329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81919"/>
        <c:crosses val="autoZero"/>
        <c:crossBetween val="midCat"/>
      </c:valAx>
      <c:valAx>
        <c:axId val="112328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9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Historical'!$AW$1</c:f>
              <c:strCache>
                <c:ptCount val="1"/>
                <c:pt idx="0">
                  <c:v>Other Short term Liabilities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Historical'!$A$5:$A$12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xVal>
          <c:yVal>
            <c:numRef>
              <c:f>'Company Historical'!$AW$5:$AW$12</c:f>
              <c:numCache>
                <c:formatCode>General</c:formatCode>
                <c:ptCount val="8"/>
                <c:pt idx="0">
                  <c:v>189.24100000000001</c:v>
                </c:pt>
                <c:pt idx="1">
                  <c:v>414.54199999999997</c:v>
                </c:pt>
                <c:pt idx="2">
                  <c:v>517.33900000000006</c:v>
                </c:pt>
                <c:pt idx="3">
                  <c:v>559.80600000000004</c:v>
                </c:pt>
                <c:pt idx="4">
                  <c:v>627.73900000000003</c:v>
                </c:pt>
                <c:pt idx="5">
                  <c:v>1079.17</c:v>
                </c:pt>
                <c:pt idx="6">
                  <c:v>1297.135</c:v>
                </c:pt>
                <c:pt idx="7">
                  <c:v>1487.8630000000001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1-46BA-91FC-03F6D09F6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92735"/>
        <c:axId val="1123294399"/>
      </c:scatterChart>
      <c:valAx>
        <c:axId val="112329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94399"/>
        <c:crosses val="autoZero"/>
        <c:crossBetween val="midCat"/>
      </c:valAx>
      <c:valAx>
        <c:axId val="112329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9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Historical'!$AP$1</c:f>
              <c:strCache>
                <c:ptCount val="1"/>
                <c:pt idx="0">
                  <c:v>Other Current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6434300999092389E-2"/>
                  <c:y val="-7.86842893669278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Historical'!$AP$2:$AP$12</c:f>
              <c:numCache>
                <c:formatCode>0.000</c:formatCode>
                <c:ptCount val="11"/>
                <c:pt idx="0">
                  <c:v>8.4979999999999993</c:v>
                </c:pt>
                <c:pt idx="1">
                  <c:v>13.3</c:v>
                </c:pt>
                <c:pt idx="2">
                  <c:v>96.441000000000003</c:v>
                </c:pt>
                <c:pt idx="3">
                  <c:v>39.944000000000003</c:v>
                </c:pt>
                <c:pt idx="4">
                  <c:v>266.959</c:v>
                </c:pt>
                <c:pt idx="5">
                  <c:v>238.215</c:v>
                </c:pt>
                <c:pt idx="6">
                  <c:v>361.26600000000002</c:v>
                </c:pt>
                <c:pt idx="7">
                  <c:v>437.15</c:v>
                </c:pt>
                <c:pt idx="8">
                  <c:v>674.40200000000004</c:v>
                </c:pt>
                <c:pt idx="9">
                  <c:v>885.072</c:v>
                </c:pt>
                <c:pt idx="10">
                  <c:v>1223.395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7-4A92-ADA7-0AD48976A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304911"/>
        <c:axId val="1934301167"/>
      </c:scatterChart>
      <c:valAx>
        <c:axId val="193430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301167"/>
        <c:crosses val="autoZero"/>
        <c:crossBetween val="midCat"/>
      </c:valAx>
      <c:valAx>
        <c:axId val="193430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30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Depreciation (1m HKD) vs BOT Revenue Ex 2011-2013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Historical'!$BC$1</c:f>
              <c:strCache>
                <c:ptCount val="1"/>
                <c:pt idx="0">
                  <c:v>Depreciation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Historical'!$W$5:$W$12</c:f>
              <c:numCache>
                <c:formatCode>_-* #,##0_-;\-* #,##0_-;_-* "-"_-;_-@_-</c:formatCode>
                <c:ptCount val="8"/>
                <c:pt idx="0">
                  <c:v>252021</c:v>
                </c:pt>
                <c:pt idx="1">
                  <c:v>855429</c:v>
                </c:pt>
                <c:pt idx="2">
                  <c:v>1733391</c:v>
                </c:pt>
                <c:pt idx="3">
                  <c:v>3051751</c:v>
                </c:pt>
                <c:pt idx="4">
                  <c:v>4813864</c:v>
                </c:pt>
                <c:pt idx="5">
                  <c:v>6903395</c:v>
                </c:pt>
                <c:pt idx="6">
                  <c:v>9707354</c:v>
                </c:pt>
                <c:pt idx="7">
                  <c:v>13337512</c:v>
                </c:pt>
              </c:numCache>
            </c:numRef>
          </c:xVal>
          <c:yVal>
            <c:numRef>
              <c:f>'Company Historical'!$BC$5:$BC$12</c:f>
              <c:numCache>
                <c:formatCode>General</c:formatCode>
                <c:ptCount val="8"/>
                <c:pt idx="0">
                  <c:v>105.014</c:v>
                </c:pt>
                <c:pt idx="1">
                  <c:v>118.786</c:v>
                </c:pt>
                <c:pt idx="2">
                  <c:v>151.09100000000001</c:v>
                </c:pt>
                <c:pt idx="3">
                  <c:v>188.191</c:v>
                </c:pt>
                <c:pt idx="4">
                  <c:v>283.685</c:v>
                </c:pt>
                <c:pt idx="5">
                  <c:v>330.94099999999997</c:v>
                </c:pt>
                <c:pt idx="6">
                  <c:v>453.27499999999998</c:v>
                </c:pt>
                <c:pt idx="7">
                  <c:v>645.572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7-46FD-9E4B-88EA1FA56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012959"/>
        <c:axId val="930017535"/>
      </c:scatterChart>
      <c:valAx>
        <c:axId val="93001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017535"/>
        <c:crosses val="autoZero"/>
        <c:crossBetween val="midCat"/>
      </c:valAx>
      <c:valAx>
        <c:axId val="93001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01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Historical'!$BD$1</c:f>
              <c:strCache>
                <c:ptCount val="1"/>
                <c:pt idx="0">
                  <c:v>Other Non-Cash Adjustment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Historical'!$V$2:$V$12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603408</c:v>
                </c:pt>
                <c:pt idx="5">
                  <c:v>877962</c:v>
                </c:pt>
                <c:pt idx="6">
                  <c:v>1318360</c:v>
                </c:pt>
                <c:pt idx="7">
                  <c:v>1762113</c:v>
                </c:pt>
                <c:pt idx="8">
                  <c:v>2089531</c:v>
                </c:pt>
                <c:pt idx="9">
                  <c:v>2803959</c:v>
                </c:pt>
                <c:pt idx="10">
                  <c:v>3630158</c:v>
                </c:pt>
              </c:numCache>
            </c:numRef>
          </c:xVal>
          <c:yVal>
            <c:numRef>
              <c:f>'Company Historical'!$BD$2:$BD$12</c:f>
              <c:numCache>
                <c:formatCode>General</c:formatCode>
                <c:ptCount val="11"/>
                <c:pt idx="0">
                  <c:v>16.940000000000001</c:v>
                </c:pt>
                <c:pt idx="1">
                  <c:v>21.027000000000001</c:v>
                </c:pt>
                <c:pt idx="2">
                  <c:v>-11.007999999999999</c:v>
                </c:pt>
                <c:pt idx="3">
                  <c:v>-193.15899999999999</c:v>
                </c:pt>
                <c:pt idx="4">
                  <c:v>-565.47500000000002</c:v>
                </c:pt>
                <c:pt idx="5">
                  <c:v>-837.149</c:v>
                </c:pt>
                <c:pt idx="6">
                  <c:v>-1267.645</c:v>
                </c:pt>
                <c:pt idx="7">
                  <c:v>-1719.8050000000001</c:v>
                </c:pt>
                <c:pt idx="8">
                  <c:v>-2046.7860000000001</c:v>
                </c:pt>
                <c:pt idx="9">
                  <c:v>-2882.835</c:v>
                </c:pt>
                <c:pt idx="10">
                  <c:v>-3678.7849999999999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B-4D6D-9DA8-1A19CC362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18959"/>
        <c:axId val="1132624783"/>
      </c:scatterChart>
      <c:valAx>
        <c:axId val="113261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24783"/>
        <c:crosses val="autoZero"/>
        <c:crossBetween val="midCat"/>
      </c:valAx>
      <c:valAx>
        <c:axId val="113262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1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Quantity of China's</a:t>
            </a:r>
            <a:r>
              <a:rPr lang="en-US" altLang="zh-TW" baseline="0"/>
              <a:t> Urban Wastes </a:t>
            </a:r>
            <a:r>
              <a:rPr lang="en-US" altLang="zh-TW"/>
              <a:t>(10,000 ton)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'Industry+Forecast'!$B$1</c:f>
              <c:strCache>
                <c:ptCount val="1"/>
                <c:pt idx="0">
                  <c:v>Quantity of Collected and Transported (10,000 ton) from 住建部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4"/>
            <c:dispRSqr val="1"/>
            <c:dispEq val="1"/>
            <c:trendlineLbl>
              <c:layout>
                <c:manualLayout>
                  <c:x val="-0.45318350792710271"/>
                  <c:y val="9.8527883527033899E-2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'Industry+Forecast'!$A$2:$A$16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xVal>
          <c:yVal>
            <c:numRef>
              <c:f>'Industry+Forecast'!$B$2:$B$16</c:f>
              <c:numCache>
                <c:formatCode>General</c:formatCode>
                <c:ptCount val="15"/>
                <c:pt idx="0">
                  <c:v>16395</c:v>
                </c:pt>
                <c:pt idx="1">
                  <c:v>17081</c:v>
                </c:pt>
                <c:pt idx="2">
                  <c:v>17239</c:v>
                </c:pt>
                <c:pt idx="3">
                  <c:v>17860</c:v>
                </c:pt>
                <c:pt idx="4">
                  <c:v>19142</c:v>
                </c:pt>
                <c:pt idx="5">
                  <c:v>20362</c:v>
                </c:pt>
                <c:pt idx="6">
                  <c:v>21521</c:v>
                </c:pt>
                <c:pt idx="7">
                  <c:v>22802</c:v>
                </c:pt>
                <c:pt idx="8">
                  <c:v>24206</c:v>
                </c:pt>
                <c:pt idx="9">
                  <c:v>23512</c:v>
                </c:pt>
                <c:pt idx="10">
                  <c:v>25151.489999999991</c:v>
                </c:pt>
                <c:pt idx="11">
                  <c:v>26084.5</c:v>
                </c:pt>
                <c:pt idx="12">
                  <c:v>27017.510000000009</c:v>
                </c:pt>
                <c:pt idx="13">
                  <c:v>27950.520000000019</c:v>
                </c:pt>
                <c:pt idx="14">
                  <c:v>28883.530000000028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E-40E2-92A7-51161EF1D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25024"/>
        <c:axId val="70529184"/>
      </c:scatterChart>
      <c:valAx>
        <c:axId val="7052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9184"/>
        <c:crosses val="autoZero"/>
        <c:crossBetween val="midCat"/>
      </c:valAx>
      <c:valAx>
        <c:axId val="70529184"/>
        <c:scaling>
          <c:orientation val="minMax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'Industry+Forecast'!$D$1</c:f>
              <c:strCache>
                <c:ptCount val="1"/>
                <c:pt idx="0">
                  <c:v>全國日均城市生活垃圾焚燒無害化處理能力 (10000 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4"/>
            <c:dispRSqr val="1"/>
            <c:dispEq val="1"/>
            <c:trendlineLbl>
              <c:layout>
                <c:manualLayout>
                  <c:x val="-0.32880718835318912"/>
                  <c:y val="4.594685207905002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1800" baseline="0"/>
                      <a:t>y = 3E-162e</a:t>
                    </a:r>
                    <a:r>
                      <a:rPr lang="en-US" altLang="zh-TW" sz="1800" baseline="30000"/>
                      <a:t>0.1861x</a:t>
                    </a:r>
                    <a:br>
                      <a:rPr lang="en-US" altLang="zh-TW" sz="1800" baseline="0"/>
                    </a:br>
                    <a:r>
                      <a:rPr lang="en-US" altLang="zh-TW" sz="1800" baseline="0"/>
                      <a:t>R² = 0.9954</a:t>
                    </a:r>
                    <a:endParaRPr lang="en-US" altLang="zh-TW" sz="2800"/>
                  </a:p>
                </c:rich>
              </c:tx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'Industry+Forecast'!$A$2:$A$10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xVal>
          <c:yVal>
            <c:numRef>
              <c:f>'Industry+Forecast'!$D$2:$D$10</c:f>
              <c:numCache>
                <c:formatCode>0.0</c:formatCode>
                <c:ptCount val="9"/>
                <c:pt idx="0">
                  <c:v>9.4</c:v>
                </c:pt>
                <c:pt idx="1">
                  <c:v>12.3</c:v>
                </c:pt>
                <c:pt idx="2">
                  <c:v>15.8</c:v>
                </c:pt>
                <c:pt idx="3">
                  <c:v>18.600000000000001</c:v>
                </c:pt>
                <c:pt idx="4">
                  <c:v>21.9</c:v>
                </c:pt>
                <c:pt idx="5">
                  <c:v>25.6</c:v>
                </c:pt>
                <c:pt idx="6">
                  <c:v>29.8</c:v>
                </c:pt>
                <c:pt idx="7">
                  <c:v>36.5</c:v>
                </c:pt>
                <c:pt idx="8">
                  <c:v>45.6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C-4B22-9FAC-529F49579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490272"/>
        <c:axId val="1919495680"/>
      </c:scatterChart>
      <c:valAx>
        <c:axId val="191949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495680"/>
        <c:crosses val="autoZero"/>
        <c:crossBetween val="midCat"/>
      </c:valAx>
      <c:valAx>
        <c:axId val="19194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49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34061700371127"/>
          <c:y val="0.17634259259259263"/>
          <c:w val="0.823160021450497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'Industry+Forecast'!$H$1</c:f>
              <c:strCache>
                <c:ptCount val="1"/>
                <c:pt idx="0">
                  <c:v>Canvest Market Share (%) by Quantity of Treatment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648092163292238"/>
                  <c:y val="-5.2605351414406532E-2"/>
                </c:manualLayout>
              </c:layout>
              <c:numFmt formatCode="#,##0.0000000_);[Red]\(#,##0.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'Industry+Forecast'!$A$2:$A$12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'Industry+Forecast'!$H$2:$H$12</c:f>
              <c:numCache>
                <c:formatCode>0.000%</c:formatCode>
                <c:ptCount val="11"/>
                <c:pt idx="0">
                  <c:v>1.5799538461538462E-2</c:v>
                </c:pt>
                <c:pt idx="1">
                  <c:v>2.947088888888889E-2</c:v>
                </c:pt>
                <c:pt idx="2">
                  <c:v>2.1328717391304347E-2</c:v>
                </c:pt>
                <c:pt idx="3">
                  <c:v>2.490922641509434E-2</c:v>
                </c:pt>
                <c:pt idx="4">
                  <c:v>2.4267064516129033E-2</c:v>
                </c:pt>
                <c:pt idx="5">
                  <c:v>3.2015486486486486E-2</c:v>
                </c:pt>
                <c:pt idx="6">
                  <c:v>4.1496717647058826E-2</c:v>
                </c:pt>
                <c:pt idx="7">
                  <c:v>4.9349980392156864E-2</c:v>
                </c:pt>
                <c:pt idx="8">
                  <c:v>4.8459016393442626E-2</c:v>
                </c:pt>
                <c:pt idx="9">
                  <c:v>5.7399926516573781E-2</c:v>
                </c:pt>
                <c:pt idx="10">
                  <c:v>7.699674432691675E-2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9-48E7-88C9-2D0F7E0C0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488240"/>
        <c:axId val="1100488656"/>
      </c:scatterChart>
      <c:valAx>
        <c:axId val="110048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488656"/>
        <c:crosses val="autoZero"/>
        <c:crossBetween val="midCat"/>
      </c:valAx>
      <c:valAx>
        <c:axId val="11004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48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'Industry+Forecast'!$G$1</c:f>
              <c:strCache>
                <c:ptCount val="1"/>
                <c:pt idx="0">
                  <c:v>Incinerated/Collected (%)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4"/>
            <c:dispRSqr val="1"/>
            <c:dispEq val="1"/>
            <c:trendlineLbl>
              <c:layout>
                <c:manualLayout>
                  <c:x val="-0.16828171478565179"/>
                  <c:y val="-1.8226888305628465E-5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'Industry+Forecast'!$A$2:$A$10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xVal>
          <c:yVal>
            <c:numRef>
              <c:f>'Industry+Forecast'!$G$2:$G$10</c:f>
              <c:numCache>
                <c:formatCode>0%</c:formatCode>
                <c:ptCount val="9"/>
                <c:pt idx="0">
                  <c:v>0.15858493443122904</c:v>
                </c:pt>
                <c:pt idx="1">
                  <c:v>0.21076049411626954</c:v>
                </c:pt>
                <c:pt idx="2">
                  <c:v>0.26683682348164045</c:v>
                </c:pt>
                <c:pt idx="3">
                  <c:v>0.29675251959686449</c:v>
                </c:pt>
                <c:pt idx="4">
                  <c:v>0.32389509978058717</c:v>
                </c:pt>
                <c:pt idx="5">
                  <c:v>0.36342206070130634</c:v>
                </c:pt>
                <c:pt idx="6">
                  <c:v>0.3949630593373914</c:v>
                </c:pt>
                <c:pt idx="7">
                  <c:v>0.44732918165073238</c:v>
                </c:pt>
                <c:pt idx="8">
                  <c:v>0.50400727092456421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3-4907-AEA3-63B508D97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586464"/>
        <c:axId val="387586880"/>
      </c:scatterChart>
      <c:valAx>
        <c:axId val="3875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86880"/>
        <c:crosses val="autoZero"/>
        <c:crossBetween val="midCat"/>
      </c:valAx>
      <c:valAx>
        <c:axId val="3875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'Industry+Forecast'!$E$1</c:f>
              <c:strCache>
                <c:ptCount val="1"/>
                <c:pt idx="0">
                  <c:v>Incinerated (10000 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6346369203849518"/>
                  <c:y val="4.486111111111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'Industry+Forecast'!$A$2:$A$10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xVal>
          <c:yVal>
            <c:numRef>
              <c:f>'Industry+Forecast'!$E$2:$E$10</c:f>
              <c:numCache>
                <c:formatCode>0</c:formatCode>
                <c:ptCount val="9"/>
                <c:pt idx="0">
                  <c:v>2600</c:v>
                </c:pt>
                <c:pt idx="1">
                  <c:v>3600</c:v>
                </c:pt>
                <c:pt idx="2">
                  <c:v>4600</c:v>
                </c:pt>
                <c:pt idx="3">
                  <c:v>5300</c:v>
                </c:pt>
                <c:pt idx="4">
                  <c:v>6200</c:v>
                </c:pt>
                <c:pt idx="5">
                  <c:v>7400</c:v>
                </c:pt>
                <c:pt idx="6">
                  <c:v>8500</c:v>
                </c:pt>
                <c:pt idx="7">
                  <c:v>10200</c:v>
                </c:pt>
                <c:pt idx="8">
                  <c:v>12200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84-44E0-85CC-700D84120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664528"/>
        <c:axId val="786662448"/>
      </c:scatterChart>
      <c:valAx>
        <c:axId val="78666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62448"/>
        <c:crosses val="autoZero"/>
        <c:crossBetween val="midCat"/>
      </c:valAx>
      <c:valAx>
        <c:axId val="78666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6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全國日均城市生活垃圾焚燒無害化處理量 </a:t>
            </a:r>
            <a:r>
              <a:rPr lang="en-US" altLang="zh-TW"/>
              <a:t>Forecast (10000 ton)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'Industry+Forecast'!$E$1</c:f>
              <c:strCache>
                <c:ptCount val="1"/>
                <c:pt idx="0">
                  <c:v>Incinerated (10000 ton)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512642169728784"/>
                  <c:y val="2.2679717118693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'Industry+Forecast'!$A$2:$A$16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xVal>
          <c:yVal>
            <c:numRef>
              <c:f>'Industry+Forecast'!$E$2:$E$16</c:f>
              <c:numCache>
                <c:formatCode>0</c:formatCode>
                <c:ptCount val="15"/>
                <c:pt idx="0">
                  <c:v>2600</c:v>
                </c:pt>
                <c:pt idx="1">
                  <c:v>3600</c:v>
                </c:pt>
                <c:pt idx="2">
                  <c:v>4600</c:v>
                </c:pt>
                <c:pt idx="3">
                  <c:v>5300</c:v>
                </c:pt>
                <c:pt idx="4">
                  <c:v>6200</c:v>
                </c:pt>
                <c:pt idx="5">
                  <c:v>7400</c:v>
                </c:pt>
                <c:pt idx="6">
                  <c:v>8500</c:v>
                </c:pt>
                <c:pt idx="7">
                  <c:v>10200</c:v>
                </c:pt>
                <c:pt idx="8">
                  <c:v>12200</c:v>
                </c:pt>
                <c:pt idx="9">
                  <c:v>12498.273839999714</c:v>
                </c:pt>
                <c:pt idx="10">
                  <c:v>14381.848345409682</c:v>
                </c:pt>
                <c:pt idx="11">
                  <c:v>15964.966055999668</c:v>
                </c:pt>
                <c:pt idx="12">
                  <c:v>17623.170545369652</c:v>
                </c:pt>
                <c:pt idx="13">
                  <c:v>19356.46181351964</c:v>
                </c:pt>
                <c:pt idx="14">
                  <c:v>21164.839860450036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6-48AF-B16B-68C2BDFF9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91888"/>
        <c:axId val="1118397296"/>
      </c:scatterChart>
      <c:valAx>
        <c:axId val="111839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397296"/>
        <c:crosses val="autoZero"/>
        <c:crossBetween val="midCat"/>
      </c:valAx>
      <c:valAx>
        <c:axId val="11183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39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'Industry+Forecast'!$I$1</c:f>
              <c:strCache>
                <c:ptCount val="1"/>
                <c:pt idx="0">
                  <c:v>Canvest Treatment 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'Industry+Forecast'!$A$2:$A$16</c:f>
              <c:numCache>
                <c:formatCode>General</c:formatCode>
                <c:ptCount val="1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</c:numCache>
            </c:numRef>
          </c:xVal>
          <c:yVal>
            <c:numRef>
              <c:f>'Industry+Forecast'!$I$2:$I$16</c:f>
              <c:numCache>
                <c:formatCode>_-* #,##0_-;\-* #,##0_-;_-* "-"_-;_-@_-</c:formatCode>
                <c:ptCount val="15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  <c:pt idx="11">
                  <c:v>11884384.591950424</c:v>
                </c:pt>
                <c:pt idx="12">
                  <c:v>14024272.395617465</c:v>
                </c:pt>
                <c:pt idx="13">
                  <c:v>16398175.041635944</c:v>
                </c:pt>
                <c:pt idx="14">
                  <c:v>19017666.856607385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0D-4F82-B1DB-C1D54D383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623855"/>
        <c:axId val="395629263"/>
      </c:scatterChart>
      <c:valAx>
        <c:axId val="39562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629263"/>
        <c:crosses val="autoZero"/>
        <c:crossBetween val="midCat"/>
      </c:valAx>
      <c:valAx>
        <c:axId val="39562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623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Canvest Operating Capacity (ton/day)</a:t>
            </a:r>
            <a:r>
              <a:rPr lang="en-US" altLang="zh-TW" baseline="0"/>
              <a:t> Against Treatment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'Industry+Forecast'!$J$1</c:f>
              <c:strCache>
                <c:ptCount val="1"/>
                <c:pt idx="0">
                  <c:v>Canvest Operating Capacity (ton/day)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072429939999714"/>
                  <c:y val="-1.9095989979857088E-3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'Industry+Forecast'!$I$2:$I$12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xVal>
          <c:yVal>
            <c:numRef>
              <c:f>'Industry+Forecast'!$J$2:$J$12</c:f>
              <c:numCache>
                <c:formatCode>_-* #,##0_-;\-* #,##0_-;_-* "-"_-;_-@_-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2000</c:v>
                </c:pt>
                <c:pt idx="3">
                  <c:v>3600</c:v>
                </c:pt>
                <c:pt idx="4">
                  <c:v>5400</c:v>
                </c:pt>
                <c:pt idx="5">
                  <c:v>7600</c:v>
                </c:pt>
                <c:pt idx="6">
                  <c:v>12840</c:v>
                </c:pt>
                <c:pt idx="7">
                  <c:v>14740</c:v>
                </c:pt>
                <c:pt idx="8">
                  <c:v>15890</c:v>
                </c:pt>
                <c:pt idx="9">
                  <c:v>23090</c:v>
                </c:pt>
                <c:pt idx="10">
                  <c:v>35240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6-4B54-BCEE-E7730E1BA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191248"/>
        <c:axId val="890200816"/>
      </c:scatterChart>
      <c:valAx>
        <c:axId val="89019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00816"/>
        <c:crosses val="autoZero"/>
        <c:crossBetween val="midCat"/>
      </c:valAx>
      <c:valAx>
        <c:axId val="8902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19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BOT Revenue (1000 HKD) Against Construction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'Industry+Forecast'!$S$1</c:f>
              <c:strCache>
                <c:ptCount val="1"/>
                <c:pt idx="0">
                  <c:v>BOT Revenue (1000 HKD)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'Industry+Forecast'!$U$2:$U$12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206469</c:v>
                </c:pt>
                <c:pt idx="4">
                  <c:v>486106</c:v>
                </c:pt>
                <c:pt idx="5">
                  <c:v>703131</c:v>
                </c:pt>
                <c:pt idx="6">
                  <c:v>1054877</c:v>
                </c:pt>
                <c:pt idx="7">
                  <c:v>1413675</c:v>
                </c:pt>
                <c:pt idx="8">
                  <c:v>1678408</c:v>
                </c:pt>
                <c:pt idx="9">
                  <c:v>2254396</c:v>
                </c:pt>
                <c:pt idx="10">
                  <c:v>3052412</c:v>
                </c:pt>
              </c:numCache>
            </c:numRef>
          </c:xVal>
          <c:yVal>
            <c:numRef>
              <c:f>'Industry+Forecast'!$S$2:$S$12</c:f>
              <c:numCache>
                <c:formatCode>_-* #,##0.00_-;\-* #,##0.00_-;_-* "-"??_-;_-@_-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603408</c:v>
                </c:pt>
                <c:pt idx="5">
                  <c:v>877962</c:v>
                </c:pt>
                <c:pt idx="6">
                  <c:v>1318360</c:v>
                </c:pt>
                <c:pt idx="7">
                  <c:v>1762113</c:v>
                </c:pt>
                <c:pt idx="8">
                  <c:v>2089531</c:v>
                </c:pt>
                <c:pt idx="9">
                  <c:v>2803959</c:v>
                </c:pt>
                <c:pt idx="10">
                  <c:v>3630158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0-4F05-901F-F70BF08FA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487280"/>
        <c:axId val="698479376"/>
      </c:scatterChart>
      <c:valAx>
        <c:axId val="69848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79376"/>
        <c:crosses val="autoZero"/>
        <c:crossBetween val="midCat"/>
      </c:valAx>
      <c:valAx>
        <c:axId val="69847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48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Cost of Goods Sold Ex. Construction (1000 HKD) Against</a:t>
            </a:r>
            <a:r>
              <a:rPr lang="en-US" altLang="zh-TW" baseline="0"/>
              <a:t> Sale of Electricity + WM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Historical'!$AC$1</c:f>
              <c:strCache>
                <c:ptCount val="1"/>
                <c:pt idx="0">
                  <c:v>Cost of Goods Sold Ex. Construction (1000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Historical'!$U$2:$U$12</c:f>
              <c:numCache>
                <c:formatCode>_-* #,##0_-;\-* #,##0_-;_-* "-"_-;_-@_-</c:formatCode>
                <c:ptCount val="11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542128</c:v>
                </c:pt>
                <c:pt idx="4">
                  <c:v>581128</c:v>
                </c:pt>
                <c:pt idx="5">
                  <c:v>775590</c:v>
                </c:pt>
                <c:pt idx="6">
                  <c:v>1079171</c:v>
                </c:pt>
                <c:pt idx="7">
                  <c:v>1563691</c:v>
                </c:pt>
                <c:pt idx="8">
                  <c:v>1756910</c:v>
                </c:pt>
                <c:pt idx="9">
                  <c:v>2062249</c:v>
                </c:pt>
                <c:pt idx="10">
                  <c:v>2997264</c:v>
                </c:pt>
              </c:numCache>
            </c:numRef>
          </c:xVal>
          <c:yVal>
            <c:numRef>
              <c:f>'Company Historical'!$AC$2:$AC$12</c:f>
              <c:numCache>
                <c:formatCode>_-* #,##0_-;\-* #,##0_-;_-* "-"_-;_-@_-</c:formatCode>
                <c:ptCount val="11"/>
                <c:pt idx="0">
                  <c:v>59474</c:v>
                </c:pt>
                <c:pt idx="1">
                  <c:v>180367</c:v>
                </c:pt>
                <c:pt idx="2">
                  <c:v>187537</c:v>
                </c:pt>
                <c:pt idx="3">
                  <c:v>245177</c:v>
                </c:pt>
                <c:pt idx="4">
                  <c:v>259106</c:v>
                </c:pt>
                <c:pt idx="5">
                  <c:v>361132</c:v>
                </c:pt>
                <c:pt idx="6">
                  <c:v>523990</c:v>
                </c:pt>
                <c:pt idx="7">
                  <c:v>815127</c:v>
                </c:pt>
                <c:pt idx="8">
                  <c:v>1008282</c:v>
                </c:pt>
                <c:pt idx="9">
                  <c:v>1188386</c:v>
                </c:pt>
                <c:pt idx="10">
                  <c:v>1631880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11-4F2D-9BD3-79014268E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114816"/>
        <c:axId val="650109408"/>
      </c:scatterChart>
      <c:valAx>
        <c:axId val="65011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09408"/>
        <c:crosses val="autoZero"/>
        <c:crossBetween val="midCat"/>
      </c:valAx>
      <c:valAx>
        <c:axId val="6501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1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Operating Expense (1000 HKD) Against</a:t>
            </a:r>
            <a:r>
              <a:rPr lang="en-US" altLang="zh-TW" baseline="0"/>
              <a:t> Annual Handled Wastes (ton)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Historical'!$AD$1</c:f>
              <c:strCache>
                <c:ptCount val="1"/>
                <c:pt idx="0">
                  <c:v>Operating Expense (1000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Historical'!$E$2:$E$12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xVal>
          <c:yVal>
            <c:numRef>
              <c:f>'Company Historical'!$AD$2:$AD$12</c:f>
              <c:numCache>
                <c:formatCode>_-* #,##0_-;\-* #,##0_-;_-* "-"_-;_-@_-</c:formatCode>
                <c:ptCount val="11"/>
                <c:pt idx="0">
                  <c:v>16467</c:v>
                </c:pt>
                <c:pt idx="1">
                  <c:v>35147</c:v>
                </c:pt>
                <c:pt idx="2">
                  <c:v>38584</c:v>
                </c:pt>
                <c:pt idx="3">
                  <c:v>63542</c:v>
                </c:pt>
                <c:pt idx="4">
                  <c:v>111646</c:v>
                </c:pt>
                <c:pt idx="5">
                  <c:v>122904</c:v>
                </c:pt>
                <c:pt idx="6">
                  <c:v>164701</c:v>
                </c:pt>
                <c:pt idx="7">
                  <c:v>228299</c:v>
                </c:pt>
                <c:pt idx="8">
                  <c:v>241915</c:v>
                </c:pt>
                <c:pt idx="9">
                  <c:v>325363</c:v>
                </c:pt>
                <c:pt idx="10">
                  <c:v>517952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82-40E4-9443-5B177DFC6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139712"/>
        <c:axId val="996135136"/>
      </c:scatterChart>
      <c:valAx>
        <c:axId val="99613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135136"/>
        <c:crosses val="autoZero"/>
        <c:crossBetween val="midCat"/>
      </c:valAx>
      <c:valAx>
        <c:axId val="9961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13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Net Interest Expense (1000 HKD) vs Handled</a:t>
            </a:r>
            <a:r>
              <a:rPr lang="en-US" altLang="zh-TW" baseline="0"/>
              <a:t> Wastes per Year Ex. 2020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Historical'!$AG$1</c:f>
              <c:strCache>
                <c:ptCount val="1"/>
                <c:pt idx="0">
                  <c:v>Net Interest Expense (1000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('Company Historical'!$E$2:$E$10,'Company Historical'!$E$12)</c:f>
              <c:numCache>
                <c:formatCode>_-* #,##0_-;\-* #,##0_-;_-* "-"_-;_-@_-</c:formatCode>
                <c:ptCount val="10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11073555</c:v>
                </c:pt>
              </c:numCache>
            </c:numRef>
          </c:xVal>
          <c:yVal>
            <c:numRef>
              <c:f>('Company Historical'!$AG$2:$AG$10,'Company Historical'!$AG$12)</c:f>
              <c:numCache>
                <c:formatCode>_-* #,##0_-;\-* #,##0_-;_-* "-"_-;_-@_-</c:formatCode>
                <c:ptCount val="10"/>
                <c:pt idx="0">
                  <c:v>25020</c:v>
                </c:pt>
                <c:pt idx="1">
                  <c:v>32575</c:v>
                </c:pt>
                <c:pt idx="2">
                  <c:v>25861</c:v>
                </c:pt>
                <c:pt idx="3">
                  <c:v>61809</c:v>
                </c:pt>
                <c:pt idx="4">
                  <c:v>51374</c:v>
                </c:pt>
                <c:pt idx="5">
                  <c:v>84905</c:v>
                </c:pt>
                <c:pt idx="6">
                  <c:v>105572</c:v>
                </c:pt>
                <c:pt idx="7">
                  <c:v>169990</c:v>
                </c:pt>
                <c:pt idx="8">
                  <c:v>204183</c:v>
                </c:pt>
                <c:pt idx="9">
                  <c:v>411608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45-4ECD-9E49-F7704169C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8559"/>
        <c:axId val="6405215"/>
      </c:scatterChart>
      <c:valAx>
        <c:axId val="639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215"/>
        <c:crosses val="autoZero"/>
        <c:crossBetween val="midCat"/>
      </c:valAx>
      <c:valAx>
        <c:axId val="64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Other Income (1000 HKD) Against</a:t>
            </a:r>
            <a:r>
              <a:rPr lang="en-US" altLang="zh-TW" baseline="0"/>
              <a:t> Total Revenue</a:t>
            </a:r>
            <a:r>
              <a:rPr lang="en-US" altLang="zh-TW"/>
              <a:t> Ex. 2020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Historical'!$AE$1</c:f>
              <c:strCache>
                <c:ptCount val="1"/>
                <c:pt idx="0">
                  <c:v>Other Income (1000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('Company Historical'!$Z$2:$Z$10,'Company Historical'!$Z$12)</c:f>
              <c:numCache>
                <c:formatCode>_-* #,##0_-;\-* #,##0_-;_-* "-"_-;_-@_-</c:formatCode>
                <c:ptCount val="10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794149</c:v>
                </c:pt>
                <c:pt idx="4">
                  <c:v>1184536</c:v>
                </c:pt>
                <c:pt idx="5">
                  <c:v>1653552</c:v>
                </c:pt>
                <c:pt idx="6">
                  <c:v>2397531</c:v>
                </c:pt>
                <c:pt idx="7">
                  <c:v>3325804</c:v>
                </c:pt>
                <c:pt idx="8">
                  <c:v>3864929</c:v>
                </c:pt>
                <c:pt idx="9">
                  <c:v>6663417</c:v>
                </c:pt>
              </c:numCache>
            </c:numRef>
          </c:xVal>
          <c:yVal>
            <c:numRef>
              <c:f>'Company Historical'!$AE$2:$AE$12</c:f>
              <c:numCache>
                <c:formatCode>_-* #,##0_-;\-* #,##0_-;_-* "-"_-;_-@_-</c:formatCode>
                <c:ptCount val="11"/>
                <c:pt idx="0">
                  <c:v>569</c:v>
                </c:pt>
                <c:pt idx="1">
                  <c:v>12890</c:v>
                </c:pt>
                <c:pt idx="2">
                  <c:v>13314</c:v>
                </c:pt>
                <c:pt idx="3">
                  <c:v>51848</c:v>
                </c:pt>
                <c:pt idx="4">
                  <c:v>53483</c:v>
                </c:pt>
                <c:pt idx="5">
                  <c:v>80967</c:v>
                </c:pt>
                <c:pt idx="6">
                  <c:v>95190</c:v>
                </c:pt>
                <c:pt idx="7">
                  <c:v>121460</c:v>
                </c:pt>
                <c:pt idx="8">
                  <c:v>147485</c:v>
                </c:pt>
                <c:pt idx="9">
                  <c:v>259595</c:v>
                </c:pt>
                <c:pt idx="10">
                  <c:v>270193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EB-4300-B169-ABCC6C1B6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179952"/>
        <c:axId val="423181200"/>
      </c:scatterChart>
      <c:valAx>
        <c:axId val="4231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81200"/>
        <c:crosses val="autoZero"/>
        <c:crossBetween val="midCat"/>
      </c:valAx>
      <c:valAx>
        <c:axId val="4231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7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Total Current Assets (1m HKD) vs</a:t>
            </a:r>
            <a:r>
              <a:rPr lang="en-US" altLang="zh-TW" baseline="0"/>
              <a:t> Total Revenue Ex. 2014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Historical'!$AR$1</c:f>
              <c:strCache>
                <c:ptCount val="1"/>
                <c:pt idx="0">
                  <c:v>Total Current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581955380577428"/>
                  <c:y val="-4.1666666666666669E-4"/>
                </c:manualLayout>
              </c:layout>
              <c:numFmt formatCode="#,##0.0000000_);[Red]\(#,##0.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('Company Historical'!$Z$2:$Z$4,'Company Historical'!$Z$6:$Z$12)</c:f>
              <c:numCache>
                <c:formatCode>_-* #,##0_-;\-* #,##0_-;_-* "-"_-;_-@_-</c:formatCode>
                <c:ptCount val="10"/>
                <c:pt idx="0">
                  <c:v>154470</c:v>
                </c:pt>
                <c:pt idx="1">
                  <c:v>387134</c:v>
                </c:pt>
                <c:pt idx="2">
                  <c:v>390173</c:v>
                </c:pt>
                <c:pt idx="3">
                  <c:v>1184536</c:v>
                </c:pt>
                <c:pt idx="4">
                  <c:v>1653552</c:v>
                </c:pt>
                <c:pt idx="5">
                  <c:v>2397531</c:v>
                </c:pt>
                <c:pt idx="6">
                  <c:v>3325804</c:v>
                </c:pt>
                <c:pt idx="7">
                  <c:v>3864929</c:v>
                </c:pt>
                <c:pt idx="8">
                  <c:v>4890197</c:v>
                </c:pt>
                <c:pt idx="9">
                  <c:v>6663417</c:v>
                </c:pt>
              </c:numCache>
            </c:numRef>
          </c:xVal>
          <c:yVal>
            <c:numRef>
              <c:f>('Company Historical'!$AR$2:$AR$4,'Company Historical'!$AR$6:$AR$12)</c:f>
              <c:numCache>
                <c:formatCode>0.000</c:formatCode>
                <c:ptCount val="10"/>
                <c:pt idx="0">
                  <c:v>130.22499999999999</c:v>
                </c:pt>
                <c:pt idx="1">
                  <c:v>139.28199999999998</c:v>
                </c:pt>
                <c:pt idx="2">
                  <c:v>216.096</c:v>
                </c:pt>
                <c:pt idx="3">
                  <c:v>803.14499999999998</c:v>
                </c:pt>
                <c:pt idx="4">
                  <c:v>972.26300000000003</c:v>
                </c:pt>
                <c:pt idx="5">
                  <c:v>1971.5740000000003</c:v>
                </c:pt>
                <c:pt idx="6">
                  <c:v>2020.6289999999999</c:v>
                </c:pt>
                <c:pt idx="7">
                  <c:v>2167.2640000000001</c:v>
                </c:pt>
                <c:pt idx="8">
                  <c:v>3369.0540000000001</c:v>
                </c:pt>
                <c:pt idx="9">
                  <c:v>4011.7440000000001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98-4EAA-8CE7-BCA75C215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979135"/>
        <c:axId val="723967071"/>
      </c:scatterChart>
      <c:valAx>
        <c:axId val="72397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67071"/>
        <c:crosses val="autoZero"/>
        <c:crossBetween val="midCat"/>
      </c:valAx>
      <c:valAx>
        <c:axId val="72396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7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Inventories (1m HKD) vs</a:t>
            </a:r>
            <a:r>
              <a:rPr lang="en-US" altLang="zh-TW" baseline="0"/>
              <a:t> Wastes Handled Ex. 2011-2014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Historical'!$AN$1</c:f>
              <c:strCache>
                <c:ptCount val="1"/>
                <c:pt idx="0">
                  <c:v>Inventories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774081180727643"/>
                  <c:y val="1.2873847153709364E-2"/>
                </c:manualLayout>
              </c:layout>
              <c:numFmt formatCode="#,##0.00000000_);[Red]\(#,##0.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Historical'!$E$5:$E$12</c:f>
              <c:numCache>
                <c:formatCode>_-* #,##0_-;\-* #,##0_-;_-* "-"_-;_-@_-</c:formatCode>
                <c:ptCount val="8"/>
                <c:pt idx="0">
                  <c:v>1320189</c:v>
                </c:pt>
                <c:pt idx="1">
                  <c:v>1504558</c:v>
                </c:pt>
                <c:pt idx="2">
                  <c:v>2369146</c:v>
                </c:pt>
                <c:pt idx="3">
                  <c:v>3527221</c:v>
                </c:pt>
                <c:pt idx="4">
                  <c:v>5033698</c:v>
                </c:pt>
                <c:pt idx="5">
                  <c:v>5912000</c:v>
                </c:pt>
                <c:pt idx="6">
                  <c:v>7174000</c:v>
                </c:pt>
                <c:pt idx="7">
                  <c:v>11073555</c:v>
                </c:pt>
              </c:numCache>
            </c:numRef>
          </c:xVal>
          <c:yVal>
            <c:numRef>
              <c:f>'Company Historical'!$AN$5:$AN$12</c:f>
              <c:numCache>
                <c:formatCode>0.000</c:formatCode>
                <c:ptCount val="8"/>
                <c:pt idx="0">
                  <c:v>0.50700000000000001</c:v>
                </c:pt>
                <c:pt idx="1">
                  <c:v>0.47199999999999998</c:v>
                </c:pt>
                <c:pt idx="2">
                  <c:v>0.76100000000000001</c:v>
                </c:pt>
                <c:pt idx="3">
                  <c:v>2.3140000000000001</c:v>
                </c:pt>
                <c:pt idx="4">
                  <c:v>5.7249999999999996</c:v>
                </c:pt>
                <c:pt idx="5">
                  <c:v>6.6189999999999998</c:v>
                </c:pt>
                <c:pt idx="6">
                  <c:v>15.353</c:v>
                </c:pt>
                <c:pt idx="7">
                  <c:v>22.321000000000002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B1-48C0-9B3E-9B2525A0A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899343"/>
        <c:axId val="532908911"/>
      </c:scatterChart>
      <c:valAx>
        <c:axId val="53289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08911"/>
        <c:crosses val="autoZero"/>
        <c:crossBetween val="midCat"/>
      </c:valAx>
      <c:valAx>
        <c:axId val="5329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99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Accounts &amp; Notes Receivables (1m HKD) vs Waste Handled Ex. 2011-2014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Historical'!$AL$1</c:f>
              <c:strCache>
                <c:ptCount val="1"/>
                <c:pt idx="0">
                  <c:v>Accounts &amp; Notes Receivables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Historical'!$E$5:$E$12</c:f>
              <c:numCache>
                <c:formatCode>_-* #,##0_-;\-* #,##0_-;_-* "-"_-;_-@_-</c:formatCode>
                <c:ptCount val="8"/>
                <c:pt idx="0">
                  <c:v>1320189</c:v>
                </c:pt>
                <c:pt idx="1">
                  <c:v>1504558</c:v>
                </c:pt>
                <c:pt idx="2">
                  <c:v>2369146</c:v>
                </c:pt>
                <c:pt idx="3">
                  <c:v>3527221</c:v>
                </c:pt>
                <c:pt idx="4">
                  <c:v>5033698</c:v>
                </c:pt>
                <c:pt idx="5">
                  <c:v>5912000</c:v>
                </c:pt>
                <c:pt idx="6">
                  <c:v>7174000</c:v>
                </c:pt>
                <c:pt idx="7">
                  <c:v>11073555</c:v>
                </c:pt>
              </c:numCache>
            </c:numRef>
          </c:xVal>
          <c:yVal>
            <c:numRef>
              <c:f>'Company Historical'!$AL$5:$AL$12</c:f>
              <c:numCache>
                <c:formatCode>General</c:formatCode>
                <c:ptCount val="8"/>
                <c:pt idx="0">
                  <c:v>70.966999999999999</c:v>
                </c:pt>
                <c:pt idx="1">
                  <c:v>86.578000000000003</c:v>
                </c:pt>
                <c:pt idx="2">
                  <c:v>114.334</c:v>
                </c:pt>
                <c:pt idx="3">
                  <c:v>260.19099999999997</c:v>
                </c:pt>
                <c:pt idx="4">
                  <c:v>260.32299999999998</c:v>
                </c:pt>
                <c:pt idx="5">
                  <c:v>465.916</c:v>
                </c:pt>
                <c:pt idx="6">
                  <c:v>699.03099999999995</c:v>
                </c:pt>
                <c:pt idx="7">
                  <c:v>1062.02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88-4656-8AD2-72A5BB94A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440303"/>
        <c:axId val="472442383"/>
      </c:scatterChart>
      <c:valAx>
        <c:axId val="47244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42383"/>
        <c:crosses val="autoZero"/>
        <c:crossBetween val="midCat"/>
      </c:valAx>
      <c:valAx>
        <c:axId val="4724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4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Historical'!$AS$1</c:f>
              <c:strCache>
                <c:ptCount val="1"/>
                <c:pt idx="0">
                  <c:v>Net Fixed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4491412299885372E-3"/>
                  <c:y val="0.263172573404387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Historical'!$AS$2:$AS$12</c:f>
              <c:numCache>
                <c:formatCode>0.000</c:formatCode>
                <c:ptCount val="11"/>
                <c:pt idx="0">
                  <c:v>699.63300000000004</c:v>
                </c:pt>
                <c:pt idx="1">
                  <c:v>659.7</c:v>
                </c:pt>
                <c:pt idx="2">
                  <c:v>643.12400000000002</c:v>
                </c:pt>
                <c:pt idx="3">
                  <c:v>697.35900000000004</c:v>
                </c:pt>
                <c:pt idx="4">
                  <c:v>1118.6310000000001</c:v>
                </c:pt>
                <c:pt idx="5">
                  <c:v>1342.152</c:v>
                </c:pt>
                <c:pt idx="6">
                  <c:v>1665.7270000000001</c:v>
                </c:pt>
                <c:pt idx="7">
                  <c:v>1527.8910000000001</c:v>
                </c:pt>
                <c:pt idx="8">
                  <c:v>1444.6489999999999</c:v>
                </c:pt>
                <c:pt idx="9">
                  <c:v>1478.7049999999999</c:v>
                </c:pt>
                <c:pt idx="10">
                  <c:v>1729.3720000000001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69-42EE-AC9B-D1BE26BA4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699183"/>
        <c:axId val="805689615"/>
      </c:scatterChart>
      <c:valAx>
        <c:axId val="80569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689615"/>
        <c:crosses val="autoZero"/>
        <c:crossBetween val="midCat"/>
      </c:valAx>
      <c:valAx>
        <c:axId val="80568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69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Other Long Term Assets (1m HKD) vs Accumulated</a:t>
            </a:r>
            <a:r>
              <a:rPr lang="en-US" altLang="zh-TW" baseline="0"/>
              <a:t> BOT Revenue Ex. 2011-2013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Historical'!$AT$1</c:f>
              <c:strCache>
                <c:ptCount val="1"/>
                <c:pt idx="0">
                  <c:v>Other Long Term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0211704338676756E-2"/>
                  <c:y val="0.33791807772900051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Historical'!$W$5:$W$12</c:f>
              <c:numCache>
                <c:formatCode>_-* #,##0_-;\-* #,##0_-;_-* "-"_-;_-@_-</c:formatCode>
                <c:ptCount val="8"/>
                <c:pt idx="0">
                  <c:v>252021</c:v>
                </c:pt>
                <c:pt idx="1">
                  <c:v>855429</c:v>
                </c:pt>
                <c:pt idx="2">
                  <c:v>1733391</c:v>
                </c:pt>
                <c:pt idx="3">
                  <c:v>3051751</c:v>
                </c:pt>
                <c:pt idx="4">
                  <c:v>4813864</c:v>
                </c:pt>
                <c:pt idx="5">
                  <c:v>6903395</c:v>
                </c:pt>
                <c:pt idx="6">
                  <c:v>9707354</c:v>
                </c:pt>
                <c:pt idx="7">
                  <c:v>13337512</c:v>
                </c:pt>
              </c:numCache>
            </c:numRef>
          </c:xVal>
          <c:yVal>
            <c:numRef>
              <c:f>'Company Historical'!$AT$5:$AT$12</c:f>
              <c:numCache>
                <c:formatCode>General</c:formatCode>
                <c:ptCount val="8"/>
                <c:pt idx="0">
                  <c:v>1503.703</c:v>
                </c:pt>
                <c:pt idx="1">
                  <c:v>2546.1410000000001</c:v>
                </c:pt>
                <c:pt idx="2">
                  <c:v>3746.489</c:v>
                </c:pt>
                <c:pt idx="3">
                  <c:v>5621.6360000000004</c:v>
                </c:pt>
                <c:pt idx="4">
                  <c:v>7369.732</c:v>
                </c:pt>
                <c:pt idx="5">
                  <c:v>9854.8539999999994</c:v>
                </c:pt>
                <c:pt idx="6">
                  <c:v>14174.075999999999</c:v>
                </c:pt>
                <c:pt idx="7">
                  <c:v>18698.554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1A-4C0D-A011-6C4351CD3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70127"/>
        <c:axId val="1132643919"/>
      </c:scatterChart>
      <c:valAx>
        <c:axId val="113267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43919"/>
        <c:crosses val="autoZero"/>
        <c:crossBetween val="midCat"/>
      </c:valAx>
      <c:valAx>
        <c:axId val="113264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7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Account Payable (1m HKD) vs Handled Wastes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Historical'!$AU$1</c:f>
              <c:strCache>
                <c:ptCount val="1"/>
                <c:pt idx="0">
                  <c:v>Account Payable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_);[Red]\(#,##0.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Historical'!$E$2:$E$12</c:f>
              <c:numCache>
                <c:formatCode>_-* #,##0_-;\-* #,##0_-;_-* "-"_-;_-@_-</c:formatCode>
                <c:ptCount val="11"/>
                <c:pt idx="0">
                  <c:v>410788</c:v>
                </c:pt>
                <c:pt idx="1">
                  <c:v>1060952</c:v>
                </c:pt>
                <c:pt idx="2">
                  <c:v>981121</c:v>
                </c:pt>
                <c:pt idx="3">
                  <c:v>1320189</c:v>
                </c:pt>
                <c:pt idx="4">
                  <c:v>1504558</c:v>
                </c:pt>
                <c:pt idx="5">
                  <c:v>2369146</c:v>
                </c:pt>
                <c:pt idx="6">
                  <c:v>3527221</c:v>
                </c:pt>
                <c:pt idx="7">
                  <c:v>5033698</c:v>
                </c:pt>
                <c:pt idx="8">
                  <c:v>5912000</c:v>
                </c:pt>
                <c:pt idx="9">
                  <c:v>7174000</c:v>
                </c:pt>
                <c:pt idx="10">
                  <c:v>11073555</c:v>
                </c:pt>
              </c:numCache>
            </c:numRef>
          </c:xVal>
          <c:yVal>
            <c:numRef>
              <c:f>'Company Historical'!$AU$2:$AU$12</c:f>
              <c:numCache>
                <c:formatCode>0.000</c:formatCode>
                <c:ptCount val="11"/>
                <c:pt idx="0">
                  <c:v>9.4009999999999998</c:v>
                </c:pt>
                <c:pt idx="1">
                  <c:v>7.3140000000000001</c:v>
                </c:pt>
                <c:pt idx="2">
                  <c:v>18.097000000000001</c:v>
                </c:pt>
                <c:pt idx="3">
                  <c:v>25.696000000000002</c:v>
                </c:pt>
                <c:pt idx="4">
                  <c:v>49.642000000000003</c:v>
                </c:pt>
                <c:pt idx="5">
                  <c:v>64.475999999999999</c:v>
                </c:pt>
                <c:pt idx="6">
                  <c:v>113.078</c:v>
                </c:pt>
                <c:pt idx="7">
                  <c:v>198.73</c:v>
                </c:pt>
                <c:pt idx="8">
                  <c:v>154.00200000000001</c:v>
                </c:pt>
                <c:pt idx="9">
                  <c:v>185.83099999999999</c:v>
                </c:pt>
                <c:pt idx="10">
                  <c:v>261.31299999999999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1A-4513-B509-23672A6D6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171903"/>
        <c:axId val="732156095"/>
      </c:scatterChart>
      <c:valAx>
        <c:axId val="73217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56095"/>
        <c:crosses val="autoZero"/>
        <c:crossBetween val="midCat"/>
      </c:valAx>
      <c:valAx>
        <c:axId val="73215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7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Long Term Borrowing (1m HKD) vs Accumulated</a:t>
            </a:r>
            <a:r>
              <a:rPr lang="en-US" altLang="zh-TW" baseline="0"/>
              <a:t> BOT Revenue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Historical'!$AY$1</c:f>
              <c:strCache>
                <c:ptCount val="1"/>
                <c:pt idx="0">
                  <c:v>Long Term Borrowing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172847521297238"/>
                  <c:y val="2.2292606762123388E-2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Historical'!$W$2:$W$12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855429</c:v>
                </c:pt>
                <c:pt idx="5">
                  <c:v>1733391</c:v>
                </c:pt>
                <c:pt idx="6">
                  <c:v>3051751</c:v>
                </c:pt>
                <c:pt idx="7">
                  <c:v>4813864</c:v>
                </c:pt>
                <c:pt idx="8">
                  <c:v>6903395</c:v>
                </c:pt>
                <c:pt idx="9">
                  <c:v>9707354</c:v>
                </c:pt>
                <c:pt idx="10">
                  <c:v>13337512</c:v>
                </c:pt>
              </c:numCache>
            </c:numRef>
          </c:xVal>
          <c:yVal>
            <c:numRef>
              <c:f>'Company Historical'!$AY$2:$AY$12</c:f>
              <c:numCache>
                <c:formatCode>0.000</c:formatCode>
                <c:ptCount val="11"/>
                <c:pt idx="0">
                  <c:v>399.346</c:v>
                </c:pt>
                <c:pt idx="1">
                  <c:v>323.73399999999998</c:v>
                </c:pt>
                <c:pt idx="2">
                  <c:v>293.80700000000002</c:v>
                </c:pt>
                <c:pt idx="3">
                  <c:v>776.11</c:v>
                </c:pt>
                <c:pt idx="4">
                  <c:v>1098.8520000000001</c:v>
                </c:pt>
                <c:pt idx="5">
                  <c:v>2042.4839999999999</c:v>
                </c:pt>
                <c:pt idx="6">
                  <c:v>2797.0610000000001</c:v>
                </c:pt>
                <c:pt idx="7">
                  <c:v>3616.9360000000001</c:v>
                </c:pt>
                <c:pt idx="8">
                  <c:v>4562.5929999999998</c:v>
                </c:pt>
                <c:pt idx="9">
                  <c:v>8357.65</c:v>
                </c:pt>
                <c:pt idx="10">
                  <c:v>11282.224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17-48EF-8D27-A2D886FC7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486735"/>
        <c:axId val="927499631"/>
      </c:scatterChart>
      <c:valAx>
        <c:axId val="92748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99631"/>
        <c:crosses val="autoZero"/>
        <c:crossBetween val="midCat"/>
      </c:valAx>
      <c:valAx>
        <c:axId val="9274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8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Historical'!$AZ$1</c:f>
              <c:strCache>
                <c:ptCount val="1"/>
                <c:pt idx="0">
                  <c:v>Other Long Term Borrowing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Historical'!$A$5:$A$12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xVal>
          <c:yVal>
            <c:numRef>
              <c:f>'Company Historical'!$AZ$5:$AZ$12</c:f>
              <c:numCache>
                <c:formatCode>General</c:formatCode>
                <c:ptCount val="8"/>
                <c:pt idx="0">
                  <c:v>105.82899999999999</c:v>
                </c:pt>
                <c:pt idx="1">
                  <c:v>249.43700000000001</c:v>
                </c:pt>
                <c:pt idx="2">
                  <c:v>436.72500000000002</c:v>
                </c:pt>
                <c:pt idx="3">
                  <c:v>535.88800000000003</c:v>
                </c:pt>
                <c:pt idx="4">
                  <c:v>668.423</c:v>
                </c:pt>
                <c:pt idx="5">
                  <c:v>826.06399999999996</c:v>
                </c:pt>
                <c:pt idx="6">
                  <c:v>938.09100000000001</c:v>
                </c:pt>
                <c:pt idx="7">
                  <c:v>1091.44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CC-4A75-81C9-91613FEC1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97727"/>
        <c:axId val="1123281919"/>
      </c:scatterChart>
      <c:valAx>
        <c:axId val="112329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81919"/>
        <c:crosses val="autoZero"/>
        <c:crossBetween val="midCat"/>
      </c:valAx>
      <c:valAx>
        <c:axId val="112328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9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Historical'!$AW$1</c:f>
              <c:strCache>
                <c:ptCount val="1"/>
                <c:pt idx="0">
                  <c:v>Other Short term Liabilities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Historical'!$A$5:$A$12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xVal>
          <c:yVal>
            <c:numRef>
              <c:f>'Company Historical'!$AW$5:$AW$12</c:f>
              <c:numCache>
                <c:formatCode>General</c:formatCode>
                <c:ptCount val="8"/>
                <c:pt idx="0">
                  <c:v>189.24100000000001</c:v>
                </c:pt>
                <c:pt idx="1">
                  <c:v>414.54199999999997</c:v>
                </c:pt>
                <c:pt idx="2">
                  <c:v>517.33900000000006</c:v>
                </c:pt>
                <c:pt idx="3">
                  <c:v>559.80600000000004</c:v>
                </c:pt>
                <c:pt idx="4">
                  <c:v>627.73900000000003</c:v>
                </c:pt>
                <c:pt idx="5">
                  <c:v>1079.17</c:v>
                </c:pt>
                <c:pt idx="6">
                  <c:v>1297.135</c:v>
                </c:pt>
                <c:pt idx="7">
                  <c:v>1487.8630000000001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1-4C01-836C-F2D578248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292735"/>
        <c:axId val="1123294399"/>
      </c:scatterChart>
      <c:valAx>
        <c:axId val="112329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94399"/>
        <c:crosses val="autoZero"/>
        <c:crossBetween val="midCat"/>
      </c:valAx>
      <c:valAx>
        <c:axId val="112329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29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Historical'!$AP$1</c:f>
              <c:strCache>
                <c:ptCount val="1"/>
                <c:pt idx="0">
                  <c:v>Other Current Assets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4"/>
            <c:dispRSqr val="1"/>
            <c:dispEq val="1"/>
            <c:trendlineLbl>
              <c:layout>
                <c:manualLayout>
                  <c:x val="-7.6434300999092389E-2"/>
                  <c:y val="-7.8684289366927812E-2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xVal>
          <c:yVal>
            <c:numRef>
              <c:f>'Company Historical'!$AP$2:$AP$12</c:f>
              <c:numCache>
                <c:formatCode>0.000</c:formatCode>
                <c:ptCount val="11"/>
                <c:pt idx="0">
                  <c:v>8.4979999999999993</c:v>
                </c:pt>
                <c:pt idx="1">
                  <c:v>13.3</c:v>
                </c:pt>
                <c:pt idx="2">
                  <c:v>96.441000000000003</c:v>
                </c:pt>
                <c:pt idx="3">
                  <c:v>39.944000000000003</c:v>
                </c:pt>
                <c:pt idx="4">
                  <c:v>266.959</c:v>
                </c:pt>
                <c:pt idx="5">
                  <c:v>238.215</c:v>
                </c:pt>
                <c:pt idx="6">
                  <c:v>361.26600000000002</c:v>
                </c:pt>
                <c:pt idx="7">
                  <c:v>437.15</c:v>
                </c:pt>
                <c:pt idx="8">
                  <c:v>674.40200000000004</c:v>
                </c:pt>
                <c:pt idx="9">
                  <c:v>885.072</c:v>
                </c:pt>
                <c:pt idx="10">
                  <c:v>1223.395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BB-41F7-AF5F-11907A002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304911"/>
        <c:axId val="1934301167"/>
      </c:scatterChart>
      <c:valAx>
        <c:axId val="193430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301167"/>
        <c:crosses val="autoZero"/>
        <c:crossBetween val="midCat"/>
      </c:valAx>
      <c:valAx>
        <c:axId val="193430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30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Depreciation (1m HKD) vs BOT Revenue Ex 2011-2013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Historical'!$BC$1</c:f>
              <c:strCache>
                <c:ptCount val="1"/>
                <c:pt idx="0">
                  <c:v>Depreciation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_);[Red]\(#,##0.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Historical'!$W$5:$W$12</c:f>
              <c:numCache>
                <c:formatCode>_-* #,##0_-;\-* #,##0_-;_-* "-"_-;_-@_-</c:formatCode>
                <c:ptCount val="8"/>
                <c:pt idx="0">
                  <c:v>252021</c:v>
                </c:pt>
                <c:pt idx="1">
                  <c:v>855429</c:v>
                </c:pt>
                <c:pt idx="2">
                  <c:v>1733391</c:v>
                </c:pt>
                <c:pt idx="3">
                  <c:v>3051751</c:v>
                </c:pt>
                <c:pt idx="4">
                  <c:v>4813864</c:v>
                </c:pt>
                <c:pt idx="5">
                  <c:v>6903395</c:v>
                </c:pt>
                <c:pt idx="6">
                  <c:v>9707354</c:v>
                </c:pt>
                <c:pt idx="7">
                  <c:v>13337512</c:v>
                </c:pt>
              </c:numCache>
            </c:numRef>
          </c:xVal>
          <c:yVal>
            <c:numRef>
              <c:f>'Company Historical'!$BC$5:$BC$12</c:f>
              <c:numCache>
                <c:formatCode>General</c:formatCode>
                <c:ptCount val="8"/>
                <c:pt idx="0">
                  <c:v>105.014</c:v>
                </c:pt>
                <c:pt idx="1">
                  <c:v>118.786</c:v>
                </c:pt>
                <c:pt idx="2">
                  <c:v>151.09100000000001</c:v>
                </c:pt>
                <c:pt idx="3">
                  <c:v>188.191</c:v>
                </c:pt>
                <c:pt idx="4">
                  <c:v>283.685</c:v>
                </c:pt>
                <c:pt idx="5">
                  <c:v>330.94099999999997</c:v>
                </c:pt>
                <c:pt idx="6">
                  <c:v>453.27499999999998</c:v>
                </c:pt>
                <c:pt idx="7">
                  <c:v>645.572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8-4BE0-9521-2166745A4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012959"/>
        <c:axId val="930017535"/>
      </c:scatterChart>
      <c:valAx>
        <c:axId val="93001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017535"/>
        <c:crosses val="autoZero"/>
        <c:crossBetween val="midCat"/>
      </c:valAx>
      <c:valAx>
        <c:axId val="93001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01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'Company Historical'!$BD$1</c:f>
              <c:strCache>
                <c:ptCount val="1"/>
                <c:pt idx="0">
                  <c:v>Other Non-Cash Adjustment (1m HKD)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'Company Historical'!$V$2:$V$12</c:f>
              <c:numCache>
                <c:formatCode>_-* #,##0_-;\-* #,##0_-;_-* "-"_-;_-@_-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252021</c:v>
                </c:pt>
                <c:pt idx="4">
                  <c:v>603408</c:v>
                </c:pt>
                <c:pt idx="5">
                  <c:v>877962</c:v>
                </c:pt>
                <c:pt idx="6">
                  <c:v>1318360</c:v>
                </c:pt>
                <c:pt idx="7">
                  <c:v>1762113</c:v>
                </c:pt>
                <c:pt idx="8">
                  <c:v>2089531</c:v>
                </c:pt>
                <c:pt idx="9">
                  <c:v>2803959</c:v>
                </c:pt>
                <c:pt idx="10">
                  <c:v>3630158</c:v>
                </c:pt>
              </c:numCache>
            </c:numRef>
          </c:xVal>
          <c:yVal>
            <c:numRef>
              <c:f>'Company Historical'!$BD$2:$BD$12</c:f>
              <c:numCache>
                <c:formatCode>General</c:formatCode>
                <c:ptCount val="11"/>
                <c:pt idx="0">
                  <c:v>16.940000000000001</c:v>
                </c:pt>
                <c:pt idx="1">
                  <c:v>21.027000000000001</c:v>
                </c:pt>
                <c:pt idx="2">
                  <c:v>-11.007999999999999</c:v>
                </c:pt>
                <c:pt idx="3">
                  <c:v>-193.15899999999999</c:v>
                </c:pt>
                <c:pt idx="4">
                  <c:v>-565.47500000000002</c:v>
                </c:pt>
                <c:pt idx="5">
                  <c:v>-837.149</c:v>
                </c:pt>
                <c:pt idx="6">
                  <c:v>-1267.645</c:v>
                </c:pt>
                <c:pt idx="7">
                  <c:v>-1719.8050000000001</c:v>
                </c:pt>
                <c:pt idx="8">
                  <c:v>-2046.7860000000001</c:v>
                </c:pt>
                <c:pt idx="9">
                  <c:v>-2882.835</c:v>
                </c:pt>
                <c:pt idx="10">
                  <c:v>-3678.7849999999999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D6-4DCD-A60F-D91BA762C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18959"/>
        <c:axId val="1132624783"/>
      </c:scatterChart>
      <c:valAx>
        <c:axId val="113261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24783"/>
        <c:crosses val="autoZero"/>
        <c:crossBetween val="midCat"/>
      </c:valAx>
      <c:valAx>
        <c:axId val="113262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1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'Industry+Forecast'!$BQ$1</c:f>
              <c:strCache>
                <c:ptCount val="1"/>
                <c:pt idx="0">
                  <c:v>Change in Non-Cash Capital (1m HKD)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'Industry+Forecast'!$BQ$2:$BQ$16</c:f>
              <c:numCache>
                <c:formatCode>General</c:formatCode>
                <c:ptCount val="15"/>
                <c:pt idx="0">
                  <c:v>-33.454000000000001</c:v>
                </c:pt>
                <c:pt idx="1">
                  <c:v>-19.295000000000002</c:v>
                </c:pt>
                <c:pt idx="2">
                  <c:v>28.978000000000002</c:v>
                </c:pt>
                <c:pt idx="3">
                  <c:v>35.520000000000003</c:v>
                </c:pt>
                <c:pt idx="4">
                  <c:v>74.984999999999999</c:v>
                </c:pt>
                <c:pt idx="5">
                  <c:v>146.81899999999999</c:v>
                </c:pt>
                <c:pt idx="6">
                  <c:v>-276.29399999999998</c:v>
                </c:pt>
                <c:pt idx="7">
                  <c:v>362.47800000000001</c:v>
                </c:pt>
                <c:pt idx="8">
                  <c:v>191.00800000000001</c:v>
                </c:pt>
                <c:pt idx="9">
                  <c:v>-740.29200000000003</c:v>
                </c:pt>
                <c:pt idx="10">
                  <c:v>-1081.7570000000001</c:v>
                </c:pt>
                <c:pt idx="11" formatCode="_-* #,##0.00_-;\-* #,##0.00_-;_-* &quot;-&quot;??_-;_-@_-">
                  <c:v>971.25415902743657</c:v>
                </c:pt>
                <c:pt idx="12" formatCode="_-* #,##0.00_-;\-* #,##0.00_-;_-* &quot;-&quot;??_-;_-@_-">
                  <c:v>1287.544085628977</c:v>
                </c:pt>
                <c:pt idx="13" formatCode="_-* #,##0.00_-;\-* #,##0.00_-;_-* &quot;-&quot;??_-;_-@_-">
                  <c:v>1441.5849642104067</c:v>
                </c:pt>
                <c:pt idx="14" formatCode="_-* #,##0.00_-;\-* #,##0.00_-;_-* &quot;-&quot;??_-;_-@_-">
                  <c:v>1514.0020279713999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8-4276-BE4A-79052EA0C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965119"/>
        <c:axId val="929968031"/>
      </c:lineChart>
      <c:catAx>
        <c:axId val="929965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968031"/>
        <c:crosses val="autoZero"/>
        <c:auto val="1"/>
        <c:lblAlgn val="ctr"/>
        <c:lblOffset val="100"/>
        <c:noMultiLvlLbl val="0"/>
      </c:catAx>
      <c:valAx>
        <c:axId val="92996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965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'Industry+Forecast'!$BR$1</c:f>
              <c:strCache>
                <c:ptCount val="1"/>
                <c:pt idx="0">
                  <c:v>Cash from Operating Activities (1m HKD)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'Industry+Forecast'!$BR$2:$BR$16</c:f>
              <c:numCache>
                <c:formatCode>0.000_ </c:formatCode>
                <c:ptCount val="15"/>
                <c:pt idx="0">
                  <c:v>51.192999999999998</c:v>
                </c:pt>
                <c:pt idx="1">
                  <c:v>172.476</c:v>
                </c:pt>
                <c:pt idx="2">
                  <c:v>194.86500000000001</c:v>
                </c:pt>
                <c:pt idx="3">
                  <c:v>138.41300000000001</c:v>
                </c:pt>
                <c:pt idx="4">
                  <c:v>-99.703000000000003</c:v>
                </c:pt>
                <c:pt idx="5">
                  <c:v>-139.221</c:v>
                </c:pt>
                <c:pt idx="6">
                  <c:v>-791.50099999999998</c:v>
                </c:pt>
                <c:pt idx="7">
                  <c:v>-319.27800000000002</c:v>
                </c:pt>
                <c:pt idx="8">
                  <c:v>-632.21500000000003</c:v>
                </c:pt>
                <c:pt idx="9">
                  <c:v>-2116.0619999999999</c:v>
                </c:pt>
                <c:pt idx="10">
                  <c:v>-2792.9749999999999</c:v>
                </c:pt>
                <c:pt idx="11" formatCode="_-* #,##0.000_-;\-* #,##0.000_-;_-* &quot;-&quot;??_-;_-@_-">
                  <c:v>1885.893003202679</c:v>
                </c:pt>
                <c:pt idx="12" formatCode="_-* #,##0.000_-;\-* #,##0.000_-;_-* &quot;-&quot;??_-;_-@_-">
                  <c:v>773.2265301650275</c:v>
                </c:pt>
                <c:pt idx="13" formatCode="_-* #,##0.000_-;\-* #,##0.000_-;_-* &quot;-&quot;??_-;_-@_-">
                  <c:v>919.10171959089189</c:v>
                </c:pt>
                <c:pt idx="14" formatCode="_-* #,##0.000_-;\-* #,##0.000_-;_-* &quot;-&quot;??_-;_-@_-">
                  <c:v>988.06396513757386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6-4037-8EA6-585B2138B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142927"/>
        <c:axId val="739146671"/>
      </c:lineChart>
      <c:catAx>
        <c:axId val="739142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46671"/>
        <c:crosses val="autoZero"/>
        <c:auto val="1"/>
        <c:lblAlgn val="ctr"/>
        <c:lblOffset val="100"/>
        <c:noMultiLvlLbl val="0"/>
      </c:catAx>
      <c:valAx>
        <c:axId val="73914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4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'Industry+Forecast'!$BV$1</c:f>
              <c:strCache>
                <c:ptCount val="1"/>
                <c:pt idx="0">
                  <c:v>Cash from Investing Activities (1m HKD)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'Industry+Forecast'!$BV$2:$BV$16</c:f>
              <c:numCache>
                <c:formatCode>General</c:formatCode>
                <c:ptCount val="15"/>
                <c:pt idx="0">
                  <c:v>-95.879000000000005</c:v>
                </c:pt>
                <c:pt idx="1">
                  <c:v>-49.959000000000003</c:v>
                </c:pt>
                <c:pt idx="2">
                  <c:v>-210.005</c:v>
                </c:pt>
                <c:pt idx="3">
                  <c:v>-272.96100000000001</c:v>
                </c:pt>
                <c:pt idx="4">
                  <c:v>-662.80600000000004</c:v>
                </c:pt>
                <c:pt idx="5">
                  <c:v>-639.74800000000005</c:v>
                </c:pt>
                <c:pt idx="6">
                  <c:v>-590.55100000000004</c:v>
                </c:pt>
                <c:pt idx="7">
                  <c:v>-706.20600000000002</c:v>
                </c:pt>
                <c:pt idx="8">
                  <c:v>-596.45799999999997</c:v>
                </c:pt>
                <c:pt idx="9">
                  <c:v>-206.91300000000001</c:v>
                </c:pt>
                <c:pt idx="10">
                  <c:v>-454.13299999999998</c:v>
                </c:pt>
                <c:pt idx="11">
                  <c:v>-510.85219999999998</c:v>
                </c:pt>
                <c:pt idx="12">
                  <c:v>-510.85219999999998</c:v>
                </c:pt>
                <c:pt idx="13">
                  <c:v>-510.85219999999998</c:v>
                </c:pt>
                <c:pt idx="14">
                  <c:v>-510.85219999999998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69-421D-A7A5-BE957ECBA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927711"/>
        <c:axId val="671928127"/>
      </c:lineChart>
      <c:catAx>
        <c:axId val="671927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28127"/>
        <c:crosses val="autoZero"/>
        <c:auto val="1"/>
        <c:lblAlgn val="ctr"/>
        <c:lblOffset val="100"/>
        <c:noMultiLvlLbl val="0"/>
      </c:catAx>
      <c:valAx>
        <c:axId val="6719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2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'Industry+Forecast'!$AT$1</c:f>
              <c:strCache>
                <c:ptCount val="1"/>
                <c:pt idx="0">
                  <c:v>Cash &amp; Near Cash Items (1m HKD)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'Industry+Forecast'!$AT$2:$AT$16</c:f>
              <c:numCache>
                <c:formatCode>0.000</c:formatCode>
                <c:ptCount val="15"/>
                <c:pt idx="0">
                  <c:v>56.298000000000002</c:v>
                </c:pt>
                <c:pt idx="1">
                  <c:v>44.68</c:v>
                </c:pt>
                <c:pt idx="2">
                  <c:v>49.802999999999997</c:v>
                </c:pt>
                <c:pt idx="3">
                  <c:v>1328.172</c:v>
                </c:pt>
                <c:pt idx="4">
                  <c:v>449.13600000000002</c:v>
                </c:pt>
                <c:pt idx="5">
                  <c:v>618.95299999999997</c:v>
                </c:pt>
                <c:pt idx="6">
                  <c:v>1347.8030000000001</c:v>
                </c:pt>
                <c:pt idx="7">
                  <c:v>1317.431</c:v>
                </c:pt>
                <c:pt idx="8">
                  <c:v>1020.327</c:v>
                </c:pt>
                <c:pt idx="9">
                  <c:v>1769.598</c:v>
                </c:pt>
                <c:pt idx="10">
                  <c:v>1704.008</c:v>
                </c:pt>
                <c:pt idx="11">
                  <c:v>1548.7987134596485</c:v>
                </c:pt>
                <c:pt idx="12">
                  <c:v>2299.393102935519</c:v>
                </c:pt>
                <c:pt idx="13">
                  <c:v>2556.4343970009572</c:v>
                </c:pt>
                <c:pt idx="14">
                  <c:v>2825.0208881073504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2-458F-88ED-1758A6B04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210751"/>
        <c:axId val="746205343"/>
      </c:lineChart>
      <c:catAx>
        <c:axId val="74621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5343"/>
        <c:crosses val="autoZero"/>
        <c:auto val="1"/>
        <c:lblAlgn val="ctr"/>
        <c:lblOffset val="100"/>
        <c:noMultiLvlLbl val="0"/>
      </c:catAx>
      <c:valAx>
        <c:axId val="74620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1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China's</a:t>
            </a:r>
            <a:r>
              <a:rPr lang="en-US" altLang="zh-TW" baseline="0"/>
              <a:t> </a:t>
            </a:r>
            <a:r>
              <a:rPr lang="en-US" altLang="zh-TW"/>
              <a:t>Waste</a:t>
            </a:r>
            <a:r>
              <a:rPr lang="en-US" altLang="zh-TW" baseline="0"/>
              <a:t> Management Solution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'Industry+Forecast'!$C$1</c:f>
              <c:strCache>
                <c:ptCount val="1"/>
                <c:pt idx="0">
                  <c:v>Collected and Transported (1m ton)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('Industry+Forecast'!$A$2:$A$7,'Industry+Forecast'!$A$9:$A$11)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('Industry+Forecast'!$C$2:$C$7,'Industry+Forecast'!$C$9:$C$11)</c:f>
              <c:numCache>
                <c:formatCode>General</c:formatCode>
                <c:ptCount val="9"/>
                <c:pt idx="0">
                  <c:v>163.95</c:v>
                </c:pt>
                <c:pt idx="1">
                  <c:v>170.81</c:v>
                </c:pt>
                <c:pt idx="2">
                  <c:v>172.39</c:v>
                </c:pt>
                <c:pt idx="3">
                  <c:v>178.6</c:v>
                </c:pt>
                <c:pt idx="4">
                  <c:v>191.42</c:v>
                </c:pt>
                <c:pt idx="5">
                  <c:v>203.62</c:v>
                </c:pt>
                <c:pt idx="6">
                  <c:v>228.02</c:v>
                </c:pt>
                <c:pt idx="7">
                  <c:v>242.06</c:v>
                </c:pt>
                <c:pt idx="8">
                  <c:v>235.12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3-43DB-A0BE-4E704B3B354D}"/>
            </c:ext>
          </c:extLst>
        </c:ser>
        <c:ser>
          <c:idx val="2"/>
          <c:order val="2"/>
          <c:tx>
            <c:strRef>
              <c:f>'Industry+Forecast'!$F$1</c:f>
              <c:strCache>
                <c:ptCount val="1"/>
                <c:pt idx="0">
                  <c:v>Incinerated (1m ton)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'Industry+Forecast'!$F$2:$F$11</c:f>
              <c:numCache>
                <c:formatCode>0</c:formatCode>
                <c:ptCount val="10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53</c:v>
                </c:pt>
                <c:pt idx="4">
                  <c:v>62</c:v>
                </c:pt>
                <c:pt idx="5">
                  <c:v>74</c:v>
                </c:pt>
                <c:pt idx="6">
                  <c:v>85</c:v>
                </c:pt>
                <c:pt idx="7">
                  <c:v>102</c:v>
                </c:pt>
                <c:pt idx="8">
                  <c:v>122</c:v>
                </c:pt>
                <c:pt idx="9">
                  <c:v>124.98273839999715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43-43DB-A0BE-4E704B3B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6883407"/>
        <c:axId val="266887567"/>
      </c:barChart>
      <c:lineChart>
        <c:grouping val="standard"/>
        <c:varyColors val="0"/>
        <c:ser>
          <c:idx val="1"/>
          <c:order val="1"/>
          <c:tx>
            <c:strRef>
              <c:f>'Industry+Forecast'!$G$1</c:f>
              <c:strCache>
                <c:ptCount val="1"/>
                <c:pt idx="0">
                  <c:v>Incinerated/Collected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'Industry+Forecast'!$G$2:$G$11</c:f>
              <c:numCache>
                <c:formatCode>0%</c:formatCode>
                <c:ptCount val="10"/>
                <c:pt idx="0">
                  <c:v>0.15858493443122904</c:v>
                </c:pt>
                <c:pt idx="1">
                  <c:v>0.21076049411626954</c:v>
                </c:pt>
                <c:pt idx="2">
                  <c:v>0.26683682348164045</c:v>
                </c:pt>
                <c:pt idx="3">
                  <c:v>0.29675251959686449</c:v>
                </c:pt>
                <c:pt idx="4">
                  <c:v>0.32389509978058717</c:v>
                </c:pt>
                <c:pt idx="5">
                  <c:v>0.36342206070130634</c:v>
                </c:pt>
                <c:pt idx="6">
                  <c:v>0.3949630593373914</c:v>
                </c:pt>
                <c:pt idx="7">
                  <c:v>0.44732918165073238</c:v>
                </c:pt>
                <c:pt idx="8">
                  <c:v>0.50400727092456421</c:v>
                </c:pt>
                <c:pt idx="9">
                  <c:v>0.53156999999998789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3-43DB-A0BE-4E704B3B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879247"/>
        <c:axId val="266880495"/>
      </c:lineChart>
      <c:catAx>
        <c:axId val="26688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887567"/>
        <c:crosses val="autoZero"/>
        <c:auto val="1"/>
        <c:lblAlgn val="ctr"/>
        <c:lblOffset val="100"/>
        <c:noMultiLvlLbl val="0"/>
      </c:catAx>
      <c:valAx>
        <c:axId val="2668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883407"/>
        <c:crosses val="autoZero"/>
        <c:crossBetween val="between"/>
      </c:valAx>
      <c:valAx>
        <c:axId val="266880495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879247"/>
        <c:crosses val="max"/>
        <c:crossBetween val="between"/>
      </c:valAx>
      <c:catAx>
        <c:axId val="266879247"/>
        <c:scaling>
          <c:orientation val="minMax"/>
        </c:scaling>
        <c:delete val="1"/>
        <c:axPos val="b"/>
        <c:majorTickMark val="none"/>
        <c:minorTickMark val="none"/>
        <c:tickLblPos val="nextTo"/>
        <c:crossAx val="2668804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Electricity</a:t>
            </a:r>
            <a:r>
              <a:rPr lang="en-US" altLang="zh-TW" sz="1200" baseline="0"/>
              <a:t> Price (Left) vs Waste Mangement Fee (Right)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'Industry+Forecast'!$L$1</c:f>
              <c:strCache>
                <c:ptCount val="1"/>
                <c:pt idx="0">
                  <c:v>Electricity Price (CNY/kWh)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'Industry+Forecast'!$A$2:$A$12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'Industry+Forecast'!$L$2:$L$12</c:f>
              <c:numCache>
                <c:formatCode>_-* #,##0.0000_-;\-* #,##0.0000_-;_-* "-"_-;_-@_-</c:formatCode>
                <c:ptCount val="11"/>
                <c:pt idx="0">
                  <c:v>0.59000214024437703</c:v>
                </c:pt>
                <c:pt idx="1">
                  <c:v>0.55234911735181058</c:v>
                </c:pt>
                <c:pt idx="2">
                  <c:v>0.54426225698258424</c:v>
                </c:pt>
                <c:pt idx="3">
                  <c:v>0.56507251509422107</c:v>
                </c:pt>
                <c:pt idx="4">
                  <c:v>0.5547102241187899</c:v>
                </c:pt>
                <c:pt idx="5">
                  <c:v>0.52380879496644017</c:v>
                </c:pt>
                <c:pt idx="6">
                  <c:v>0.51592079999748608</c:v>
                </c:pt>
                <c:pt idx="7">
                  <c:v>0.53323773210101622</c:v>
                </c:pt>
                <c:pt idx="8">
                  <c:v>0.5208367229989499</c:v>
                </c:pt>
                <c:pt idx="9">
                  <c:v>0.51043152494884436</c:v>
                </c:pt>
                <c:pt idx="10">
                  <c:v>0.47443980009086772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3-4388-B30A-F5B94F50C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591408"/>
        <c:axId val="380573104"/>
      </c:lineChart>
      <c:lineChart>
        <c:grouping val="standard"/>
        <c:varyColors val="0"/>
        <c:ser>
          <c:idx val="1"/>
          <c:order val="1"/>
          <c:tx>
            <c:strRef>
              <c:f>'Industry+Forecast'!$N$1</c:f>
              <c:strCache>
                <c:ptCount val="1"/>
                <c:pt idx="0">
                  <c:v>WM Fee (1000 HKD/ton)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'Industry+Forecast'!$N$2:$N$12</c:f>
              <c:numCache>
                <c:formatCode>_-* #,##0.0000_-;\-* #,##0.0000_-;_-* "-"_-;_-@_-</c:formatCode>
                <c:ptCount val="11"/>
                <c:pt idx="0">
                  <c:v>0.11549753157346368</c:v>
                </c:pt>
                <c:pt idx="1">
                  <c:v>0.11473374855789895</c:v>
                </c:pt>
                <c:pt idx="2">
                  <c:v>0.13090740082008234</c:v>
                </c:pt>
                <c:pt idx="3">
                  <c:v>0.14617528247849362</c:v>
                </c:pt>
                <c:pt idx="4">
                  <c:v>0.13619747460716036</c:v>
                </c:pt>
                <c:pt idx="5">
                  <c:v>0.1081419211817254</c:v>
                </c:pt>
                <c:pt idx="6">
                  <c:v>8.6913181793825789E-2</c:v>
                </c:pt>
                <c:pt idx="7">
                  <c:v>8.6291430276508443E-2</c:v>
                </c:pt>
                <c:pt idx="8">
                  <c:v>8.3394451962110955E-2</c:v>
                </c:pt>
                <c:pt idx="9">
                  <c:v>8.2514636186228049E-2</c:v>
                </c:pt>
                <c:pt idx="10">
                  <c:v>7.9294047846423299E-2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3-4388-B30A-F5B94F50C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12400"/>
        <c:axId val="379703664"/>
      </c:lineChart>
      <c:catAx>
        <c:axId val="38059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73104"/>
        <c:crosses val="autoZero"/>
        <c:auto val="1"/>
        <c:lblAlgn val="ctr"/>
        <c:lblOffset val="100"/>
        <c:noMultiLvlLbl val="0"/>
      </c:catAx>
      <c:valAx>
        <c:axId val="38057310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91408"/>
        <c:crosses val="autoZero"/>
        <c:crossBetween val="between"/>
      </c:valAx>
      <c:valAx>
        <c:axId val="379703664"/>
        <c:scaling>
          <c:orientation val="minMax"/>
          <c:min val="6.0000000000000012E-2"/>
        </c:scaling>
        <c:delete val="0"/>
        <c:axPos val="r"/>
        <c:numFmt formatCode="_-* #,##0.0000_-;\-* #,##0.0000_-;_-* &quot;-&quot;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12400"/>
        <c:crosses val="max"/>
        <c:crossBetween val="between"/>
      </c:valAx>
      <c:catAx>
        <c:axId val="379712400"/>
        <c:scaling>
          <c:orientation val="minMax"/>
        </c:scaling>
        <c:delete val="1"/>
        <c:axPos val="b"/>
        <c:majorTickMark val="out"/>
        <c:minorTickMark val="none"/>
        <c:tickLblPos val="nextTo"/>
        <c:crossAx val="379703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'Transpose + Statements'!$A$98</c:f>
              <c:strCache>
                <c:ptCount val="1"/>
                <c:pt idx="0">
                  <c:v>Total Gross Profit Ex. Construction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'Transpose + Statements'!$B$74:$J$74</c:f>
              <c:strCach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2022E</c:v>
                </c:pt>
                <c:pt idx="6">
                  <c:v>2023E</c:v>
                </c:pt>
                <c:pt idx="7">
                  <c:v>2024E</c:v>
                </c:pt>
                <c:pt idx="8">
                  <c:v>2025E</c:v>
                </c:pt>
              </c:strCache>
            </c:strRef>
          </c:cat>
          <c:val>
            <c:numRef>
              <c:f>'Transpose + Statements'!$B$98:$J$98</c:f>
              <c:numCache>
                <c:formatCode>#,##0_);\(#,##0\)</c:formatCode>
                <c:ptCount val="9"/>
                <c:pt idx="0">
                  <c:v>554693.89399999997</c:v>
                </c:pt>
                <c:pt idx="1">
                  <c:v>749007.98899999994</c:v>
                </c:pt>
                <c:pt idx="2">
                  <c:v>854777.15999999992</c:v>
                </c:pt>
                <c:pt idx="3">
                  <c:v>995308.27899999998</c:v>
                </c:pt>
                <c:pt idx="4">
                  <c:v>1531629.736</c:v>
                </c:pt>
                <c:pt idx="5">
                  <c:v>1855989.2551048936</c:v>
                </c:pt>
                <c:pt idx="6">
                  <c:v>2150095.621219343</c:v>
                </c:pt>
                <c:pt idx="7">
                  <c:v>2467723.0424962207</c:v>
                </c:pt>
                <c:pt idx="8">
                  <c:v>2808813.2659448553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C-4C8F-A8E0-94A10822D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629087"/>
        <c:axId val="1451623263"/>
      </c:lineChart>
      <c:catAx>
        <c:axId val="14516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623263"/>
        <c:crosses val="autoZero"/>
        <c:auto val="1"/>
        <c:lblAlgn val="ctr"/>
        <c:lblOffset val="100"/>
        <c:noMultiLvlLbl val="0"/>
      </c:catAx>
      <c:valAx>
        <c:axId val="14516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62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'Transpose + Statements'!$A$67</c:f>
              <c:strCache>
                <c:ptCount val="1"/>
                <c:pt idx="0">
                  <c:v>Earing per Share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'Transpose + Statements'!$B$48:$J$48</c:f>
              <c:strCache>
                <c:ptCount val="9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2022E</c:v>
                </c:pt>
                <c:pt idx="6">
                  <c:v>2023E</c:v>
                </c:pt>
                <c:pt idx="7">
                  <c:v>2024E</c:v>
                </c:pt>
                <c:pt idx="8">
                  <c:v>2025E</c:v>
                </c:pt>
              </c:strCache>
            </c:strRef>
          </c:cat>
          <c:val>
            <c:numRef>
              <c:f>'Transpose + Statements'!$B$67:$J$67</c:f>
              <c:numCache>
                <c:formatCode>#,##0.00_);\(#,##0.00\)</c:formatCode>
                <c:ptCount val="9"/>
                <c:pt idx="0">
                  <c:v>0.22895821800998001</c:v>
                </c:pt>
                <c:pt idx="1">
                  <c:v>0.30723578578842597</c:v>
                </c:pt>
                <c:pt idx="2">
                  <c:v>0.36543822111103164</c:v>
                </c:pt>
                <c:pt idx="3">
                  <c:v>0.43454484083765016</c:v>
                </c:pt>
                <c:pt idx="4">
                  <c:v>0.53940245105164686</c:v>
                </c:pt>
                <c:pt idx="5">
                  <c:v>0.46395283921380681</c:v>
                </c:pt>
                <c:pt idx="6">
                  <c:v>0.6440956899885244</c:v>
                </c:pt>
                <c:pt idx="7">
                  <c:v>0.71746950440945245</c:v>
                </c:pt>
                <c:pt idx="8">
                  <c:v>0.79377663208279026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C-403A-B46F-4EB8D7EB573B}"/>
            </c:ext>
          </c:extLst>
        </c:ser>
        <c:ser>
          <c:idx val="1"/>
          <c:order val="1"/>
          <c:tx>
            <c:strRef>
              <c:f>'Transpose + Statements'!$A$68</c:f>
              <c:strCache>
                <c:ptCount val="1"/>
                <c:pt idx="0">
                  <c:v>Divident Per Share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'Transpose + Statements'!$B$68:$J$68</c:f>
              <c:numCache>
                <c:formatCode>General</c:formatCode>
                <c:ptCount val="9"/>
                <c:pt idx="0">
                  <c:v>3.3000000000000002E-2</c:v>
                </c:pt>
                <c:pt idx="1">
                  <c:v>4.5999999999999999E-2</c:v>
                </c:pt>
                <c:pt idx="2">
                  <c:v>7.2999999999999995E-2</c:v>
                </c:pt>
                <c:pt idx="3">
                  <c:v>8.5999999999999993E-2</c:v>
                </c:pt>
                <c:pt idx="4">
                  <c:v>0.108</c:v>
                </c:pt>
                <c:pt idx="5" formatCode="0.000">
                  <c:v>0.1159882098034517</c:v>
                </c:pt>
                <c:pt idx="6" formatCode="0.000">
                  <c:v>0.1610239224971311</c:v>
                </c:pt>
                <c:pt idx="7" formatCode="0.000">
                  <c:v>0.21524085132283574</c:v>
                </c:pt>
                <c:pt idx="8" formatCode="0.000">
                  <c:v>0.23813298962483706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F0-4ED6-86E8-6C6DDDDB13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79277215"/>
        <c:axId val="1879277631"/>
      </c:lineChart>
      <c:catAx>
        <c:axId val="187927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277631"/>
        <c:crosses val="autoZero"/>
        <c:auto val="1"/>
        <c:lblAlgn val="ctr"/>
        <c:lblOffset val="100"/>
        <c:noMultiLvlLbl val="0"/>
      </c:catAx>
      <c:valAx>
        <c:axId val="18792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2772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China's</a:t>
            </a:r>
            <a:r>
              <a:rPr lang="en-US" altLang="zh-TW" sz="1200" baseline="0"/>
              <a:t> Waste Incineration Market Share in 2019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404239343473304E-2"/>
          <c:y val="0.19278947900062329"/>
          <c:w val="0.53316321536473987"/>
          <c:h val="0.7581941546171034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BC4-4C65-8653-1E3E21FA01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BC4-4C65-8653-1E3E21FA01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BC4-4C65-8653-1E3E21FA01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BC4-4C65-8653-1E3E21FA01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BC4-4C65-8653-1E3E21FA01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BC4-4C65-8653-1E3E21FA014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BC4-4C65-8653-1E3E21FA0141}"/>
              </c:ext>
            </c:extLst>
          </c:dPt>
          <c:dPt>
            <c:idx val="7"/>
            <c:bubble3D val="0"/>
            <c:explosion val="2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73-44C7-A71B-66A865184BF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BC4-4C65-8653-1E3E21FA014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BC4-4C65-8653-1E3E21FA014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BC4-4C65-8653-1E3E21FA014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073-44C7-A71B-66A865184BF3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Graphs!$A$1:$A$12</c:f>
              <c:strCache>
                <c:ptCount val="12"/>
                <c:pt idx="0">
                  <c:v>Everbright Environment </c:v>
                </c:pt>
                <c:pt idx="1">
                  <c:v>Dynagreen Environmental Protection Group</c:v>
                </c:pt>
                <c:pt idx="2">
                  <c:v>Sus Environment</c:v>
                </c:pt>
                <c:pt idx="3">
                  <c:v>China National Environment Protection Group</c:v>
                </c:pt>
                <c:pt idx="4">
                  <c:v>Shenzhen Energy</c:v>
                </c:pt>
                <c:pt idx="5">
                  <c:v>Zheneng Jinjiang Environment</c:v>
                </c:pt>
                <c:pt idx="6">
                  <c:v>SIIC Environment Holdings</c:v>
                </c:pt>
                <c:pt idx="7">
                  <c:v>Canvest Environmental Protection Group Company</c:v>
                </c:pt>
                <c:pt idx="8">
                  <c:v>Sanfeng Environment</c:v>
                </c:pt>
                <c:pt idx="9">
                  <c:v>Beijing Enterprises Group Company</c:v>
                </c:pt>
                <c:pt idx="10">
                  <c:v>Capital Environment Holding</c:v>
                </c:pt>
                <c:pt idx="11">
                  <c:v>Other</c:v>
                </c:pt>
              </c:strCache>
            </c:strRef>
          </c:cat>
          <c:val>
            <c:numRef>
              <c:f>Graphs!$B$1:$B$12</c:f>
              <c:numCache>
                <c:formatCode>0%</c:formatCode>
                <c:ptCount val="12"/>
                <c:pt idx="0">
                  <c:v>0.11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  <c:pt idx="5">
                  <c:v>0.05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0.03</c:v>
                </c:pt>
                <c:pt idx="11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3-44C7-A71B-66A865184B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360824289849365"/>
          <c:y val="0.10576671208337318"/>
          <c:w val="0.43455477725722508"/>
          <c:h val="0.89263358614933408"/>
        </c:manualLayout>
      </c:layout>
      <c:overlay val="0"/>
      <c:spPr>
        <a:solidFill>
          <a:sysClr val="window" lastClr="FFFFFF">
            <a:alpha val="39000"/>
          </a:sys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China's</a:t>
            </a:r>
            <a:r>
              <a:rPr lang="en-US" altLang="zh-TW" sz="1200" baseline="0"/>
              <a:t> </a:t>
            </a:r>
            <a:r>
              <a:rPr lang="en-US" altLang="zh-TW" sz="1200"/>
              <a:t>Waste</a:t>
            </a:r>
            <a:r>
              <a:rPr lang="en-US" altLang="zh-TW" sz="1200" baseline="0"/>
              <a:t> Management Solution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'Industry+Forecast'!$C$1</c:f>
              <c:strCache>
                <c:ptCount val="1"/>
                <c:pt idx="0">
                  <c:v>Collected and Transported (1m ton)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('Industry+Forecast'!$A$2:$A$7,'Industry+Forecast'!$A$9:$A$11)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('Industry+Forecast'!$C$2:$C$7,'Industry+Forecast'!$C$9:$C$11)</c:f>
              <c:numCache>
                <c:formatCode>General</c:formatCode>
                <c:ptCount val="9"/>
                <c:pt idx="0">
                  <c:v>163.95</c:v>
                </c:pt>
                <c:pt idx="1">
                  <c:v>170.81</c:v>
                </c:pt>
                <c:pt idx="2">
                  <c:v>172.39</c:v>
                </c:pt>
                <c:pt idx="3">
                  <c:v>178.6</c:v>
                </c:pt>
                <c:pt idx="4">
                  <c:v>191.42</c:v>
                </c:pt>
                <c:pt idx="5">
                  <c:v>203.62</c:v>
                </c:pt>
                <c:pt idx="6">
                  <c:v>228.02</c:v>
                </c:pt>
                <c:pt idx="7">
                  <c:v>242.06</c:v>
                </c:pt>
                <c:pt idx="8">
                  <c:v>235.12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3-43BA-B1CF-ACB5A84DF32A}"/>
            </c:ext>
          </c:extLst>
        </c:ser>
        <c:ser>
          <c:idx val="2"/>
          <c:order val="2"/>
          <c:tx>
            <c:strRef>
              <c:f>'Industry+Forecast'!$F$1</c:f>
              <c:strCache>
                <c:ptCount val="1"/>
                <c:pt idx="0">
                  <c:v>Incinerated (1m ton)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'Industry+Forecast'!$F$2:$F$11</c:f>
              <c:numCache>
                <c:formatCode>0</c:formatCode>
                <c:ptCount val="10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53</c:v>
                </c:pt>
                <c:pt idx="4">
                  <c:v>62</c:v>
                </c:pt>
                <c:pt idx="5">
                  <c:v>74</c:v>
                </c:pt>
                <c:pt idx="6">
                  <c:v>85</c:v>
                </c:pt>
                <c:pt idx="7">
                  <c:v>102</c:v>
                </c:pt>
                <c:pt idx="8">
                  <c:v>122</c:v>
                </c:pt>
                <c:pt idx="9">
                  <c:v>124.98273839999715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3-43BA-B1CF-ACB5A84DF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6883407"/>
        <c:axId val="266887567"/>
      </c:barChart>
      <c:lineChart>
        <c:grouping val="standard"/>
        <c:varyColors val="0"/>
        <c:ser>
          <c:idx val="1"/>
          <c:order val="1"/>
          <c:tx>
            <c:strRef>
              <c:f>'Industry+Forecast'!$G$1</c:f>
              <c:strCache>
                <c:ptCount val="1"/>
                <c:pt idx="0">
                  <c:v>Incinerated/Collected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'Industry+Forecast'!$G$2:$G$11</c:f>
              <c:numCache>
                <c:formatCode>0%</c:formatCode>
                <c:ptCount val="10"/>
                <c:pt idx="0">
                  <c:v>0.15858493443122904</c:v>
                </c:pt>
                <c:pt idx="1">
                  <c:v>0.21076049411626954</c:v>
                </c:pt>
                <c:pt idx="2">
                  <c:v>0.26683682348164045</c:v>
                </c:pt>
                <c:pt idx="3">
                  <c:v>0.29675251959686449</c:v>
                </c:pt>
                <c:pt idx="4">
                  <c:v>0.32389509978058717</c:v>
                </c:pt>
                <c:pt idx="5">
                  <c:v>0.36342206070130634</c:v>
                </c:pt>
                <c:pt idx="6">
                  <c:v>0.3949630593373914</c:v>
                </c:pt>
                <c:pt idx="7">
                  <c:v>0.44732918165073238</c:v>
                </c:pt>
                <c:pt idx="8">
                  <c:v>0.50400727092456421</c:v>
                </c:pt>
                <c:pt idx="9">
                  <c:v>0.53156999999998789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63-43BA-B1CF-ACB5A84DF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879247"/>
        <c:axId val="266880495"/>
      </c:lineChart>
      <c:catAx>
        <c:axId val="26688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887567"/>
        <c:crosses val="autoZero"/>
        <c:auto val="1"/>
        <c:lblAlgn val="ctr"/>
        <c:lblOffset val="100"/>
        <c:noMultiLvlLbl val="0"/>
      </c:catAx>
      <c:valAx>
        <c:axId val="2668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883407"/>
        <c:crosses val="autoZero"/>
        <c:crossBetween val="between"/>
      </c:valAx>
      <c:valAx>
        <c:axId val="266880495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879247"/>
        <c:crosses val="max"/>
        <c:crossBetween val="between"/>
      </c:valAx>
      <c:catAx>
        <c:axId val="266879247"/>
        <c:scaling>
          <c:orientation val="minMax"/>
        </c:scaling>
        <c:delete val="1"/>
        <c:axPos val="b"/>
        <c:majorTickMark val="none"/>
        <c:minorTickMark val="none"/>
        <c:tickLblPos val="nextTo"/>
        <c:crossAx val="2668804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200"/>
              <a:t>Electricity</a:t>
            </a:r>
            <a:r>
              <a:rPr lang="en-US" altLang="zh-TW" sz="1200" baseline="0"/>
              <a:t> Price (Left) and Waste Mangement Fee (Right)</a:t>
            </a:r>
            <a:endParaRPr lang="en-US" altLang="zh-TW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'Industry+Forecast'!$L$1</c:f>
              <c:strCache>
                <c:ptCount val="1"/>
                <c:pt idx="0">
                  <c:v>Electricity Price (CNY/kWh)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'Industry+Forecast'!$A$2:$A$12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'Industry+Forecast'!$L$2:$L$12</c:f>
              <c:numCache>
                <c:formatCode>_-* #,##0.0000_-;\-* #,##0.0000_-;_-* "-"_-;_-@_-</c:formatCode>
                <c:ptCount val="11"/>
                <c:pt idx="0">
                  <c:v>0.59000214024437703</c:v>
                </c:pt>
                <c:pt idx="1">
                  <c:v>0.55234911735181058</c:v>
                </c:pt>
                <c:pt idx="2">
                  <c:v>0.54426225698258424</c:v>
                </c:pt>
                <c:pt idx="3">
                  <c:v>0.56507251509422107</c:v>
                </c:pt>
                <c:pt idx="4">
                  <c:v>0.5547102241187899</c:v>
                </c:pt>
                <c:pt idx="5">
                  <c:v>0.52380879496644017</c:v>
                </c:pt>
                <c:pt idx="6">
                  <c:v>0.51592079999748608</c:v>
                </c:pt>
                <c:pt idx="7">
                  <c:v>0.53323773210101622</c:v>
                </c:pt>
                <c:pt idx="8">
                  <c:v>0.5208367229989499</c:v>
                </c:pt>
                <c:pt idx="9">
                  <c:v>0.51043152494884436</c:v>
                </c:pt>
                <c:pt idx="10">
                  <c:v>0.47443980009086772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3-4AAB-BE59-6809B55A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591408"/>
        <c:axId val="380573104"/>
      </c:lineChart>
      <c:lineChart>
        <c:grouping val="standard"/>
        <c:varyColors val="0"/>
        <c:ser>
          <c:idx val="1"/>
          <c:order val="1"/>
          <c:tx>
            <c:strRef>
              <c:f>'Industry+Forecast'!$N$1</c:f>
              <c:strCache>
                <c:ptCount val="1"/>
                <c:pt idx="0">
                  <c:v>WM Fee (1000 HKD/ton)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'Industry+Forecast'!$N$2:$N$12</c:f>
              <c:numCache>
                <c:formatCode>_-* #,##0.0000_-;\-* #,##0.0000_-;_-* "-"_-;_-@_-</c:formatCode>
                <c:ptCount val="11"/>
                <c:pt idx="0">
                  <c:v>0.11549753157346368</c:v>
                </c:pt>
                <c:pt idx="1">
                  <c:v>0.11473374855789895</c:v>
                </c:pt>
                <c:pt idx="2">
                  <c:v>0.13090740082008234</c:v>
                </c:pt>
                <c:pt idx="3">
                  <c:v>0.14617528247849362</c:v>
                </c:pt>
                <c:pt idx="4">
                  <c:v>0.13619747460716036</c:v>
                </c:pt>
                <c:pt idx="5">
                  <c:v>0.1081419211817254</c:v>
                </c:pt>
                <c:pt idx="6">
                  <c:v>8.6913181793825789E-2</c:v>
                </c:pt>
                <c:pt idx="7">
                  <c:v>8.6291430276508443E-2</c:v>
                </c:pt>
                <c:pt idx="8">
                  <c:v>8.3394451962110955E-2</c:v>
                </c:pt>
                <c:pt idx="9">
                  <c:v>8.2514636186228049E-2</c:v>
                </c:pt>
                <c:pt idx="10">
                  <c:v>7.9294047846423299E-2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3-4AAB-BE59-6809B55A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12400"/>
        <c:axId val="379703664"/>
      </c:lineChart>
      <c:catAx>
        <c:axId val="38059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73104"/>
        <c:crosses val="autoZero"/>
        <c:auto val="1"/>
        <c:lblAlgn val="ctr"/>
        <c:lblOffset val="100"/>
        <c:noMultiLvlLbl val="0"/>
      </c:catAx>
      <c:valAx>
        <c:axId val="38057310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_-;\-* #,##0.00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91408"/>
        <c:crosses val="autoZero"/>
        <c:crossBetween val="between"/>
      </c:valAx>
      <c:valAx>
        <c:axId val="379703664"/>
        <c:scaling>
          <c:orientation val="minMax"/>
          <c:min val="6.0000000000000012E-2"/>
        </c:scaling>
        <c:delete val="0"/>
        <c:axPos val="r"/>
        <c:numFmt formatCode="_-* #,##0.0000_-;\-* #,##0.0000_-;_-* &quot;-&quot;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12400"/>
        <c:crosses val="max"/>
        <c:crossBetween val="between"/>
      </c:valAx>
      <c:catAx>
        <c:axId val="379712400"/>
        <c:scaling>
          <c:orientation val="minMax"/>
        </c:scaling>
        <c:delete val="1"/>
        <c:axPos val="b"/>
        <c:majorTickMark val="out"/>
        <c:minorTickMark val="none"/>
        <c:tickLblPos val="nextTo"/>
        <c:crossAx val="379703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8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13" Type="http://schemas.openxmlformats.org/officeDocument/2006/relationships/chart" Target="../charts/chart46.xml"/><Relationship Id="rId18" Type="http://schemas.openxmlformats.org/officeDocument/2006/relationships/chart" Target="../charts/chart51.xml"/><Relationship Id="rId26" Type="http://schemas.openxmlformats.org/officeDocument/2006/relationships/chart" Target="../charts/chart59.xml"/><Relationship Id="rId3" Type="http://schemas.openxmlformats.org/officeDocument/2006/relationships/chart" Target="../charts/chart36.xml"/><Relationship Id="rId21" Type="http://schemas.openxmlformats.org/officeDocument/2006/relationships/chart" Target="../charts/chart54.xml"/><Relationship Id="rId7" Type="http://schemas.openxmlformats.org/officeDocument/2006/relationships/chart" Target="../charts/chart40.xml"/><Relationship Id="rId12" Type="http://schemas.openxmlformats.org/officeDocument/2006/relationships/chart" Target="../charts/chart45.xml"/><Relationship Id="rId17" Type="http://schemas.openxmlformats.org/officeDocument/2006/relationships/chart" Target="../charts/chart50.xml"/><Relationship Id="rId25" Type="http://schemas.openxmlformats.org/officeDocument/2006/relationships/chart" Target="../charts/chart58.xml"/><Relationship Id="rId2" Type="http://schemas.openxmlformats.org/officeDocument/2006/relationships/chart" Target="../charts/chart35.xml"/><Relationship Id="rId16" Type="http://schemas.openxmlformats.org/officeDocument/2006/relationships/chart" Target="../charts/chart49.xml"/><Relationship Id="rId20" Type="http://schemas.openxmlformats.org/officeDocument/2006/relationships/chart" Target="../charts/chart53.xml"/><Relationship Id="rId29" Type="http://schemas.openxmlformats.org/officeDocument/2006/relationships/chart" Target="../charts/chart62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11" Type="http://schemas.openxmlformats.org/officeDocument/2006/relationships/chart" Target="../charts/chart44.xml"/><Relationship Id="rId24" Type="http://schemas.openxmlformats.org/officeDocument/2006/relationships/chart" Target="../charts/chart57.xml"/><Relationship Id="rId5" Type="http://schemas.openxmlformats.org/officeDocument/2006/relationships/chart" Target="../charts/chart38.xml"/><Relationship Id="rId15" Type="http://schemas.openxmlformats.org/officeDocument/2006/relationships/chart" Target="../charts/chart48.xml"/><Relationship Id="rId23" Type="http://schemas.openxmlformats.org/officeDocument/2006/relationships/chart" Target="../charts/chart56.xml"/><Relationship Id="rId28" Type="http://schemas.openxmlformats.org/officeDocument/2006/relationships/chart" Target="../charts/chart61.xml"/><Relationship Id="rId10" Type="http://schemas.openxmlformats.org/officeDocument/2006/relationships/chart" Target="../charts/chart43.xml"/><Relationship Id="rId19" Type="http://schemas.openxmlformats.org/officeDocument/2006/relationships/chart" Target="../charts/chart52.xml"/><Relationship Id="rId31" Type="http://schemas.openxmlformats.org/officeDocument/2006/relationships/chart" Target="../charts/chart64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Relationship Id="rId14" Type="http://schemas.openxmlformats.org/officeDocument/2006/relationships/chart" Target="../charts/chart47.xml"/><Relationship Id="rId22" Type="http://schemas.openxmlformats.org/officeDocument/2006/relationships/chart" Target="../charts/chart55.xml"/><Relationship Id="rId27" Type="http://schemas.openxmlformats.org/officeDocument/2006/relationships/chart" Target="../charts/chart60.xml"/><Relationship Id="rId30" Type="http://schemas.openxmlformats.org/officeDocument/2006/relationships/chart" Target="../charts/chart6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6.xml"/><Relationship Id="rId1" Type="http://schemas.openxmlformats.org/officeDocument/2006/relationships/chart" Target="../charts/chart6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4" Type="http://schemas.openxmlformats.org/officeDocument/2006/relationships/chart" Target="../charts/chart6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1718965</xdr:colOff>
      <xdr:row>18</xdr:row>
      <xdr:rowOff>185319</xdr:rowOff>
    </xdr:from>
    <xdr:to>
      <xdr:col>6</xdr:col>
      <xdr:colOff>2043546</xdr:colOff>
      <xdr:row>34</xdr:row>
      <xdr:rowOff>86592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113C91-2A1C-B360-8868-1DC70EFB1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1870364</xdr:colOff>
      <xdr:row>19</xdr:row>
      <xdr:rowOff>23392</xdr:rowOff>
    </xdr:from>
    <xdr:to>
      <xdr:col>4</xdr:col>
      <xdr:colOff>1430787</xdr:colOff>
      <xdr:row>33</xdr:row>
      <xdr:rowOff>99592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34BC19-43AE-3FA5-34CD-A72BF3B2B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1922319</xdr:colOff>
      <xdr:row>35</xdr:row>
      <xdr:rowOff>48945</xdr:rowOff>
    </xdr:from>
    <xdr:to>
      <xdr:col>4</xdr:col>
      <xdr:colOff>1442503</xdr:colOff>
      <xdr:row>49</xdr:row>
      <xdr:rowOff>125145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5E21E0-DF56-DBAD-FF50-B323311F5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367757</xdr:colOff>
      <xdr:row>19</xdr:row>
      <xdr:rowOff>30825</xdr:rowOff>
    </xdr:from>
    <xdr:to>
      <xdr:col>2</xdr:col>
      <xdr:colOff>1688267</xdr:colOff>
      <xdr:row>33</xdr:row>
      <xdr:rowOff>107025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8DF469-FC2F-75E5-0219-82B538306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518018</xdr:colOff>
      <xdr:row>34</xdr:row>
      <xdr:rowOff>163098</xdr:rowOff>
    </xdr:from>
    <xdr:to>
      <xdr:col>2</xdr:col>
      <xdr:colOff>1841330</xdr:colOff>
      <xdr:row>49</xdr:row>
      <xdr:rowOff>48798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FCDD32-854B-A239-7E20-973E8A488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1716463</xdr:colOff>
      <xdr:row>35</xdr:row>
      <xdr:rowOff>117472</xdr:rowOff>
    </xdr:from>
    <xdr:to>
      <xdr:col>6</xdr:col>
      <xdr:colOff>1956955</xdr:colOff>
      <xdr:row>49</xdr:row>
      <xdr:rowOff>155864</xdr:rowOff>
    </xdr:to>
    <xdr:graphicFrame macro="">
      <xdr:nvGraphicFramePr>
        <xdr:cNvPr id="15" name="Chart 7">
          <a:extLst>
            <a:ext uri="{FF2B5EF4-FFF2-40B4-BE49-F238E27FC236}">
              <a16:creationId xmlns:a16="http://schemas.microsoft.com/office/drawing/2014/main" id="{8D33E53A-1D4D-BED2-82C5-28A969CB26DA}"/>
            </a:ext>
            <a:ext uri="{147F2762-F138-4A5C-976F-8EAC2B608ADB}">
              <a16:predDERef xmlns:a16="http://schemas.microsoft.com/office/drawing/2014/main" pred="{ADFCDD32-854B-A239-7E20-973E8A488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1853046</xdr:colOff>
      <xdr:row>50</xdr:row>
      <xdr:rowOff>115981</xdr:rowOff>
    </xdr:from>
    <xdr:to>
      <xdr:col>4</xdr:col>
      <xdr:colOff>1550487</xdr:colOff>
      <xdr:row>65</xdr:row>
      <xdr:rowOff>1681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6B1057B-4686-7952-5B86-BC3D99D24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349929</xdr:colOff>
      <xdr:row>51</xdr:row>
      <xdr:rowOff>80071</xdr:rowOff>
    </xdr:from>
    <xdr:to>
      <xdr:col>2</xdr:col>
      <xdr:colOff>1684447</xdr:colOff>
      <xdr:row>64</xdr:row>
      <xdr:rowOff>201094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DF0BC-9AF2-3B8E-367E-7B8EAA599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1640278</xdr:colOff>
      <xdr:row>51</xdr:row>
      <xdr:rowOff>10145</xdr:rowOff>
    </xdr:from>
    <xdr:to>
      <xdr:col>6</xdr:col>
      <xdr:colOff>1939636</xdr:colOff>
      <xdr:row>64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99661B-8FEE-47A1-33BA-01BB06206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126321</xdr:colOff>
      <xdr:row>19</xdr:row>
      <xdr:rowOff>122858</xdr:rowOff>
    </xdr:from>
    <xdr:to>
      <xdr:col>8</xdr:col>
      <xdr:colOff>879916</xdr:colOff>
      <xdr:row>33</xdr:row>
      <xdr:rowOff>42176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E13D10F-DFDB-A578-1429-8C3DA768C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993321</xdr:colOff>
      <xdr:row>19</xdr:row>
      <xdr:rowOff>193221</xdr:rowOff>
    </xdr:from>
    <xdr:to>
      <xdr:col>10</xdr:col>
      <xdr:colOff>340178</xdr:colOff>
      <xdr:row>33</xdr:row>
      <xdr:rowOff>78921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4FAE1E0-258E-524A-873F-9DC340006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768803</xdr:colOff>
      <xdr:row>20</xdr:row>
      <xdr:rowOff>135389</xdr:rowOff>
    </xdr:from>
    <xdr:to>
      <xdr:col>13</xdr:col>
      <xdr:colOff>363991</xdr:colOff>
      <xdr:row>38</xdr:row>
      <xdr:rowOff>78240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F0522EE-5623-59E0-7AA9-374582F78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340177</xdr:colOff>
      <xdr:row>35</xdr:row>
      <xdr:rowOff>70756</xdr:rowOff>
    </xdr:from>
    <xdr:to>
      <xdr:col>8</xdr:col>
      <xdr:colOff>2340427</xdr:colOff>
      <xdr:row>52</xdr:row>
      <xdr:rowOff>176892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C28C9B5-4107-77DD-949A-5976E66BF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993321</xdr:colOff>
      <xdr:row>39</xdr:row>
      <xdr:rowOff>57150</xdr:rowOff>
    </xdr:from>
    <xdr:to>
      <xdr:col>11</xdr:col>
      <xdr:colOff>1728107</xdr:colOff>
      <xdr:row>55</xdr:row>
      <xdr:rowOff>190500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0B5A7A8-DFF6-7D63-A794-62602A1E8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1136196</xdr:colOff>
      <xdr:row>19</xdr:row>
      <xdr:rowOff>64717</xdr:rowOff>
    </xdr:from>
    <xdr:to>
      <xdr:col>16</xdr:col>
      <xdr:colOff>1426276</xdr:colOff>
      <xdr:row>36</xdr:row>
      <xdr:rowOff>112714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1254521-859A-F7E3-E1F7-88AB614D9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546759</xdr:colOff>
      <xdr:row>40</xdr:row>
      <xdr:rowOff>5566</xdr:rowOff>
    </xdr:from>
    <xdr:to>
      <xdr:col>15</xdr:col>
      <xdr:colOff>669223</xdr:colOff>
      <xdr:row>57</xdr:row>
      <xdr:rowOff>162050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AB5E2904-FF8A-1C78-F661-86ECBD35D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2050041</xdr:colOff>
      <xdr:row>38</xdr:row>
      <xdr:rowOff>36118</xdr:rowOff>
    </xdr:from>
    <xdr:to>
      <xdr:col>18</xdr:col>
      <xdr:colOff>432955</xdr:colOff>
      <xdr:row>57</xdr:row>
      <xdr:rowOff>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D45EC1C-3B42-D536-2A6F-EAA93E69F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35</xdr:col>
      <xdr:colOff>2251980</xdr:colOff>
      <xdr:row>23</xdr:row>
      <xdr:rowOff>29935</xdr:rowOff>
    </xdr:from>
    <xdr:to>
      <xdr:col>37</xdr:col>
      <xdr:colOff>2041072</xdr:colOff>
      <xdr:row>37</xdr:row>
      <xdr:rowOff>122465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2ECEB5F-1519-5A6F-DF81-CA3C7E5F5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37</xdr:col>
      <xdr:colOff>2585355</xdr:colOff>
      <xdr:row>23</xdr:row>
      <xdr:rowOff>138793</xdr:rowOff>
    </xdr:from>
    <xdr:to>
      <xdr:col>40</xdr:col>
      <xdr:colOff>530678</xdr:colOff>
      <xdr:row>37</xdr:row>
      <xdr:rowOff>24493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737ABC9-D308-E25A-3C69-80B486339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23</xdr:col>
      <xdr:colOff>2149929</xdr:colOff>
      <xdr:row>20</xdr:row>
      <xdr:rowOff>57148</xdr:rowOff>
    </xdr:from>
    <xdr:to>
      <xdr:col>27</xdr:col>
      <xdr:colOff>2597728</xdr:colOff>
      <xdr:row>40</xdr:row>
      <xdr:rowOff>40821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795F08B-8E8E-AB4F-170E-7C1865C10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24</xdr:col>
      <xdr:colOff>2428873</xdr:colOff>
      <xdr:row>41</xdr:row>
      <xdr:rowOff>43543</xdr:rowOff>
    </xdr:from>
    <xdr:to>
      <xdr:col>27</xdr:col>
      <xdr:colOff>2667000</xdr:colOff>
      <xdr:row>54</xdr:row>
      <xdr:rowOff>133350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D66713B-A7A3-F5C3-D5CA-DA4CC508F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36</xdr:col>
      <xdr:colOff>1035999</xdr:colOff>
      <xdr:row>40</xdr:row>
      <xdr:rowOff>46016</xdr:rowOff>
    </xdr:from>
    <xdr:to>
      <xdr:col>37</xdr:col>
      <xdr:colOff>2997901</xdr:colOff>
      <xdr:row>53</xdr:row>
      <xdr:rowOff>126298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498C8D9-3A04-EE51-A3A9-4793C5531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22</xdr:col>
      <xdr:colOff>449036</xdr:colOff>
      <xdr:row>20</xdr:row>
      <xdr:rowOff>25059</xdr:rowOff>
    </xdr:from>
    <xdr:to>
      <xdr:col>23</xdr:col>
      <xdr:colOff>1870363</xdr:colOff>
      <xdr:row>33</xdr:row>
      <xdr:rowOff>66624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EF4BFD74-5A4C-D9C7-B493-CEE7DEAF3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40</xdr:col>
      <xdr:colOff>1801091</xdr:colOff>
      <xdr:row>21</xdr:row>
      <xdr:rowOff>187035</xdr:rowOff>
    </xdr:from>
    <xdr:to>
      <xdr:col>43</xdr:col>
      <xdr:colOff>1298864</xdr:colOff>
      <xdr:row>40</xdr:row>
      <xdr:rowOff>121227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B3DC053-99D3-1E9D-822B-32777AA32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43</xdr:col>
      <xdr:colOff>1389167</xdr:colOff>
      <xdr:row>43</xdr:row>
      <xdr:rowOff>123948</xdr:rowOff>
    </xdr:from>
    <xdr:to>
      <xdr:col>46</xdr:col>
      <xdr:colOff>695201</xdr:colOff>
      <xdr:row>64</xdr:row>
      <xdr:rowOff>39585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41CDF1A-A349-DFD7-A8FC-967AAE80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38</xdr:col>
      <xdr:colOff>843642</xdr:colOff>
      <xdr:row>39</xdr:row>
      <xdr:rowOff>84364</xdr:rowOff>
    </xdr:from>
    <xdr:to>
      <xdr:col>40</xdr:col>
      <xdr:colOff>762000</xdr:colOff>
      <xdr:row>52</xdr:row>
      <xdr:rowOff>174172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B2A2C65A-A498-7800-724D-BB73646FB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47</xdr:col>
      <xdr:colOff>326571</xdr:colOff>
      <xdr:row>20</xdr:row>
      <xdr:rowOff>43541</xdr:rowOff>
    </xdr:from>
    <xdr:to>
      <xdr:col>49</xdr:col>
      <xdr:colOff>1039091</xdr:colOff>
      <xdr:row>39</xdr:row>
      <xdr:rowOff>122462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2243872A-AF04-47CE-CB8C-A4B90D868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46</xdr:col>
      <xdr:colOff>1076820</xdr:colOff>
      <xdr:row>42</xdr:row>
      <xdr:rowOff>76942</xdr:rowOff>
    </xdr:from>
    <xdr:to>
      <xdr:col>49</xdr:col>
      <xdr:colOff>606136</xdr:colOff>
      <xdr:row>59</xdr:row>
      <xdr:rowOff>33400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68DF0EE3-95C1-5525-EA72-EDD7ACECF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51</xdr:col>
      <xdr:colOff>857250</xdr:colOff>
      <xdr:row>34</xdr:row>
      <xdr:rowOff>54676</xdr:rowOff>
    </xdr:from>
    <xdr:to>
      <xdr:col>53</xdr:col>
      <xdr:colOff>592530</xdr:colOff>
      <xdr:row>47</xdr:row>
      <xdr:rowOff>148194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B5737452-9B0D-609A-BF5A-BD6B6FBAD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44</xdr:col>
      <xdr:colOff>138544</xdr:colOff>
      <xdr:row>17</xdr:row>
      <xdr:rowOff>169718</xdr:rowOff>
    </xdr:from>
    <xdr:to>
      <xdr:col>46</xdr:col>
      <xdr:colOff>1679862</xdr:colOff>
      <xdr:row>38</xdr:row>
      <xdr:rowOff>51954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A014F404-85E1-6744-B749-B9A9DE774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40</xdr:col>
      <xdr:colOff>1657963</xdr:colOff>
      <xdr:row>43</xdr:row>
      <xdr:rowOff>248</xdr:rowOff>
    </xdr:from>
    <xdr:to>
      <xdr:col>42</xdr:col>
      <xdr:colOff>3470186</xdr:colOff>
      <xdr:row>61</xdr:row>
      <xdr:rowOff>11133</xdr:rowOff>
    </xdr:to>
    <xdr:graphicFrame macro="">
      <xdr:nvGraphicFramePr>
        <xdr:cNvPr id="43" name="Chart 48">
          <a:extLst>
            <a:ext uri="{FF2B5EF4-FFF2-40B4-BE49-F238E27FC236}">
              <a16:creationId xmlns:a16="http://schemas.microsoft.com/office/drawing/2014/main" id="{88CC6A63-D461-3154-9EF7-127F9F5DD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50</xdr:col>
      <xdr:colOff>1176617</xdr:colOff>
      <xdr:row>15</xdr:row>
      <xdr:rowOff>163608</xdr:rowOff>
    </xdr:from>
    <xdr:to>
      <xdr:col>52</xdr:col>
      <xdr:colOff>1220640</xdr:colOff>
      <xdr:row>32</xdr:row>
      <xdr:rowOff>120064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63A7851-C16E-65C2-8E6A-377765B94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2440483</xdr:colOff>
      <xdr:row>16</xdr:row>
      <xdr:rowOff>5121</xdr:rowOff>
    </xdr:from>
    <xdr:to>
      <xdr:col>57</xdr:col>
      <xdr:colOff>0</xdr:colOff>
      <xdr:row>29</xdr:row>
      <xdr:rowOff>94928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99C1379-EC8F-443D-3719-C318641F8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930089</xdr:colOff>
      <xdr:row>52</xdr:row>
      <xdr:rowOff>48986</xdr:rowOff>
    </xdr:from>
    <xdr:to>
      <xdr:col>4</xdr:col>
      <xdr:colOff>3877236</xdr:colOff>
      <xdr:row>68</xdr:row>
      <xdr:rowOff>123265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B7B94-612F-4214-8070-8EB7D967F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2209088</xdr:colOff>
      <xdr:row>21</xdr:row>
      <xdr:rowOff>131516</xdr:rowOff>
    </xdr:from>
    <xdr:to>
      <xdr:col>4</xdr:col>
      <xdr:colOff>2701637</xdr:colOff>
      <xdr:row>34</xdr:row>
      <xdr:rowOff>17318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0C4608-BEDF-4BE6-2828-5E8C46623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105147</xdr:colOff>
      <xdr:row>21</xdr:row>
      <xdr:rowOff>41687</xdr:rowOff>
    </xdr:from>
    <xdr:to>
      <xdr:col>10</xdr:col>
      <xdr:colOff>2216727</xdr:colOff>
      <xdr:row>35</xdr:row>
      <xdr:rowOff>117888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AEF74C-1F78-F13D-482A-67BF82915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2051185</xdr:colOff>
      <xdr:row>36</xdr:row>
      <xdr:rowOff>202318</xdr:rowOff>
    </xdr:from>
    <xdr:to>
      <xdr:col>4</xdr:col>
      <xdr:colOff>3026097</xdr:colOff>
      <xdr:row>50</xdr:row>
      <xdr:rowOff>115523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BBCB1-F51D-0807-1098-0758379EF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3151399</xdr:colOff>
      <xdr:row>36</xdr:row>
      <xdr:rowOff>180923</xdr:rowOff>
    </xdr:from>
    <xdr:to>
      <xdr:col>7</xdr:col>
      <xdr:colOff>1658472</xdr:colOff>
      <xdr:row>50</xdr:row>
      <xdr:rowOff>100241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553079-29E7-751E-EAA4-4F2AD3038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3141212</xdr:colOff>
      <xdr:row>21</xdr:row>
      <xdr:rowOff>89240</xdr:rowOff>
    </xdr:from>
    <xdr:to>
      <xdr:col>7</xdr:col>
      <xdr:colOff>1876984</xdr:colOff>
      <xdr:row>35</xdr:row>
      <xdr:rowOff>8558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364F8C-A1FB-47A5-E3C1-E61329FB7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1154205</xdr:colOff>
      <xdr:row>38</xdr:row>
      <xdr:rowOff>29135</xdr:rowOff>
    </xdr:from>
    <xdr:to>
      <xdr:col>3</xdr:col>
      <xdr:colOff>1378323</xdr:colOff>
      <xdr:row>51</xdr:row>
      <xdr:rowOff>150159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0568859-31FF-C7A3-8B05-06F227A14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3401496</xdr:colOff>
      <xdr:row>36</xdr:row>
      <xdr:rowOff>191110</xdr:rowOff>
    </xdr:from>
    <xdr:to>
      <xdr:col>10</xdr:col>
      <xdr:colOff>796636</xdr:colOff>
      <xdr:row>51</xdr:row>
      <xdr:rowOff>69273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1FF71D6-030B-2B72-613C-CCC4C772E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425822</xdr:colOff>
      <xdr:row>20</xdr:row>
      <xdr:rowOff>152399</xdr:rowOff>
    </xdr:from>
    <xdr:to>
      <xdr:col>13</xdr:col>
      <xdr:colOff>1306285</xdr:colOff>
      <xdr:row>36</xdr:row>
      <xdr:rowOff>81642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627F423-72E6-94F6-14FE-95793D58EA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81642</xdr:colOff>
      <xdr:row>21</xdr:row>
      <xdr:rowOff>40821</xdr:rowOff>
    </xdr:from>
    <xdr:to>
      <xdr:col>16</xdr:col>
      <xdr:colOff>1268865</xdr:colOff>
      <xdr:row>38</xdr:row>
      <xdr:rowOff>187779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F8F1E65-CB7E-4DA6-B4FC-1BA3CF459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1016525</xdr:colOff>
      <xdr:row>19</xdr:row>
      <xdr:rowOff>17215</xdr:rowOff>
    </xdr:from>
    <xdr:to>
      <xdr:col>33</xdr:col>
      <xdr:colOff>1881673</xdr:colOff>
      <xdr:row>36</xdr:row>
      <xdr:rowOff>134556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3D10FF2-F6B3-4D32-A22C-519F5A06D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161925</xdr:colOff>
      <xdr:row>20</xdr:row>
      <xdr:rowOff>0</xdr:rowOff>
    </xdr:from>
    <xdr:to>
      <xdr:col>39</xdr:col>
      <xdr:colOff>408214</xdr:colOff>
      <xdr:row>37</xdr:row>
      <xdr:rowOff>121104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464D4CD-0498-43AD-B728-8E67BDF31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34</xdr:col>
      <xdr:colOff>775607</xdr:colOff>
      <xdr:row>19</xdr:row>
      <xdr:rowOff>183696</xdr:rowOff>
    </xdr:from>
    <xdr:to>
      <xdr:col>36</xdr:col>
      <xdr:colOff>1571626</xdr:colOff>
      <xdr:row>37</xdr:row>
      <xdr:rowOff>48987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FA42466-8C98-4BC1-857B-FC2337582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876097</xdr:colOff>
      <xdr:row>43</xdr:row>
      <xdr:rowOff>174198</xdr:rowOff>
    </xdr:from>
    <xdr:to>
      <xdr:col>46</xdr:col>
      <xdr:colOff>1662546</xdr:colOff>
      <xdr:row>61</xdr:row>
      <xdr:rowOff>138546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58C3B3A-D0E6-4083-959E-DE521F541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46</xdr:col>
      <xdr:colOff>1838784</xdr:colOff>
      <xdr:row>43</xdr:row>
      <xdr:rowOff>193556</xdr:rowOff>
    </xdr:from>
    <xdr:to>
      <xdr:col>49</xdr:col>
      <xdr:colOff>900545</xdr:colOff>
      <xdr:row>62</xdr:row>
      <xdr:rowOff>86591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F6A9B31-A087-4CCC-8233-DD21D9AC9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43</xdr:col>
      <xdr:colOff>138545</xdr:colOff>
      <xdr:row>23</xdr:row>
      <xdr:rowOff>69272</xdr:rowOff>
    </xdr:from>
    <xdr:to>
      <xdr:col>46</xdr:col>
      <xdr:colOff>1558637</xdr:colOff>
      <xdr:row>40</xdr:row>
      <xdr:rowOff>173182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E15FB4C-5917-4C67-9430-FDBE4D17A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49</xdr:col>
      <xdr:colOff>1339744</xdr:colOff>
      <xdr:row>42</xdr:row>
      <xdr:rowOff>188419</xdr:rowOff>
    </xdr:from>
    <xdr:to>
      <xdr:col>53</xdr:col>
      <xdr:colOff>40821</xdr:colOff>
      <xdr:row>62</xdr:row>
      <xdr:rowOff>48245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D9D97E0-8E71-442B-8508-04361A62A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49</xdr:col>
      <xdr:colOff>1279072</xdr:colOff>
      <xdr:row>21</xdr:row>
      <xdr:rowOff>13608</xdr:rowOff>
    </xdr:from>
    <xdr:to>
      <xdr:col>52</xdr:col>
      <xdr:colOff>1211036</xdr:colOff>
      <xdr:row>40</xdr:row>
      <xdr:rowOff>187779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CF68CAA-CB9E-46F5-BE2D-2BD2110B5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54</xdr:col>
      <xdr:colOff>1260662</xdr:colOff>
      <xdr:row>39</xdr:row>
      <xdr:rowOff>128067</xdr:rowOff>
    </xdr:from>
    <xdr:to>
      <xdr:col>58</xdr:col>
      <xdr:colOff>1062158</xdr:colOff>
      <xdr:row>59</xdr:row>
      <xdr:rowOff>50908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9B7206BC-7278-45F8-99EB-7FC8B344F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58</xdr:col>
      <xdr:colOff>1264229</xdr:colOff>
      <xdr:row>19</xdr:row>
      <xdr:rowOff>34637</xdr:rowOff>
    </xdr:from>
    <xdr:to>
      <xdr:col>61</xdr:col>
      <xdr:colOff>2185147</xdr:colOff>
      <xdr:row>35</xdr:row>
      <xdr:rowOff>135824</xdr:rowOff>
    </xdr:to>
    <xdr:graphicFrame macro="">
      <xdr:nvGraphicFramePr>
        <xdr:cNvPr id="8" name="Chart 32">
          <a:extLst>
            <a:ext uri="{FF2B5EF4-FFF2-40B4-BE49-F238E27FC236}">
              <a16:creationId xmlns:a16="http://schemas.microsoft.com/office/drawing/2014/main" id="{8254CDA8-99D6-4FA8-98F6-BFCDD1523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64</xdr:col>
      <xdr:colOff>173181</xdr:colOff>
      <xdr:row>37</xdr:row>
      <xdr:rowOff>100198</xdr:rowOff>
    </xdr:from>
    <xdr:to>
      <xdr:col>68</xdr:col>
      <xdr:colOff>629638</xdr:colOff>
      <xdr:row>55</xdr:row>
      <xdr:rowOff>168233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4DE659FC-0DC6-486F-A5BF-3ACDDC744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54</xdr:col>
      <xdr:colOff>1360713</xdr:colOff>
      <xdr:row>18</xdr:row>
      <xdr:rowOff>81643</xdr:rowOff>
    </xdr:from>
    <xdr:to>
      <xdr:col>58</xdr:col>
      <xdr:colOff>980222</xdr:colOff>
      <xdr:row>38</xdr:row>
      <xdr:rowOff>117561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E72551DA-9B41-47FE-8D78-64B55F391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46</xdr:col>
      <xdr:colOff>2238373</xdr:colOff>
      <xdr:row>22</xdr:row>
      <xdr:rowOff>40820</xdr:rowOff>
    </xdr:from>
    <xdr:to>
      <xdr:col>49</xdr:col>
      <xdr:colOff>612320</xdr:colOff>
      <xdr:row>40</xdr:row>
      <xdr:rowOff>132112</xdr:rowOff>
    </xdr:to>
    <xdr:graphicFrame macro="">
      <xdr:nvGraphicFramePr>
        <xdr:cNvPr id="27" name="Chart 48">
          <a:extLst>
            <a:ext uri="{FF2B5EF4-FFF2-40B4-BE49-F238E27FC236}">
              <a16:creationId xmlns:a16="http://schemas.microsoft.com/office/drawing/2014/main" id="{484FC5BA-823D-4A89-8BF0-2D8A0349B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62</xdr:col>
      <xdr:colOff>492114</xdr:colOff>
      <xdr:row>18</xdr:row>
      <xdr:rowOff>164086</xdr:rowOff>
    </xdr:from>
    <xdr:to>
      <xdr:col>66</xdr:col>
      <xdr:colOff>129670</xdr:colOff>
      <xdr:row>35</xdr:row>
      <xdr:rowOff>122944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3028ADA4-352D-40F8-90B7-ACB2DA45D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66</xdr:col>
      <xdr:colOff>593113</xdr:colOff>
      <xdr:row>18</xdr:row>
      <xdr:rowOff>182495</xdr:rowOff>
    </xdr:from>
    <xdr:to>
      <xdr:col>68</xdr:col>
      <xdr:colOff>326572</xdr:colOff>
      <xdr:row>35</xdr:row>
      <xdr:rowOff>163285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A326DCE-9A71-4E0C-BAB3-764751095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68</xdr:col>
      <xdr:colOff>375397</xdr:colOff>
      <xdr:row>18</xdr:row>
      <xdr:rowOff>197224</xdr:rowOff>
    </xdr:from>
    <xdr:to>
      <xdr:col>69</xdr:col>
      <xdr:colOff>2134720</xdr:colOff>
      <xdr:row>32</xdr:row>
      <xdr:rowOff>116542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947ED75-5D36-D7E9-3EDB-41CC8145C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69</xdr:col>
      <xdr:colOff>2795865</xdr:colOff>
      <xdr:row>18</xdr:row>
      <xdr:rowOff>73958</xdr:rowOff>
    </xdr:from>
    <xdr:to>
      <xdr:col>72</xdr:col>
      <xdr:colOff>683558</xdr:colOff>
      <xdr:row>33</xdr:row>
      <xdr:rowOff>179293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C8D0B2E-623C-CD95-18DA-C5222E3DA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72</xdr:col>
      <xdr:colOff>1092572</xdr:colOff>
      <xdr:row>18</xdr:row>
      <xdr:rowOff>62753</xdr:rowOff>
    </xdr:from>
    <xdr:to>
      <xdr:col>74</xdr:col>
      <xdr:colOff>61631</xdr:colOff>
      <xdr:row>31</xdr:row>
      <xdr:rowOff>183777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DFE5257-F7AE-A14A-AE07-0A3D3A498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41</xdr:col>
      <xdr:colOff>637335</xdr:colOff>
      <xdr:row>22</xdr:row>
      <xdr:rowOff>93570</xdr:rowOff>
    </xdr:from>
    <xdr:to>
      <xdr:col>42</xdr:col>
      <xdr:colOff>1574426</xdr:colOff>
      <xdr:row>36</xdr:row>
      <xdr:rowOff>12887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CACEC47-4970-F68C-C636-D3AF0A98A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</xdr:col>
      <xdr:colOff>381000</xdr:colOff>
      <xdr:row>19</xdr:row>
      <xdr:rowOff>6723</xdr:rowOff>
    </xdr:from>
    <xdr:to>
      <xdr:col>3</xdr:col>
      <xdr:colOff>1938618</xdr:colOff>
      <xdr:row>34</xdr:row>
      <xdr:rowOff>100852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701A3574-D7C0-46E9-E1BC-27FF5F159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10</xdr:col>
      <xdr:colOff>2041072</xdr:colOff>
      <xdr:row>39</xdr:row>
      <xdr:rowOff>111578</xdr:rowOff>
    </xdr:from>
    <xdr:to>
      <xdr:col>13</xdr:col>
      <xdr:colOff>81643</xdr:colOff>
      <xdr:row>52</xdr:row>
      <xdr:rowOff>201386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21CC58CA-388A-0758-E81C-AB27C16D8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272142</xdr:colOff>
      <xdr:row>67</xdr:row>
      <xdr:rowOff>81645</xdr:rowOff>
    </xdr:from>
    <xdr:to>
      <xdr:col>15</xdr:col>
      <xdr:colOff>503463</xdr:colOff>
      <xdr:row>86</xdr:row>
      <xdr:rowOff>176893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ABC46-88BE-BA91-7EB0-9E50C04F8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557894</xdr:colOff>
      <xdr:row>52</xdr:row>
      <xdr:rowOff>125186</xdr:rowOff>
    </xdr:from>
    <xdr:to>
      <xdr:col>15</xdr:col>
      <xdr:colOff>666752</xdr:colOff>
      <xdr:row>66</xdr:row>
      <xdr:rowOff>10886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3F8465-8275-38AB-EFDD-72DA76A49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459439</xdr:colOff>
      <xdr:row>0</xdr:row>
      <xdr:rowOff>50428</xdr:rowOff>
    </xdr:from>
    <xdr:to>
      <xdr:col>11</xdr:col>
      <xdr:colOff>493059</xdr:colOff>
      <xdr:row>15</xdr:row>
      <xdr:rowOff>56030</xdr:rowOff>
    </xdr:to>
    <xdr:graphicFrame macro="">
      <xdr:nvGraphicFramePr>
        <xdr:cNvPr id="161" name="Chart 2">
          <a:extLst>
            <a:ext uri="{FF2B5EF4-FFF2-40B4-BE49-F238E27FC236}">
              <a16:creationId xmlns:a16="http://schemas.microsoft.com/office/drawing/2014/main" id="{A0A2901E-25EC-BF01-83E5-5B40CA371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</xdr:colOff>
      <xdr:row>23</xdr:row>
      <xdr:rowOff>112059</xdr:rowOff>
    </xdr:from>
    <xdr:to>
      <xdr:col>12</xdr:col>
      <xdr:colOff>459442</xdr:colOff>
      <xdr:row>39</xdr:row>
      <xdr:rowOff>4482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847FAC-F4E9-44D5-8227-2D10DD235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493060</xdr:colOff>
      <xdr:row>14</xdr:row>
      <xdr:rowOff>33617</xdr:rowOff>
    </xdr:from>
    <xdr:to>
      <xdr:col>20</xdr:col>
      <xdr:colOff>1432673</xdr:colOff>
      <xdr:row>30</xdr:row>
      <xdr:rowOff>62192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F60D07-0E72-8CFA-EB73-EAB30F9B1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6589" y="2857499"/>
          <a:ext cx="7237319" cy="3255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336176</xdr:colOff>
      <xdr:row>39</xdr:row>
      <xdr:rowOff>145677</xdr:rowOff>
    </xdr:from>
    <xdr:to>
      <xdr:col>12</xdr:col>
      <xdr:colOff>336177</xdr:colOff>
      <xdr:row>53</xdr:row>
      <xdr:rowOff>67235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E18161-DBBC-4297-A6A3-DE774781F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C1F32-3ACF-4445-A267-91ECCB1BB2F8}" name="Table3" displayName="Table3" ref="A1:G36" totalsRowShown="0" headerRowDxfId="0">
  <autoFilter ref="A1:G36" xr:uid="{A0DC1F32-3ACF-4445-A267-91ECCB1BB2F8}"/>
  <tableColumns count="7">
    <tableColumn id="1" xr3:uid="{38F45CF2-88C7-4DF3-B6B0-D518B73AD4F1}" name="List of "/>
    <tableColumn id="2" xr3:uid="{9C8ACB6E-AB04-4785-83F1-E36EC8CF0258}" name="Project Name"/>
    <tableColumn id="3" xr3:uid="{815D026B-F466-4DC3-A018-2836AD088DA7}" name="Location"/>
    <tableColumn id="4" xr3:uid="{4C586AB3-1384-4F02-8975-7C0B5FB1B30C}" name="Daily  Processing Capacity"/>
    <tableColumn id="5" xr3:uid="{6B473F89-C407-405F-8082-0FA989BE8BF0}" name="Installed Power Generation Capacity"/>
    <tableColumn id="6" xr3:uid="{798F40AB-E138-4823-ABEB-DAE24D32360F}" name="Waste Management Fee "/>
    <tableColumn id="7" xr3:uid="{33E0C13D-84AE-459B-ADDA-F138D4F251B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8"/>
  <sheetViews>
    <sheetView topLeftCell="AI1" zoomScale="70" zoomScaleNormal="70" workbookViewId="0">
      <selection activeCell="AJ9" sqref="AJ9"/>
    </sheetView>
  </sheetViews>
  <sheetFormatPr defaultRowHeight="15.75"/>
  <cols>
    <col min="1" max="1" width="6.28515625" bestFit="1" customWidth="1"/>
    <col min="2" max="2" width="45.7109375" bestFit="1" customWidth="1"/>
    <col min="3" max="3" width="35.7109375" bestFit="1" customWidth="1"/>
    <col min="4" max="4" width="44.85546875" bestFit="1" customWidth="1"/>
    <col min="5" max="5" width="35.42578125" bestFit="1" customWidth="1"/>
    <col min="6" max="6" width="42.85546875" bestFit="1" customWidth="1"/>
    <col min="7" max="7" width="35.42578125" customWidth="1"/>
    <col min="8" max="8" width="57.28515625" bestFit="1" customWidth="1"/>
    <col min="9" max="9" width="42.140625" bestFit="1" customWidth="1"/>
    <col min="10" max="11" width="36.140625" customWidth="1"/>
    <col min="12" max="12" width="27.28515625" bestFit="1" customWidth="1"/>
    <col min="13" max="13" width="29" bestFit="1" customWidth="1"/>
    <col min="14" max="14" width="54.140625" bestFit="1" customWidth="1"/>
    <col min="15" max="15" width="44.42578125" bestFit="1" customWidth="1"/>
    <col min="16" max="16" width="37.140625" bestFit="1" customWidth="1"/>
    <col min="17" max="17" width="33.5703125" customWidth="1"/>
    <col min="18" max="18" width="40" bestFit="1" customWidth="1"/>
    <col min="19" max="20" width="40" customWidth="1"/>
    <col min="21" max="21" width="48.28515625" bestFit="1" customWidth="1"/>
    <col min="22" max="22" width="32" bestFit="1" customWidth="1"/>
    <col min="23" max="23" width="44" bestFit="1" customWidth="1"/>
    <col min="24" max="25" width="43.85546875" customWidth="1"/>
    <col min="26" max="26" width="30.28515625" bestFit="1" customWidth="1"/>
    <col min="27" max="27" width="34.42578125" hidden="1" customWidth="1"/>
    <col min="28" max="28" width="87.28515625" bestFit="1" customWidth="1"/>
    <col min="29" max="29" width="53.140625" bestFit="1" customWidth="1"/>
    <col min="30" max="30" width="34.7109375" bestFit="1" customWidth="1"/>
    <col min="31" max="31" width="29.140625" bestFit="1" customWidth="1"/>
    <col min="32" max="32" width="33.85546875" bestFit="1" customWidth="1"/>
    <col min="33" max="33" width="37.140625" bestFit="1" customWidth="1"/>
    <col min="34" max="34" width="32.5703125" bestFit="1" customWidth="1"/>
    <col min="35" max="35" width="51.42578125" bestFit="1" customWidth="1"/>
    <col min="36" max="36" width="38.85546875" bestFit="1" customWidth="1"/>
    <col min="37" max="37" width="38.85546875" customWidth="1"/>
    <col min="38" max="38" width="45.28515625" bestFit="1" customWidth="1"/>
    <col min="39" max="39" width="45.28515625" customWidth="1"/>
    <col min="40" max="40" width="24.5703125" bestFit="1" customWidth="1"/>
    <col min="41" max="41" width="38" bestFit="1" customWidth="1"/>
    <col min="42" max="42" width="35.5703125" bestFit="1" customWidth="1"/>
    <col min="43" max="43" width="53.5703125" bestFit="1" customWidth="1"/>
    <col min="44" max="44" width="34.7109375" bestFit="1" customWidth="1"/>
    <col min="45" max="45" width="30.7109375" bestFit="1" customWidth="1"/>
    <col min="46" max="46" width="39" bestFit="1" customWidth="1"/>
    <col min="47" max="47" width="29.7109375" bestFit="1" customWidth="1"/>
    <col min="48" max="48" width="36.140625" bestFit="1" customWidth="1"/>
    <col min="49" max="49" width="41.5703125" bestFit="1" customWidth="1"/>
    <col min="50" max="50" width="41.5703125" customWidth="1"/>
    <col min="51" max="51" width="36" bestFit="1" customWidth="1"/>
    <col min="52" max="52" width="42.85546875" bestFit="1" customWidth="1"/>
    <col min="53" max="53" width="33.5703125" bestFit="1" customWidth="1"/>
    <col min="54" max="54" width="47.140625" bestFit="1" customWidth="1"/>
    <col min="55" max="55" width="25.85546875" bestFit="1" customWidth="1"/>
    <col min="56" max="56" width="42.5703125" bestFit="1" customWidth="1"/>
    <col min="57" max="57" width="41.42578125" bestFit="1" customWidth="1"/>
    <col min="58" max="58" width="42.140625" customWidth="1"/>
    <col min="59" max="59" width="33.42578125" bestFit="1" customWidth="1"/>
    <col min="60" max="60" width="38.42578125" bestFit="1" customWidth="1"/>
    <col min="61" max="61" width="39.42578125" bestFit="1" customWidth="1"/>
    <col min="62" max="62" width="45" bestFit="1" customWidth="1"/>
    <col min="63" max="63" width="26.5703125" bestFit="1" customWidth="1"/>
    <col min="64" max="64" width="28" bestFit="1" customWidth="1"/>
    <col min="65" max="65" width="44.42578125" bestFit="1" customWidth="1"/>
    <col min="66" max="66" width="40.140625" bestFit="1" customWidth="1"/>
    <col min="67" max="67" width="45.42578125" bestFit="1" customWidth="1"/>
  </cols>
  <sheetData>
    <row r="1" spans="1:6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</row>
    <row r="2" spans="1:67">
      <c r="A2" s="5">
        <v>2011</v>
      </c>
      <c r="B2" s="6">
        <v>0</v>
      </c>
      <c r="C2" s="6">
        <v>1000</v>
      </c>
      <c r="D2" s="6">
        <v>0</v>
      </c>
      <c r="E2" s="6">
        <v>410788</v>
      </c>
      <c r="F2" s="7">
        <f t="shared" ref="F2:F12" si="0">E2/(C2*365)</f>
        <v>1.1254465753424658</v>
      </c>
      <c r="G2" s="6">
        <v>0</v>
      </c>
      <c r="H2" s="8">
        <f>I2/E2</f>
        <v>0.42775592276307972</v>
      </c>
      <c r="I2" s="6">
        <v>175717</v>
      </c>
      <c r="J2" s="6">
        <v>154188</v>
      </c>
      <c r="K2" s="7">
        <f>J2/I2</f>
        <v>0.8774791283711878</v>
      </c>
      <c r="L2" s="6">
        <v>107025</v>
      </c>
      <c r="M2" s="9">
        <f>L2/J2</f>
        <v>0.69412016499338469</v>
      </c>
      <c r="N2" s="9">
        <f>M2*0.85</f>
        <v>0.59000214024437703</v>
      </c>
      <c r="O2" s="6">
        <v>47445</v>
      </c>
      <c r="P2" s="9">
        <f>O2/E2</f>
        <v>0.11549753157346368</v>
      </c>
      <c r="Q2" s="7">
        <v>0.61499999999999999</v>
      </c>
      <c r="R2">
        <v>0</v>
      </c>
      <c r="S2" s="6">
        <v>0</v>
      </c>
      <c r="T2" s="6">
        <v>0</v>
      </c>
      <c r="U2" s="6">
        <f t="shared" ref="U2:U12" si="1">SUM(L2,O2)</f>
        <v>154470</v>
      </c>
      <c r="V2" s="6">
        <v>0</v>
      </c>
      <c r="W2" s="6">
        <f>V2</f>
        <v>0</v>
      </c>
      <c r="X2" s="6">
        <v>0</v>
      </c>
      <c r="Y2" s="6"/>
      <c r="Z2" s="6">
        <f t="shared" ref="Z2:Z12" si="2">SUM(V2,S2,O2,L2)</f>
        <v>154470</v>
      </c>
      <c r="AA2" s="6">
        <v>59474</v>
      </c>
      <c r="AB2" s="6">
        <v>0</v>
      </c>
      <c r="AC2" s="6">
        <f>AA2-AB2</f>
        <v>59474</v>
      </c>
      <c r="AD2" s="6">
        <v>16467</v>
      </c>
      <c r="AE2" s="11">
        <v>569</v>
      </c>
      <c r="AF2" s="10">
        <v>11.24675</v>
      </c>
      <c r="AG2" s="11">
        <v>25020</v>
      </c>
      <c r="AH2" s="6">
        <v>3780</v>
      </c>
      <c r="AI2" s="6">
        <v>0</v>
      </c>
      <c r="AJ2" s="2">
        <v>56.298000000000002</v>
      </c>
      <c r="AK2" s="7">
        <f t="shared" ref="AK2:AK12" si="3">AJ2/AR2</f>
        <v>0.43231330389710121</v>
      </c>
      <c r="AL2" s="2">
        <v>63.009</v>
      </c>
      <c r="AM2" s="7">
        <f t="shared" ref="AM2:AM12" si="4">AL2/AR2</f>
        <v>0.48384718755999234</v>
      </c>
      <c r="AN2" s="37">
        <v>2.42</v>
      </c>
      <c r="AO2" s="7">
        <f t="shared" ref="AO2:AO12" si="5">AN2/AR2</f>
        <v>1.8583221347667499E-2</v>
      </c>
      <c r="AP2" s="37">
        <v>8.4979999999999993</v>
      </c>
      <c r="AQ2" s="7">
        <f>AP2/AR2</f>
        <v>6.5256287195239002E-2</v>
      </c>
      <c r="AR2" s="37">
        <v>130.22499999999999</v>
      </c>
      <c r="AS2" s="37">
        <v>699.63300000000004</v>
      </c>
      <c r="AT2" s="2">
        <v>184.053</v>
      </c>
      <c r="AU2" s="37">
        <v>9.4009999999999998</v>
      </c>
      <c r="AV2" s="2">
        <v>95.596000000000004</v>
      </c>
      <c r="AW2" s="2">
        <v>381.45299999999997</v>
      </c>
      <c r="AX2" s="37">
        <f>SUM(AU2:AW2)</f>
        <v>486.45</v>
      </c>
      <c r="AY2" s="37">
        <v>399.346</v>
      </c>
      <c r="AZ2" s="2">
        <v>25.716000000000001</v>
      </c>
      <c r="BA2" s="2">
        <v>102.399</v>
      </c>
      <c r="BB2" s="2">
        <v>0</v>
      </c>
      <c r="BC2" s="2">
        <v>28.963999999999999</v>
      </c>
      <c r="BD2" s="2">
        <v>16.940000000000001</v>
      </c>
      <c r="BE2" s="104">
        <v>-33.454000000000001</v>
      </c>
      <c r="BF2" s="105">
        <v>51.192999999999998</v>
      </c>
      <c r="BG2">
        <v>-121.92700000000001</v>
      </c>
      <c r="BH2">
        <v>0</v>
      </c>
      <c r="BI2">
        <f>BJ2-BH2-BG2</f>
        <v>26.048000000000002</v>
      </c>
      <c r="BJ2">
        <v>-95.879000000000005</v>
      </c>
      <c r="BK2" s="2">
        <v>0</v>
      </c>
      <c r="BL2">
        <v>59.61</v>
      </c>
      <c r="BM2">
        <v>0</v>
      </c>
      <c r="BN2">
        <v>4.1120000000000001</v>
      </c>
      <c r="BO2">
        <v>63.722000000000001</v>
      </c>
    </row>
    <row r="3" spans="1:67">
      <c r="A3" s="5">
        <v>2012</v>
      </c>
      <c r="B3" s="6">
        <v>0</v>
      </c>
      <c r="C3" s="6">
        <v>2000</v>
      </c>
      <c r="D3" s="6">
        <f>C3-C2</f>
        <v>1000</v>
      </c>
      <c r="E3" s="6">
        <v>1060952</v>
      </c>
      <c r="F3" s="7">
        <f t="shared" si="0"/>
        <v>1.4533589041095891</v>
      </c>
      <c r="G3" s="6">
        <f>E3-E2</f>
        <v>650164</v>
      </c>
      <c r="H3" s="8">
        <f t="shared" ref="H3:H12" si="6">I3/E3</f>
        <v>0.45495083660712266</v>
      </c>
      <c r="I3" s="6">
        <v>482681</v>
      </c>
      <c r="J3" s="6">
        <v>408430</v>
      </c>
      <c r="K3" s="7">
        <f t="shared" ref="K3:K12" si="7">J3/I3</f>
        <v>0.8461696234158792</v>
      </c>
      <c r="L3" s="6">
        <v>265407</v>
      </c>
      <c r="M3" s="9">
        <f>L3/J3</f>
        <v>0.64982249100213008</v>
      </c>
      <c r="N3" s="9">
        <f t="shared" ref="N3:N12" si="8">M3*0.85</f>
        <v>0.55234911735181058</v>
      </c>
      <c r="O3" s="6">
        <v>121727</v>
      </c>
      <c r="P3" s="9">
        <f t="shared" ref="P3:P12" si="9">O3/E3</f>
        <v>0.11473374855789895</v>
      </c>
      <c r="Q3" s="7">
        <v>0.53400000000000003</v>
      </c>
      <c r="R3">
        <v>0</v>
      </c>
      <c r="S3" s="6">
        <v>0</v>
      </c>
      <c r="T3" s="6">
        <v>0</v>
      </c>
      <c r="U3" s="6">
        <f t="shared" si="1"/>
        <v>387134</v>
      </c>
      <c r="V3" s="6">
        <v>0</v>
      </c>
      <c r="W3" s="6">
        <f>SUM($V$1:V3)</f>
        <v>0</v>
      </c>
      <c r="X3" s="6">
        <v>0</v>
      </c>
      <c r="Y3" s="6"/>
      <c r="Z3" s="6">
        <f t="shared" si="2"/>
        <v>387134</v>
      </c>
      <c r="AA3" s="6">
        <v>180367</v>
      </c>
      <c r="AB3" s="6">
        <v>0</v>
      </c>
      <c r="AC3" s="6">
        <f t="shared" ref="AC3:AC12" si="10">AA3-AB3</f>
        <v>180367</v>
      </c>
      <c r="AD3" s="6">
        <v>35147</v>
      </c>
      <c r="AE3" s="11">
        <v>12890</v>
      </c>
      <c r="AF3" s="10">
        <v>26.395499999999998</v>
      </c>
      <c r="AG3" s="11">
        <v>32575</v>
      </c>
      <c r="AH3" s="6">
        <v>0</v>
      </c>
      <c r="AI3" s="6">
        <v>0</v>
      </c>
      <c r="AJ3" s="2">
        <v>44.68</v>
      </c>
      <c r="AK3" s="7">
        <f t="shared" si="3"/>
        <v>0.32078804152726126</v>
      </c>
      <c r="AL3" s="2">
        <v>78.77</v>
      </c>
      <c r="AM3" s="7">
        <f t="shared" si="4"/>
        <v>0.56554328628250605</v>
      </c>
      <c r="AN3" s="37">
        <v>2.532</v>
      </c>
      <c r="AO3" s="7">
        <f t="shared" si="5"/>
        <v>1.817894631036315E-2</v>
      </c>
      <c r="AP3" s="37">
        <v>13.3</v>
      </c>
      <c r="AQ3" s="7">
        <f t="shared" ref="AQ3:AQ12" si="11">AP3/AR3</f>
        <v>9.5489725879869633E-2</v>
      </c>
      <c r="AR3" s="37">
        <v>139.28199999999998</v>
      </c>
      <c r="AS3" s="37">
        <v>659.7</v>
      </c>
      <c r="AT3" s="2">
        <v>189.71799999999999</v>
      </c>
      <c r="AU3" s="37">
        <v>7.3140000000000001</v>
      </c>
      <c r="AV3" s="2">
        <v>147.99299999999999</v>
      </c>
      <c r="AW3" s="2">
        <v>237.47399999999999</v>
      </c>
      <c r="AX3" s="37">
        <f t="shared" ref="AX3:AX12" si="12">SUM(AU3:AW3)</f>
        <v>392.78099999999995</v>
      </c>
      <c r="AY3" s="37">
        <v>323.73399999999998</v>
      </c>
      <c r="AZ3" s="2">
        <v>43.332000000000001</v>
      </c>
      <c r="BA3" s="2">
        <v>228.85300000000001</v>
      </c>
      <c r="BB3" s="2">
        <v>0</v>
      </c>
      <c r="BC3" s="2">
        <v>44.204000000000001</v>
      </c>
      <c r="BD3" s="2">
        <v>21.027000000000001</v>
      </c>
      <c r="BE3" s="104">
        <v>-19.295000000000002</v>
      </c>
      <c r="BF3" s="105">
        <v>172.476</v>
      </c>
      <c r="BG3">
        <v>-34.125</v>
      </c>
      <c r="BH3">
        <v>0</v>
      </c>
      <c r="BI3">
        <f t="shared" ref="BI3:BI12" si="13">BJ3-BH3-BG3</f>
        <v>-15.834000000000003</v>
      </c>
      <c r="BJ3">
        <v>-49.959000000000003</v>
      </c>
      <c r="BK3" s="2">
        <v>0</v>
      </c>
      <c r="BL3">
        <v>-23.123999999999999</v>
      </c>
      <c r="BM3">
        <v>0</v>
      </c>
      <c r="BN3">
        <v>-111.011</v>
      </c>
      <c r="BO3">
        <v>-134.13499999999999</v>
      </c>
    </row>
    <row r="4" spans="1:67">
      <c r="A4" s="5">
        <v>2013</v>
      </c>
      <c r="B4" s="6">
        <v>3300</v>
      </c>
      <c r="C4" s="6">
        <v>2000</v>
      </c>
      <c r="D4" s="6">
        <f t="shared" ref="D4:D12" si="14">C4-C3</f>
        <v>0</v>
      </c>
      <c r="E4" s="6">
        <v>981121</v>
      </c>
      <c r="F4" s="7">
        <f t="shared" si="0"/>
        <v>1.3440013698630138</v>
      </c>
      <c r="G4" s="6">
        <f t="shared" ref="G4:G12" si="15">E4-E3</f>
        <v>-79831</v>
      </c>
      <c r="H4" s="8">
        <f t="shared" si="6"/>
        <v>0.48714072983862339</v>
      </c>
      <c r="I4" s="6">
        <v>477944</v>
      </c>
      <c r="J4" s="6">
        <v>408767</v>
      </c>
      <c r="K4" s="7">
        <f t="shared" si="7"/>
        <v>0.85526128584101901</v>
      </c>
      <c r="L4" s="6">
        <v>261737</v>
      </c>
      <c r="M4" s="9">
        <f t="shared" ref="M4:M12" si="16">L4/J4</f>
        <v>0.6403085376265697</v>
      </c>
      <c r="N4" s="9">
        <f t="shared" si="8"/>
        <v>0.54426225698258424</v>
      </c>
      <c r="O4" s="6">
        <v>128436</v>
      </c>
      <c r="P4" s="9">
        <f t="shared" si="9"/>
        <v>0.13090740082008234</v>
      </c>
      <c r="Q4" s="7">
        <v>0.51900000000000002</v>
      </c>
      <c r="R4">
        <v>0</v>
      </c>
      <c r="S4" s="6">
        <v>0</v>
      </c>
      <c r="T4" s="6">
        <v>0</v>
      </c>
      <c r="U4" s="6">
        <f t="shared" si="1"/>
        <v>390173</v>
      </c>
      <c r="V4" s="6">
        <v>0</v>
      </c>
      <c r="W4" s="6">
        <f>SUM($V$1:V4)</f>
        <v>0</v>
      </c>
      <c r="X4" s="6">
        <v>0</v>
      </c>
      <c r="Y4" s="6"/>
      <c r="Z4" s="6">
        <f t="shared" si="2"/>
        <v>390173</v>
      </c>
      <c r="AA4" s="6">
        <v>187537</v>
      </c>
      <c r="AB4" s="6">
        <v>0</v>
      </c>
      <c r="AC4" s="6">
        <f t="shared" si="10"/>
        <v>187537</v>
      </c>
      <c r="AD4" s="6">
        <v>38584</v>
      </c>
      <c r="AE4" s="11">
        <v>13314</v>
      </c>
      <c r="AF4" s="10">
        <v>18.174250000000001</v>
      </c>
      <c r="AG4" s="11">
        <v>25861</v>
      </c>
      <c r="AH4" s="6">
        <v>0</v>
      </c>
      <c r="AI4" s="6">
        <v>0</v>
      </c>
      <c r="AJ4" s="2">
        <v>49.802999999999997</v>
      </c>
      <c r="AK4" s="7">
        <f t="shared" si="3"/>
        <v>0.23046701466015102</v>
      </c>
      <c r="AL4" s="2">
        <v>68.272999999999996</v>
      </c>
      <c r="AM4" s="7">
        <f t="shared" si="4"/>
        <v>0.31593828668739815</v>
      </c>
      <c r="AN4" s="37">
        <v>1.579</v>
      </c>
      <c r="AO4" s="7">
        <f t="shared" si="5"/>
        <v>7.306937657337479E-3</v>
      </c>
      <c r="AP4" s="37">
        <v>96.441000000000003</v>
      </c>
      <c r="AQ4" s="7">
        <f t="shared" si="11"/>
        <v>0.4462877609951133</v>
      </c>
      <c r="AR4" s="37">
        <v>216.096</v>
      </c>
      <c r="AS4" s="37">
        <v>643.12400000000002</v>
      </c>
      <c r="AT4" s="2">
        <v>208.19800000000001</v>
      </c>
      <c r="AU4" s="37">
        <v>18.097000000000001</v>
      </c>
      <c r="AV4" s="2">
        <v>87.76</v>
      </c>
      <c r="AW4" s="2">
        <v>48.476999999999997</v>
      </c>
      <c r="AX4" s="37">
        <f t="shared" si="12"/>
        <v>154.334</v>
      </c>
      <c r="AY4" s="37">
        <v>293.80700000000002</v>
      </c>
      <c r="AZ4" s="2">
        <v>30.657</v>
      </c>
      <c r="BA4" s="2">
        <v>761.8</v>
      </c>
      <c r="BB4" s="2">
        <v>85.852999999999994</v>
      </c>
      <c r="BC4" s="2">
        <v>45.926000000000002</v>
      </c>
      <c r="BD4" s="2">
        <v>-11.007999999999999</v>
      </c>
      <c r="BE4" s="104">
        <v>28.978000000000002</v>
      </c>
      <c r="BF4" s="105">
        <v>194.86500000000001</v>
      </c>
      <c r="BG4">
        <v>-33.487000000000002</v>
      </c>
      <c r="BH4">
        <v>0</v>
      </c>
      <c r="BI4">
        <f>BJ4-BH4-BG4</f>
        <v>-176.518</v>
      </c>
      <c r="BJ4">
        <v>-210.005</v>
      </c>
      <c r="BK4" s="2">
        <v>0</v>
      </c>
      <c r="BL4">
        <v>-103.34</v>
      </c>
      <c r="BM4">
        <v>0</v>
      </c>
      <c r="BN4">
        <v>123.60299999999999</v>
      </c>
      <c r="BO4">
        <v>20.263000000000002</v>
      </c>
    </row>
    <row r="5" spans="1:67">
      <c r="A5" s="5">
        <v>2014</v>
      </c>
      <c r="B5" s="6">
        <v>4800</v>
      </c>
      <c r="C5" s="6">
        <v>3600</v>
      </c>
      <c r="D5" s="6">
        <f t="shared" si="14"/>
        <v>1600</v>
      </c>
      <c r="E5" s="6">
        <v>1320189</v>
      </c>
      <c r="F5" s="7">
        <f t="shared" si="0"/>
        <v>1.0047100456621005</v>
      </c>
      <c r="G5" s="6">
        <f t="shared" si="15"/>
        <v>339068</v>
      </c>
      <c r="H5" s="8">
        <f t="shared" si="6"/>
        <v>0.45347446464104763</v>
      </c>
      <c r="I5" s="6">
        <v>598672</v>
      </c>
      <c r="J5" s="6">
        <v>525201</v>
      </c>
      <c r="K5" s="7">
        <f t="shared" si="7"/>
        <v>0.87727670577544969</v>
      </c>
      <c r="L5" s="6">
        <v>349149</v>
      </c>
      <c r="M5" s="9">
        <f t="shared" si="16"/>
        <v>0.66479119422849542</v>
      </c>
      <c r="N5" s="9">
        <f t="shared" si="8"/>
        <v>0.56507251509422107</v>
      </c>
      <c r="O5" s="6">
        <v>192979</v>
      </c>
      <c r="P5" s="9">
        <f t="shared" si="9"/>
        <v>0.14617528247849362</v>
      </c>
      <c r="Q5" s="7">
        <v>0.54800000000000004</v>
      </c>
      <c r="R5">
        <v>0</v>
      </c>
      <c r="S5" s="6">
        <v>0</v>
      </c>
      <c r="T5" s="6">
        <v>0</v>
      </c>
      <c r="U5" s="6">
        <f t="shared" si="1"/>
        <v>542128</v>
      </c>
      <c r="V5" s="6">
        <f>247763+4258</f>
        <v>252021</v>
      </c>
      <c r="W5" s="6">
        <f>SUM($V$1:V5)</f>
        <v>252021</v>
      </c>
      <c r="X5" s="6">
        <f>41294+4258</f>
        <v>45552</v>
      </c>
      <c r="Y5" s="7">
        <f>X5/V5</f>
        <v>0.18074684252502768</v>
      </c>
      <c r="Z5" s="6">
        <f t="shared" si="2"/>
        <v>794149</v>
      </c>
      <c r="AA5" s="6">
        <v>451646</v>
      </c>
      <c r="AB5" s="6">
        <v>206469</v>
      </c>
      <c r="AC5" s="6">
        <f t="shared" si="10"/>
        <v>245177</v>
      </c>
      <c r="AD5" s="6">
        <v>63542</v>
      </c>
      <c r="AE5" s="11">
        <v>51848</v>
      </c>
      <c r="AF5" s="10">
        <v>38.060499999999998</v>
      </c>
      <c r="AG5" s="11">
        <v>61809</v>
      </c>
      <c r="AH5" s="6">
        <v>17321</v>
      </c>
      <c r="AI5" s="6">
        <v>0</v>
      </c>
      <c r="AJ5" s="2">
        <v>1328.172</v>
      </c>
      <c r="AK5" s="7">
        <f t="shared" si="3"/>
        <v>0.92260435262817875</v>
      </c>
      <c r="AL5" s="2">
        <v>70.966999999999999</v>
      </c>
      <c r="AM5" s="7">
        <f t="shared" si="4"/>
        <v>4.9296674747671208E-2</v>
      </c>
      <c r="AN5" s="37">
        <v>0.50700000000000001</v>
      </c>
      <c r="AO5" s="7">
        <f t="shared" si="5"/>
        <v>3.5218360783278568E-4</v>
      </c>
      <c r="AP5" s="37">
        <v>39.944000000000003</v>
      </c>
      <c r="AQ5" s="7">
        <f t="shared" si="11"/>
        <v>2.7746789016317146E-2</v>
      </c>
      <c r="AR5" s="37">
        <v>1439.5900000000001</v>
      </c>
      <c r="AS5" s="37">
        <v>697.35900000000004</v>
      </c>
      <c r="AT5" s="2">
        <v>1503.703</v>
      </c>
      <c r="AU5" s="37">
        <v>25.696000000000002</v>
      </c>
      <c r="AV5" s="2">
        <v>252.57599999999999</v>
      </c>
      <c r="AW5" s="2">
        <v>189.24100000000001</v>
      </c>
      <c r="AX5" s="37">
        <f t="shared" si="12"/>
        <v>467.51300000000003</v>
      </c>
      <c r="AY5" s="37">
        <v>776.11</v>
      </c>
      <c r="AZ5" s="2">
        <v>105.82899999999999</v>
      </c>
      <c r="BA5" s="2">
        <v>2417.9639999999999</v>
      </c>
      <c r="BB5" s="2">
        <v>102.97199999999999</v>
      </c>
      <c r="BC5" s="2">
        <v>105.014</v>
      </c>
      <c r="BD5" s="2">
        <v>-193.15899999999999</v>
      </c>
      <c r="BE5" s="104">
        <v>35.520000000000003</v>
      </c>
      <c r="BF5" s="105">
        <v>138.41300000000001</v>
      </c>
      <c r="BG5">
        <v>-211.107</v>
      </c>
      <c r="BH5">
        <v>6.875</v>
      </c>
      <c r="BI5">
        <f t="shared" si="13"/>
        <v>-68.729000000000013</v>
      </c>
      <c r="BJ5">
        <v>-272.96100000000001</v>
      </c>
      <c r="BK5" s="2">
        <v>0</v>
      </c>
      <c r="BL5">
        <v>-105.38199999999999</v>
      </c>
      <c r="BM5">
        <v>1432.481</v>
      </c>
      <c r="BN5">
        <v>85.817999999999998</v>
      </c>
      <c r="BO5">
        <v>1412.9169999999999</v>
      </c>
    </row>
    <row r="6" spans="1:67">
      <c r="A6" s="5">
        <v>2015</v>
      </c>
      <c r="B6" s="6">
        <v>7000</v>
      </c>
      <c r="C6" s="6">
        <v>5400</v>
      </c>
      <c r="D6" s="6">
        <f t="shared" si="14"/>
        <v>1800</v>
      </c>
      <c r="E6" s="6">
        <v>1504558</v>
      </c>
      <c r="F6" s="7">
        <f t="shared" si="0"/>
        <v>0.7633475393201421</v>
      </c>
      <c r="G6" s="6">
        <f t="shared" si="15"/>
        <v>184369</v>
      </c>
      <c r="H6" s="8">
        <f t="shared" si="6"/>
        <v>0.43680403148300034</v>
      </c>
      <c r="I6" s="6">
        <v>657197</v>
      </c>
      <c r="J6" s="6">
        <v>576480</v>
      </c>
      <c r="K6" s="7">
        <f t="shared" si="7"/>
        <v>0.87717990191677686</v>
      </c>
      <c r="L6" s="6">
        <v>376211</v>
      </c>
      <c r="M6" s="9">
        <f t="shared" si="16"/>
        <v>0.65260026366916457</v>
      </c>
      <c r="N6" s="9">
        <f t="shared" si="8"/>
        <v>0.5547102241187899</v>
      </c>
      <c r="O6" s="6">
        <v>204917</v>
      </c>
      <c r="P6" s="9">
        <f t="shared" si="9"/>
        <v>0.13619747460716036</v>
      </c>
      <c r="Q6" s="7">
        <v>0.55400000000000005</v>
      </c>
      <c r="R6">
        <v>0</v>
      </c>
      <c r="S6" s="6">
        <v>0</v>
      </c>
      <c r="T6" s="6">
        <v>0</v>
      </c>
      <c r="U6" s="6">
        <f t="shared" si="1"/>
        <v>581128</v>
      </c>
      <c r="V6" s="6">
        <f>583328+20080</f>
        <v>603408</v>
      </c>
      <c r="W6" s="6">
        <f>SUM($V$1:V6)</f>
        <v>855429</v>
      </c>
      <c r="X6" s="6">
        <f>97222+20080</f>
        <v>117302</v>
      </c>
      <c r="Y6" s="7">
        <f t="shared" ref="Y6:Y12" si="17">X6/V6</f>
        <v>0.19439914618301382</v>
      </c>
      <c r="Z6" s="6">
        <f>SUM(V6,S6,O6,L6)</f>
        <v>1184536</v>
      </c>
      <c r="AA6" s="6">
        <v>745212</v>
      </c>
      <c r="AB6" s="6">
        <v>486106</v>
      </c>
      <c r="AC6" s="6">
        <f t="shared" si="10"/>
        <v>259106</v>
      </c>
      <c r="AD6" s="6">
        <v>111646</v>
      </c>
      <c r="AE6" s="11">
        <v>53483</v>
      </c>
      <c r="AF6" s="10">
        <v>40.96125</v>
      </c>
      <c r="AG6" s="11">
        <v>51374</v>
      </c>
      <c r="AH6" s="6">
        <v>16894</v>
      </c>
      <c r="AI6" s="6">
        <v>0</v>
      </c>
      <c r="AJ6" s="2">
        <v>449.13600000000002</v>
      </c>
      <c r="AK6" s="7">
        <f t="shared" si="3"/>
        <v>0.55922156024130143</v>
      </c>
      <c r="AL6" s="2">
        <v>86.578000000000003</v>
      </c>
      <c r="AM6" s="7">
        <f t="shared" si="4"/>
        <v>0.10779871629655915</v>
      </c>
      <c r="AN6" s="37">
        <v>0.47199999999999998</v>
      </c>
      <c r="AO6" s="7">
        <f t="shared" si="5"/>
        <v>5.8768964508276831E-4</v>
      </c>
      <c r="AP6" s="37">
        <v>266.959</v>
      </c>
      <c r="AQ6" s="7">
        <f t="shared" si="11"/>
        <v>0.33239203381705673</v>
      </c>
      <c r="AR6" s="37">
        <v>803.14499999999998</v>
      </c>
      <c r="AS6" s="37">
        <v>1118.6310000000001</v>
      </c>
      <c r="AT6" s="2">
        <v>2546.1410000000001</v>
      </c>
      <c r="AU6" s="37">
        <v>49.642000000000003</v>
      </c>
      <c r="AV6" s="2">
        <v>321.04300000000001</v>
      </c>
      <c r="AW6" s="2">
        <v>414.54199999999997</v>
      </c>
      <c r="AX6" s="37">
        <f t="shared" si="12"/>
        <v>785.22699999999998</v>
      </c>
      <c r="AY6" s="37">
        <v>1098.8520000000001</v>
      </c>
      <c r="AZ6" s="2">
        <v>249.43700000000001</v>
      </c>
      <c r="BA6" s="2">
        <v>2334.4009999999998</v>
      </c>
      <c r="BB6" s="2">
        <v>0</v>
      </c>
      <c r="BC6" s="2">
        <v>118.786</v>
      </c>
      <c r="BD6" s="2">
        <v>-565.47500000000002</v>
      </c>
      <c r="BE6" s="104">
        <v>74.984999999999999</v>
      </c>
      <c r="BF6" s="105">
        <v>-99.703000000000003</v>
      </c>
      <c r="BG6">
        <v>-367.279</v>
      </c>
      <c r="BH6">
        <v>1.8720000000000001</v>
      </c>
      <c r="BI6">
        <f t="shared" si="13"/>
        <v>-297.399</v>
      </c>
      <c r="BJ6">
        <v>-662.80600000000004</v>
      </c>
      <c r="BK6" s="2">
        <v>0</v>
      </c>
      <c r="BL6">
        <v>252.06299999999999</v>
      </c>
      <c r="BM6">
        <v>0</v>
      </c>
      <c r="BN6">
        <v>-368.59</v>
      </c>
      <c r="BO6">
        <v>-116.527</v>
      </c>
    </row>
    <row r="7" spans="1:67">
      <c r="A7" s="5">
        <v>2016</v>
      </c>
      <c r="B7" s="6">
        <v>11490</v>
      </c>
      <c r="C7" s="6">
        <v>7600</v>
      </c>
      <c r="D7" s="6">
        <f t="shared" si="14"/>
        <v>2200</v>
      </c>
      <c r="E7" s="6">
        <v>2369146</v>
      </c>
      <c r="F7" s="7">
        <f t="shared" si="0"/>
        <v>0.85405407354001439</v>
      </c>
      <c r="G7" s="6">
        <f t="shared" si="15"/>
        <v>864588</v>
      </c>
      <c r="H7" s="8">
        <f t="shared" si="6"/>
        <v>0.40644012652660494</v>
      </c>
      <c r="I7" s="6">
        <v>962916</v>
      </c>
      <c r="J7" s="6">
        <v>842823</v>
      </c>
      <c r="K7" s="7">
        <f t="shared" si="7"/>
        <v>0.87528195605847237</v>
      </c>
      <c r="L7" s="6">
        <v>519386</v>
      </c>
      <c r="M7" s="9">
        <f t="shared" si="16"/>
        <v>0.61624564113698843</v>
      </c>
      <c r="N7" s="9">
        <f t="shared" si="8"/>
        <v>0.52380879496644017</v>
      </c>
      <c r="O7" s="6">
        <v>256204</v>
      </c>
      <c r="P7" s="9">
        <f t="shared" si="9"/>
        <v>0.1081419211817254</v>
      </c>
      <c r="Q7" s="7">
        <v>0.53400000000000003</v>
      </c>
      <c r="R7">
        <v>0</v>
      </c>
      <c r="S7" s="6">
        <v>0</v>
      </c>
      <c r="T7" s="6">
        <v>0</v>
      </c>
      <c r="U7" s="6">
        <f t="shared" si="1"/>
        <v>775590</v>
      </c>
      <c r="V7" s="6">
        <f>843760+34202</f>
        <v>877962</v>
      </c>
      <c r="W7" s="6">
        <f>SUM($V$1:V7)</f>
        <v>1733391</v>
      </c>
      <c r="X7" s="6">
        <f>140629+34202</f>
        <v>174831</v>
      </c>
      <c r="Y7" s="7">
        <f t="shared" si="17"/>
        <v>0.19913276428820381</v>
      </c>
      <c r="Z7" s="6">
        <f t="shared" si="2"/>
        <v>1653552</v>
      </c>
      <c r="AA7" s="6">
        <v>1064263</v>
      </c>
      <c r="AB7" s="6">
        <v>703131</v>
      </c>
      <c r="AC7" s="6">
        <f t="shared" si="10"/>
        <v>361132</v>
      </c>
      <c r="AD7" s="6">
        <v>122904</v>
      </c>
      <c r="AE7" s="11">
        <v>80967</v>
      </c>
      <c r="AF7" s="10">
        <v>62.774525805133997</v>
      </c>
      <c r="AG7" s="11">
        <v>84905</v>
      </c>
      <c r="AH7" s="6">
        <v>0</v>
      </c>
      <c r="AI7" s="6">
        <v>0</v>
      </c>
      <c r="AJ7" s="2">
        <v>618.95299999999997</v>
      </c>
      <c r="AK7" s="7">
        <f t="shared" si="3"/>
        <v>0.63661067015817729</v>
      </c>
      <c r="AL7" s="2">
        <v>114.334</v>
      </c>
      <c r="AM7" s="7">
        <f t="shared" si="4"/>
        <v>0.11759575341239974</v>
      </c>
      <c r="AN7" s="37">
        <v>0.76100000000000001</v>
      </c>
      <c r="AO7" s="7">
        <f t="shared" si="5"/>
        <v>7.8271002804796645E-4</v>
      </c>
      <c r="AP7" s="37">
        <v>238.215</v>
      </c>
      <c r="AQ7" s="7">
        <f t="shared" si="11"/>
        <v>0.24501086640137493</v>
      </c>
      <c r="AR7" s="37">
        <v>972.26300000000003</v>
      </c>
      <c r="AS7" s="37">
        <v>1342.152</v>
      </c>
      <c r="AT7" s="2">
        <v>3746.489</v>
      </c>
      <c r="AU7" s="37">
        <v>64.475999999999999</v>
      </c>
      <c r="AV7" s="2">
        <v>276.83699999999999</v>
      </c>
      <c r="AW7" s="2">
        <v>517.33900000000006</v>
      </c>
      <c r="AX7" s="37">
        <f t="shared" si="12"/>
        <v>858.65200000000004</v>
      </c>
      <c r="AY7" s="37">
        <v>2042.4839999999999</v>
      </c>
      <c r="AZ7" s="2">
        <v>436.72500000000002</v>
      </c>
      <c r="BA7" s="2">
        <v>2723.0430000000001</v>
      </c>
      <c r="BB7" s="2">
        <v>0</v>
      </c>
      <c r="BC7" s="2">
        <v>151.09100000000001</v>
      </c>
      <c r="BD7" s="2">
        <v>-837.149</v>
      </c>
      <c r="BE7" s="104">
        <v>146.81899999999999</v>
      </c>
      <c r="BF7" s="105">
        <v>-139.221</v>
      </c>
      <c r="BG7">
        <v>-381.26100000000002</v>
      </c>
      <c r="BH7">
        <v>0.36899999999999999</v>
      </c>
      <c r="BI7">
        <f t="shared" si="13"/>
        <v>-258.85600000000005</v>
      </c>
      <c r="BJ7">
        <v>-639.74800000000005</v>
      </c>
      <c r="BK7" s="2">
        <v>-22.376999999999999</v>
      </c>
      <c r="BL7">
        <v>968.64700000000016</v>
      </c>
      <c r="BM7">
        <v>111.39700000000001</v>
      </c>
      <c r="BN7">
        <v>-108.881</v>
      </c>
      <c r="BO7">
        <v>948.78599999999994</v>
      </c>
    </row>
    <row r="8" spans="1:67">
      <c r="A8" s="5">
        <v>2017</v>
      </c>
      <c r="B8" s="6">
        <v>13200</v>
      </c>
      <c r="C8" s="6">
        <v>12840</v>
      </c>
      <c r="D8" s="6">
        <f t="shared" si="14"/>
        <v>5240</v>
      </c>
      <c r="E8" s="6">
        <v>3527221</v>
      </c>
      <c r="F8" s="7">
        <f t="shared" si="0"/>
        <v>0.75261831605001495</v>
      </c>
      <c r="G8" s="6">
        <f t="shared" si="15"/>
        <v>1158075</v>
      </c>
      <c r="H8" s="8">
        <f t="shared" si="6"/>
        <v>0.41174851249751576</v>
      </c>
      <c r="I8" s="6">
        <v>1452328</v>
      </c>
      <c r="J8" s="6">
        <v>1272904</v>
      </c>
      <c r="K8" s="7">
        <f t="shared" si="7"/>
        <v>0.87645765970221601</v>
      </c>
      <c r="L8" s="6">
        <v>772609</v>
      </c>
      <c r="M8" s="9">
        <f t="shared" si="16"/>
        <v>0.60696564705586598</v>
      </c>
      <c r="N8" s="9">
        <f t="shared" si="8"/>
        <v>0.51592079999748608</v>
      </c>
      <c r="O8" s="6">
        <v>306562</v>
      </c>
      <c r="P8" s="9">
        <f t="shared" si="9"/>
        <v>8.6913181793825789E-2</v>
      </c>
      <c r="Q8" s="7">
        <v>0.51400000000000001</v>
      </c>
      <c r="R8">
        <v>0</v>
      </c>
      <c r="S8" s="6">
        <v>0</v>
      </c>
      <c r="T8" s="6">
        <v>0</v>
      </c>
      <c r="U8" s="6">
        <f t="shared" si="1"/>
        <v>1079171</v>
      </c>
      <c r="V8" s="6">
        <f>1265853+52507</f>
        <v>1318360</v>
      </c>
      <c r="W8" s="6">
        <f>SUM($V$1:V8)</f>
        <v>3051751</v>
      </c>
      <c r="X8" s="6">
        <f>210975+52506</f>
        <v>263481</v>
      </c>
      <c r="Y8" s="7">
        <f t="shared" si="17"/>
        <v>0.19985512303164538</v>
      </c>
      <c r="Z8" s="6">
        <f t="shared" si="2"/>
        <v>2397531</v>
      </c>
      <c r="AA8" s="6">
        <v>1578867</v>
      </c>
      <c r="AB8" s="6">
        <v>1054877</v>
      </c>
      <c r="AC8" s="6">
        <f t="shared" si="10"/>
        <v>523990</v>
      </c>
      <c r="AD8" s="6">
        <v>164701</v>
      </c>
      <c r="AE8" s="11">
        <v>95190</v>
      </c>
      <c r="AF8" s="10">
        <v>80.923415963181</v>
      </c>
      <c r="AG8" s="11">
        <v>105572</v>
      </c>
      <c r="AH8" s="6">
        <v>0</v>
      </c>
      <c r="AI8" s="6">
        <v>0</v>
      </c>
      <c r="AJ8" s="2">
        <v>1347.8030000000001</v>
      </c>
      <c r="AK8" s="7">
        <f t="shared" si="3"/>
        <v>0.68361775921167545</v>
      </c>
      <c r="AL8" s="2">
        <v>260.19099999999997</v>
      </c>
      <c r="AM8" s="7">
        <f t="shared" si="4"/>
        <v>0.13197120676170407</v>
      </c>
      <c r="AN8" s="37">
        <v>2.3140000000000001</v>
      </c>
      <c r="AO8" s="7">
        <f t="shared" si="5"/>
        <v>1.1736815356664268E-3</v>
      </c>
      <c r="AP8" s="37">
        <v>361.26600000000002</v>
      </c>
      <c r="AQ8" s="7">
        <f t="shared" si="11"/>
        <v>0.18323735249095391</v>
      </c>
      <c r="AR8" s="37">
        <v>1971.5740000000003</v>
      </c>
      <c r="AS8" s="37">
        <v>1665.7270000000001</v>
      </c>
      <c r="AT8" s="2">
        <v>5621.6360000000004</v>
      </c>
      <c r="AU8" s="37">
        <v>113.078</v>
      </c>
      <c r="AV8" s="2">
        <v>362.798</v>
      </c>
      <c r="AW8" s="2">
        <v>559.80600000000004</v>
      </c>
      <c r="AX8" s="37">
        <f t="shared" si="12"/>
        <v>1035.682</v>
      </c>
      <c r="AY8" s="37">
        <v>2797.0610000000001</v>
      </c>
      <c r="AZ8" s="2">
        <v>535.88800000000003</v>
      </c>
      <c r="BA8" s="2">
        <v>4890.3059999999996</v>
      </c>
      <c r="BB8" s="2">
        <v>0</v>
      </c>
      <c r="BC8" s="2">
        <v>188.191</v>
      </c>
      <c r="BD8" s="2">
        <v>-1267.645</v>
      </c>
      <c r="BE8" s="104">
        <v>-276.29399999999998</v>
      </c>
      <c r="BF8" s="105">
        <v>-791.50099999999998</v>
      </c>
      <c r="BG8">
        <v>-291.39699999999999</v>
      </c>
      <c r="BH8">
        <v>1.6990000000000001</v>
      </c>
      <c r="BI8">
        <f t="shared" si="13"/>
        <v>-300.85300000000001</v>
      </c>
      <c r="BJ8">
        <v>-590.55100000000004</v>
      </c>
      <c r="BK8" s="2">
        <v>-71.203999999999994</v>
      </c>
      <c r="BL8">
        <v>1108.9669999999999</v>
      </c>
      <c r="BM8">
        <v>1018.013</v>
      </c>
      <c r="BN8">
        <v>55.125999999999998</v>
      </c>
      <c r="BO8">
        <v>2110.902</v>
      </c>
    </row>
    <row r="9" spans="1:67">
      <c r="A9" s="5">
        <v>2018</v>
      </c>
      <c r="B9" s="6">
        <v>14300</v>
      </c>
      <c r="C9" s="6">
        <v>14740</v>
      </c>
      <c r="D9" s="6">
        <f t="shared" si="14"/>
        <v>1900</v>
      </c>
      <c r="E9" s="6">
        <v>5033698</v>
      </c>
      <c r="F9" s="7">
        <f t="shared" si="0"/>
        <v>0.93561420791435101</v>
      </c>
      <c r="G9" s="6">
        <f t="shared" si="15"/>
        <v>1506477</v>
      </c>
      <c r="H9" s="8">
        <f t="shared" si="6"/>
        <v>0.40795653612910426</v>
      </c>
      <c r="I9" s="6">
        <v>2053530</v>
      </c>
      <c r="J9" s="6">
        <v>1800186</v>
      </c>
      <c r="K9" s="7">
        <f t="shared" si="7"/>
        <v>0.8766299981008312</v>
      </c>
      <c r="L9" s="6">
        <v>1129326</v>
      </c>
      <c r="M9" s="9">
        <f t="shared" si="16"/>
        <v>0.62733850835413674</v>
      </c>
      <c r="N9" s="9">
        <f t="shared" si="8"/>
        <v>0.53323773210101622</v>
      </c>
      <c r="O9" s="6">
        <v>434365</v>
      </c>
      <c r="P9" s="9">
        <f t="shared" si="9"/>
        <v>8.6291430276508443E-2</v>
      </c>
      <c r="Q9" s="7">
        <v>0.47899999999999998</v>
      </c>
      <c r="R9">
        <v>0</v>
      </c>
      <c r="S9" s="6">
        <v>0</v>
      </c>
      <c r="T9" s="6">
        <v>0</v>
      </c>
      <c r="U9" s="6">
        <f t="shared" si="1"/>
        <v>1563691</v>
      </c>
      <c r="V9" s="6">
        <f>1696409+65704</f>
        <v>1762113</v>
      </c>
      <c r="W9" s="6">
        <f>SUM($V$1:V9)</f>
        <v>4813864</v>
      </c>
      <c r="X9" s="6">
        <f>282734+65794</f>
        <v>348528</v>
      </c>
      <c r="Y9" s="7">
        <f t="shared" si="17"/>
        <v>0.19778981257161146</v>
      </c>
      <c r="Z9" s="6">
        <f t="shared" si="2"/>
        <v>3325804</v>
      </c>
      <c r="AA9" s="6">
        <v>2228802</v>
      </c>
      <c r="AB9" s="6">
        <v>1413675</v>
      </c>
      <c r="AC9" s="6">
        <f t="shared" si="10"/>
        <v>815127</v>
      </c>
      <c r="AD9" s="6">
        <v>228299</v>
      </c>
      <c r="AE9" s="11">
        <v>121460</v>
      </c>
      <c r="AF9" s="10">
        <v>98.458974999999995</v>
      </c>
      <c r="AG9" s="11">
        <v>169990</v>
      </c>
      <c r="AH9" s="6">
        <v>-9</v>
      </c>
      <c r="AI9" s="6">
        <v>32004</v>
      </c>
      <c r="AJ9" s="2">
        <v>1317.431</v>
      </c>
      <c r="AK9" s="7">
        <f t="shared" si="3"/>
        <v>0.65199054353867048</v>
      </c>
      <c r="AL9" s="2">
        <v>260.32299999999998</v>
      </c>
      <c r="AM9" s="7">
        <f t="shared" si="4"/>
        <v>0.12883265557408113</v>
      </c>
      <c r="AN9" s="37">
        <v>5.7249999999999996</v>
      </c>
      <c r="AO9" s="7">
        <f t="shared" si="5"/>
        <v>2.8332761729144736E-3</v>
      </c>
      <c r="AP9" s="37">
        <v>437.15</v>
      </c>
      <c r="AQ9" s="7">
        <f t="shared" si="11"/>
        <v>0.21634352471433399</v>
      </c>
      <c r="AR9" s="37">
        <v>2020.6289999999999</v>
      </c>
      <c r="AS9" s="37">
        <v>1527.8910000000001</v>
      </c>
      <c r="AT9" s="2">
        <v>7369.732</v>
      </c>
      <c r="AU9" s="37">
        <v>198.73</v>
      </c>
      <c r="AV9" s="2">
        <v>511.86700000000002</v>
      </c>
      <c r="AW9" s="2">
        <v>627.73900000000003</v>
      </c>
      <c r="AX9" s="37">
        <f t="shared" si="12"/>
        <v>1338.336</v>
      </c>
      <c r="AY9" s="37">
        <v>3616.9360000000001</v>
      </c>
      <c r="AZ9" s="2">
        <v>668.423</v>
      </c>
      <c r="BA9" s="2">
        <v>5294.5569999999998</v>
      </c>
      <c r="BB9" s="2">
        <v>1.1100000000000001</v>
      </c>
      <c r="BC9" s="2">
        <v>283.685</v>
      </c>
      <c r="BD9" s="2">
        <v>-1719.8050000000001</v>
      </c>
      <c r="BE9" s="104">
        <v>362.47800000000001</v>
      </c>
      <c r="BF9" s="105">
        <v>-319.27800000000002</v>
      </c>
      <c r="BG9">
        <v>-66.744</v>
      </c>
      <c r="BH9">
        <v>1.024</v>
      </c>
      <c r="BI9">
        <f t="shared" si="13"/>
        <v>-640.48599999999999</v>
      </c>
      <c r="BJ9">
        <v>-706.20600000000002</v>
      </c>
      <c r="BK9" s="2">
        <v>-95.757999999999996</v>
      </c>
      <c r="BL9">
        <v>1130.9169999999999</v>
      </c>
      <c r="BM9">
        <v>-1.61</v>
      </c>
      <c r="BN9">
        <v>-38.436999999999998</v>
      </c>
      <c r="BO9">
        <v>995.11199999999997</v>
      </c>
    </row>
    <row r="10" spans="1:67">
      <c r="A10" s="5">
        <v>2019</v>
      </c>
      <c r="B10" s="6">
        <v>26500</v>
      </c>
      <c r="C10" s="6">
        <v>15890</v>
      </c>
      <c r="D10" s="6">
        <f t="shared" si="14"/>
        <v>1150</v>
      </c>
      <c r="E10" s="6">
        <v>5912000</v>
      </c>
      <c r="F10" s="7">
        <f t="shared" si="0"/>
        <v>1.0193367069838013</v>
      </c>
      <c r="G10" s="6">
        <f t="shared" si="15"/>
        <v>878302</v>
      </c>
      <c r="H10" s="8">
        <f t="shared" si="6"/>
        <v>0.3984998308525034</v>
      </c>
      <c r="I10" s="6">
        <v>2355931</v>
      </c>
      <c r="J10" s="6">
        <v>2062642</v>
      </c>
      <c r="K10" s="7">
        <f t="shared" si="7"/>
        <v>0.87551036087219869</v>
      </c>
      <c r="L10" s="6">
        <v>1263882</v>
      </c>
      <c r="M10" s="9">
        <f t="shared" si="16"/>
        <v>0.61274908588111754</v>
      </c>
      <c r="N10" s="9">
        <f t="shared" si="8"/>
        <v>0.5208367229989499</v>
      </c>
      <c r="O10" s="6">
        <v>493028</v>
      </c>
      <c r="P10" s="9">
        <f t="shared" si="9"/>
        <v>8.3394451962110955E-2</v>
      </c>
      <c r="Q10" s="7">
        <v>0.47599999999999998</v>
      </c>
      <c r="R10">
        <v>105775</v>
      </c>
      <c r="S10" s="6">
        <v>18488</v>
      </c>
      <c r="T10" s="7">
        <f>S10/R10</f>
        <v>0.17478610257622312</v>
      </c>
      <c r="U10" s="6">
        <f t="shared" si="1"/>
        <v>1756910</v>
      </c>
      <c r="V10" s="6">
        <f>2014086+75445</f>
        <v>2089531</v>
      </c>
      <c r="W10" s="6">
        <f>SUM($V$1:V10)</f>
        <v>6903395</v>
      </c>
      <c r="X10" s="6">
        <f>335678+75445</f>
        <v>411123</v>
      </c>
      <c r="Y10" s="7">
        <f t="shared" si="17"/>
        <v>0.19675372128960997</v>
      </c>
      <c r="Z10" s="6">
        <f t="shared" si="2"/>
        <v>3864929</v>
      </c>
      <c r="AA10" s="6">
        <v>2686690</v>
      </c>
      <c r="AB10" s="6">
        <v>1678408</v>
      </c>
      <c r="AC10" s="6">
        <f t="shared" si="10"/>
        <v>1008282</v>
      </c>
      <c r="AD10" s="6">
        <v>241915</v>
      </c>
      <c r="AE10" s="11">
        <v>147485</v>
      </c>
      <c r="AF10" s="10">
        <v>129.60525000000001</v>
      </c>
      <c r="AG10" s="11">
        <v>204183</v>
      </c>
      <c r="AH10" s="6">
        <v>-571</v>
      </c>
      <c r="AI10" s="6">
        <v>54770</v>
      </c>
      <c r="AJ10" s="2">
        <v>1020.327</v>
      </c>
      <c r="AK10" s="7">
        <f t="shared" si="3"/>
        <v>0.47079036056521029</v>
      </c>
      <c r="AL10" s="2">
        <v>465.916</v>
      </c>
      <c r="AM10" s="7">
        <f t="shared" si="4"/>
        <v>0.21497888582101671</v>
      </c>
      <c r="AN10" s="37">
        <v>6.6189999999999998</v>
      </c>
      <c r="AO10" s="7">
        <f t="shared" si="5"/>
        <v>3.0540810902594238E-3</v>
      </c>
      <c r="AP10" s="37">
        <v>674.40200000000004</v>
      </c>
      <c r="AQ10" s="7">
        <f t="shared" si="11"/>
        <v>0.3111766725235135</v>
      </c>
      <c r="AR10" s="37">
        <v>2167.2640000000001</v>
      </c>
      <c r="AS10" s="37">
        <v>1444.6489999999999</v>
      </c>
      <c r="AT10" s="2">
        <v>9854.8539999999994</v>
      </c>
      <c r="AU10" s="37">
        <v>154.00200000000001</v>
      </c>
      <c r="AV10" s="2">
        <v>822.23099999999999</v>
      </c>
      <c r="AW10" s="2">
        <v>1079.17</v>
      </c>
      <c r="AX10" s="37">
        <f t="shared" si="12"/>
        <v>2055.4030000000002</v>
      </c>
      <c r="AY10" s="37">
        <v>4562.5929999999998</v>
      </c>
      <c r="AZ10" s="2">
        <v>826.06399999999996</v>
      </c>
      <c r="BA10" s="2">
        <v>6022.7070000000003</v>
      </c>
      <c r="BB10" s="2">
        <v>199.44</v>
      </c>
      <c r="BC10" s="2">
        <v>330.94099999999997</v>
      </c>
      <c r="BD10" s="2">
        <v>-2046.7860000000001</v>
      </c>
      <c r="BE10" s="104">
        <v>191.00800000000001</v>
      </c>
      <c r="BF10" s="105">
        <v>-632.21500000000003</v>
      </c>
      <c r="BG10">
        <v>-91.626000000000005</v>
      </c>
      <c r="BH10">
        <v>0.19400000000000001</v>
      </c>
      <c r="BI10">
        <f t="shared" si="13"/>
        <v>-505.02599999999995</v>
      </c>
      <c r="BJ10">
        <v>-596.45799999999997</v>
      </c>
      <c r="BK10" s="2">
        <v>-144.38200000000001</v>
      </c>
      <c r="BL10">
        <v>1206.4090000000001</v>
      </c>
      <c r="BM10">
        <v>-92.816000000000003</v>
      </c>
      <c r="BN10">
        <v>-37.642000000000003</v>
      </c>
      <c r="BO10">
        <v>931.56899999999996</v>
      </c>
    </row>
    <row r="11" spans="1:67">
      <c r="A11" s="5">
        <v>2020</v>
      </c>
      <c r="B11" s="6">
        <v>23800</v>
      </c>
      <c r="C11" s="6">
        <v>23090</v>
      </c>
      <c r="D11" s="6">
        <f t="shared" si="14"/>
        <v>7200</v>
      </c>
      <c r="E11" s="6">
        <v>7174000</v>
      </c>
      <c r="F11" s="7">
        <f t="shared" si="0"/>
        <v>0.85122540149622972</v>
      </c>
      <c r="G11" s="6">
        <f t="shared" si="15"/>
        <v>1262000</v>
      </c>
      <c r="H11" s="8">
        <f t="shared" si="6"/>
        <v>0.38967702815723448</v>
      </c>
      <c r="I11" s="6">
        <v>2795543</v>
      </c>
      <c r="J11" s="6">
        <v>2448410</v>
      </c>
      <c r="K11" s="7">
        <f t="shared" si="7"/>
        <v>0.87582627060288465</v>
      </c>
      <c r="L11" s="6">
        <v>1470289</v>
      </c>
      <c r="M11" s="9">
        <f t="shared" si="16"/>
        <v>0.60050767641040514</v>
      </c>
      <c r="N11" s="9">
        <f t="shared" si="8"/>
        <v>0.51043152494884436</v>
      </c>
      <c r="O11" s="6">
        <v>591960</v>
      </c>
      <c r="P11" s="9">
        <f t="shared" si="9"/>
        <v>8.2514636186228049E-2</v>
      </c>
      <c r="Q11" s="7">
        <v>0.47099999999999997</v>
      </c>
      <c r="R11">
        <v>121698</v>
      </c>
      <c r="S11" s="6">
        <v>23989</v>
      </c>
      <c r="T11" s="7">
        <f t="shared" ref="T11:T12" si="18">S11/R11</f>
        <v>0.19711909809528505</v>
      </c>
      <c r="U11" s="6">
        <f t="shared" si="1"/>
        <v>2062249</v>
      </c>
      <c r="V11" s="6">
        <f>2705275+98684</f>
        <v>2803959</v>
      </c>
      <c r="W11" s="6">
        <f>SUM($V$1:V11)</f>
        <v>9707354</v>
      </c>
      <c r="X11" s="6">
        <f>450880+98684</f>
        <v>549564</v>
      </c>
      <c r="Y11" s="7">
        <f t="shared" si="17"/>
        <v>0.19599573317584174</v>
      </c>
      <c r="Z11" s="6">
        <f t="shared" si="2"/>
        <v>4890197</v>
      </c>
      <c r="AA11" s="6">
        <v>3442782</v>
      </c>
      <c r="AB11" s="6">
        <v>2254396</v>
      </c>
      <c r="AC11" s="6">
        <f t="shared" si="10"/>
        <v>1188386</v>
      </c>
      <c r="AD11" s="6">
        <v>325363</v>
      </c>
      <c r="AE11" s="11">
        <v>259595</v>
      </c>
      <c r="AF11" s="10">
        <v>199.96025</v>
      </c>
      <c r="AG11" s="11">
        <v>340642</v>
      </c>
      <c r="AH11" s="6">
        <v>3393</v>
      </c>
      <c r="AI11" s="6">
        <v>118195</v>
      </c>
      <c r="AJ11" s="2">
        <v>1769.598</v>
      </c>
      <c r="AK11" s="7">
        <f t="shared" si="3"/>
        <v>0.52525070835908239</v>
      </c>
      <c r="AL11" s="2">
        <v>699.03099999999995</v>
      </c>
      <c r="AM11" s="7">
        <f t="shared" si="4"/>
        <v>0.2074858402388326</v>
      </c>
      <c r="AN11" s="37">
        <v>15.353</v>
      </c>
      <c r="AO11" s="7">
        <f t="shared" si="5"/>
        <v>4.5570655738970045E-3</v>
      </c>
      <c r="AP11" s="37">
        <v>885.072</v>
      </c>
      <c r="AQ11" s="7">
        <f t="shared" si="11"/>
        <v>0.26270638582818795</v>
      </c>
      <c r="AR11" s="37">
        <v>3369.0540000000001</v>
      </c>
      <c r="AS11" s="37">
        <v>1478.7049999999999</v>
      </c>
      <c r="AT11" s="2">
        <v>14174.075999999999</v>
      </c>
      <c r="AU11" s="37">
        <v>185.83099999999999</v>
      </c>
      <c r="AV11" s="2">
        <v>823.70699999999999</v>
      </c>
      <c r="AW11" s="2">
        <v>1297.135</v>
      </c>
      <c r="AX11" s="37">
        <f t="shared" si="12"/>
        <v>2306.6729999999998</v>
      </c>
      <c r="AY11" s="37">
        <v>8357.65</v>
      </c>
      <c r="AZ11" s="2">
        <v>938.09100000000001</v>
      </c>
      <c r="BA11" s="2">
        <v>7419.4210000000003</v>
      </c>
      <c r="BB11" s="2">
        <v>284.815</v>
      </c>
      <c r="BC11" s="2">
        <v>453.27499999999998</v>
      </c>
      <c r="BD11" s="2">
        <v>-2882.835</v>
      </c>
      <c r="BE11" s="104">
        <v>-740.29200000000003</v>
      </c>
      <c r="BF11" s="105">
        <v>-2116.0619999999999</v>
      </c>
      <c r="BG11">
        <v>-69.814999999999998</v>
      </c>
      <c r="BH11">
        <v>0.51600000000000001</v>
      </c>
      <c r="BI11">
        <f t="shared" si="13"/>
        <v>-137.614</v>
      </c>
      <c r="BJ11">
        <v>-206.91300000000001</v>
      </c>
      <c r="BK11" s="2">
        <v>-190.285</v>
      </c>
      <c r="BL11">
        <v>3144.2350000000001</v>
      </c>
      <c r="BM11">
        <v>0</v>
      </c>
      <c r="BN11">
        <v>118.29600000000001</v>
      </c>
      <c r="BO11">
        <v>3072.2460000000001</v>
      </c>
    </row>
    <row r="12" spans="1:67">
      <c r="A12" s="5">
        <v>2021</v>
      </c>
      <c r="B12" s="6">
        <v>16750</v>
      </c>
      <c r="C12" s="6">
        <v>35240</v>
      </c>
      <c r="D12" s="6">
        <f t="shared" si="14"/>
        <v>12150</v>
      </c>
      <c r="E12" s="6">
        <v>11073555</v>
      </c>
      <c r="F12" s="7">
        <f t="shared" si="0"/>
        <v>0.86091109107023467</v>
      </c>
      <c r="G12" s="6">
        <f t="shared" si="15"/>
        <v>3899555</v>
      </c>
      <c r="H12" s="8">
        <f t="shared" si="6"/>
        <v>0.39512749067485553</v>
      </c>
      <c r="I12" s="6">
        <v>4375466</v>
      </c>
      <c r="J12" s="6">
        <v>3796725</v>
      </c>
      <c r="K12" s="7">
        <f t="shared" si="7"/>
        <v>0.86773043145575812</v>
      </c>
      <c r="L12" s="6">
        <v>2119197</v>
      </c>
      <c r="M12" s="9">
        <f t="shared" si="16"/>
        <v>0.55816447069513853</v>
      </c>
      <c r="N12" s="9">
        <f t="shared" si="8"/>
        <v>0.47443980009086772</v>
      </c>
      <c r="O12" s="6">
        <v>878067</v>
      </c>
      <c r="P12" s="9">
        <f t="shared" si="9"/>
        <v>7.9294047846423299E-2</v>
      </c>
      <c r="Q12" s="7">
        <v>0.499</v>
      </c>
      <c r="R12">
        <v>167149</v>
      </c>
      <c r="S12" s="6">
        <v>35995</v>
      </c>
      <c r="T12" s="7">
        <f t="shared" si="18"/>
        <v>0.21534678640015795</v>
      </c>
      <c r="U12" s="6">
        <f t="shared" si="1"/>
        <v>2997264</v>
      </c>
      <c r="V12" s="6">
        <f>3515339+114819</f>
        <v>3630158</v>
      </c>
      <c r="W12" s="6">
        <f>SUM($V$1:V12)</f>
        <v>13337512</v>
      </c>
      <c r="X12" s="6">
        <f>462927+114819</f>
        <v>577746</v>
      </c>
      <c r="Y12" s="7">
        <f t="shared" si="17"/>
        <v>0.15915175041967869</v>
      </c>
      <c r="Z12" s="6">
        <f t="shared" si="2"/>
        <v>6663417</v>
      </c>
      <c r="AA12" s="6">
        <v>4684292</v>
      </c>
      <c r="AB12" s="6">
        <v>3052412</v>
      </c>
      <c r="AC12" s="6">
        <f t="shared" si="10"/>
        <v>1631880</v>
      </c>
      <c r="AD12" s="6">
        <v>517952</v>
      </c>
      <c r="AE12" s="11">
        <v>270193</v>
      </c>
      <c r="AF12" s="10">
        <v>227.78424999999999</v>
      </c>
      <c r="AG12" s="11">
        <v>411608</v>
      </c>
      <c r="AH12" s="6">
        <v>-2828</v>
      </c>
      <c r="AI12" s="6">
        <v>96498</v>
      </c>
      <c r="AJ12" s="2">
        <v>1704.008</v>
      </c>
      <c r="AK12" s="7">
        <f t="shared" si="3"/>
        <v>0.42475491955618305</v>
      </c>
      <c r="AL12" s="2">
        <v>1062.02</v>
      </c>
      <c r="AM12" s="7">
        <f t="shared" si="4"/>
        <v>0.26472775929869902</v>
      </c>
      <c r="AN12" s="37">
        <v>22.321000000000002</v>
      </c>
      <c r="AO12" s="7">
        <f t="shared" si="5"/>
        <v>5.5639143474758108E-3</v>
      </c>
      <c r="AP12" s="37">
        <v>1223.395</v>
      </c>
      <c r="AQ12" s="7">
        <f t="shared" si="11"/>
        <v>0.3049534067976421</v>
      </c>
      <c r="AR12" s="37">
        <v>4011.7440000000001</v>
      </c>
      <c r="AS12" s="37">
        <v>1729.3720000000001</v>
      </c>
      <c r="AT12" s="2">
        <v>18698.554</v>
      </c>
      <c r="AU12" s="37">
        <v>261.31299999999999</v>
      </c>
      <c r="AV12" s="2">
        <v>1430.895</v>
      </c>
      <c r="AW12" s="2">
        <v>1487.8630000000001</v>
      </c>
      <c r="AX12" s="37">
        <f t="shared" si="12"/>
        <v>3180.0709999999999</v>
      </c>
      <c r="AY12" s="37">
        <v>11282.224</v>
      </c>
      <c r="AZ12" s="2">
        <v>1091.44</v>
      </c>
      <c r="BA12" s="2">
        <v>8885.9349999999995</v>
      </c>
      <c r="BB12" s="2">
        <v>400.40499999999997</v>
      </c>
      <c r="BC12" s="2">
        <v>645.572</v>
      </c>
      <c r="BD12" s="2">
        <v>-3678.7849999999999</v>
      </c>
      <c r="BE12" s="104">
        <v>-1081.7570000000001</v>
      </c>
      <c r="BF12" s="105">
        <v>-2792.9749999999999</v>
      </c>
      <c r="BG12">
        <v>-366.286</v>
      </c>
      <c r="BH12">
        <v>1.341</v>
      </c>
      <c r="BI12">
        <f t="shared" si="13"/>
        <v>-89.187999999999988</v>
      </c>
      <c r="BJ12">
        <v>-454.13299999999998</v>
      </c>
      <c r="BK12" s="2">
        <v>-241.51499999999999</v>
      </c>
      <c r="BL12">
        <v>3263.9679999999998</v>
      </c>
      <c r="BM12">
        <v>0</v>
      </c>
      <c r="BN12">
        <v>159.065</v>
      </c>
      <c r="BO12">
        <v>3181.518</v>
      </c>
    </row>
    <row r="17" spans="28:31">
      <c r="AB17" s="1" t="s">
        <v>67</v>
      </c>
      <c r="AC17" s="1"/>
      <c r="AD17" s="1"/>
      <c r="AE17" s="1"/>
    </row>
    <row r="18" spans="28:31">
      <c r="AB18">
        <f>SUM(AB8:AB12)/SUM(D8:D12)</f>
        <v>342.03212735166426</v>
      </c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</row>
    <row r="76" spans="1:12">
      <c r="A76" s="1"/>
    </row>
    <row r="77" spans="1:12">
      <c r="A77" s="1"/>
    </row>
    <row r="78" spans="1:12">
      <c r="A78" s="1"/>
    </row>
    <row r="79" spans="1:12">
      <c r="A79" s="1"/>
    </row>
    <row r="80" spans="1:1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X2:AX12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64B4-391E-4800-A42B-7A60648DB177}">
  <dimension ref="A1:CD39"/>
  <sheetViews>
    <sheetView topLeftCell="I25" zoomScale="85" zoomScaleNormal="85" workbookViewId="0">
      <selection activeCell="O43" sqref="O43"/>
    </sheetView>
  </sheetViews>
  <sheetFormatPr defaultRowHeight="15.75"/>
  <cols>
    <col min="1" max="1" width="20.5703125" bestFit="1" customWidth="1"/>
    <col min="2" max="2" width="65.140625" bestFit="1" customWidth="1"/>
    <col min="3" max="3" width="65.140625" customWidth="1"/>
    <col min="4" max="4" width="62.140625" bestFit="1" customWidth="1"/>
    <col min="5" max="5" width="59.5703125" bestFit="1" customWidth="1"/>
    <col min="6" max="6" width="59.5703125" customWidth="1"/>
    <col min="7" max="7" width="28.140625" bestFit="1" customWidth="1"/>
    <col min="8" max="8" width="53.42578125" bestFit="1" customWidth="1"/>
    <col min="9" max="9" width="30.7109375" bestFit="1" customWidth="1"/>
    <col min="10" max="10" width="38.5703125" bestFit="1" customWidth="1"/>
    <col min="11" max="11" width="33.7109375" bestFit="1" customWidth="1"/>
    <col min="12" max="12" width="30.7109375" customWidth="1"/>
    <col min="13" max="13" width="33.42578125" bestFit="1" customWidth="1"/>
    <col min="14" max="14" width="27.7109375" bestFit="1" customWidth="1"/>
    <col min="15" max="15" width="29.140625" bestFit="1" customWidth="1"/>
    <col min="16" max="16" width="39.42578125" bestFit="1" customWidth="1"/>
    <col min="17" max="17" width="41" bestFit="1" customWidth="1"/>
    <col min="18" max="18" width="42.5703125" bestFit="1" customWidth="1"/>
    <col min="19" max="19" width="29.7109375" bestFit="1" customWidth="1"/>
    <col min="20" max="20" width="40.7109375" bestFit="1" customWidth="1"/>
    <col min="21" max="21" width="31.42578125" bestFit="1" customWidth="1"/>
    <col min="22" max="22" width="67.7109375" bestFit="1" customWidth="1"/>
    <col min="23" max="23" width="25.85546875" style="4" bestFit="1" customWidth="1"/>
    <col min="24" max="24" width="19.28515625" bestFit="1" customWidth="1"/>
    <col min="25" max="25" width="38.5703125" bestFit="1" customWidth="1"/>
    <col min="26" max="27" width="30" customWidth="1"/>
    <col min="28" max="28" width="29.85546875" bestFit="1" customWidth="1"/>
    <col min="29" max="29" width="62" bestFit="1" customWidth="1"/>
    <col min="30" max="30" width="32.85546875" bestFit="1" customWidth="1"/>
    <col min="31" max="31" width="33.85546875" bestFit="1" customWidth="1"/>
    <col min="32" max="32" width="37.28515625" bestFit="1" customWidth="1"/>
    <col min="33" max="33" width="36.7109375" bestFit="1" customWidth="1"/>
    <col min="34" max="34" width="35" bestFit="1" customWidth="1"/>
    <col min="35" max="35" width="33.42578125" bestFit="1" customWidth="1"/>
    <col min="36" max="36" width="43.5703125" bestFit="1" customWidth="1"/>
    <col min="37" max="37" width="29.140625" bestFit="1" customWidth="1"/>
    <col min="38" max="38" width="37.140625" bestFit="1" customWidth="1"/>
    <col min="39" max="39" width="37.140625" customWidth="1"/>
    <col min="40" max="40" width="52.85546875" bestFit="1" customWidth="1"/>
    <col min="41" max="41" width="32.5703125" style="2" bestFit="1" customWidth="1"/>
    <col min="42" max="42" width="54.42578125" style="2" bestFit="1" customWidth="1"/>
    <col min="43" max="43" width="24.5703125" style="2" bestFit="1" customWidth="1"/>
    <col min="44" max="44" width="25.85546875" style="2" bestFit="1" customWidth="1"/>
    <col min="45" max="45" width="13" bestFit="1" customWidth="1"/>
    <col min="46" max="46" width="34.5703125" bestFit="1" customWidth="1"/>
    <col min="47" max="47" width="41" bestFit="1" customWidth="1"/>
    <col min="48" max="48" width="24.5703125" bestFit="1" customWidth="1"/>
    <col min="49" max="49" width="31.5703125" bestFit="1" customWidth="1"/>
    <col min="50" max="50" width="31.5703125" customWidth="1"/>
    <col min="51" max="51" width="27.85546875" bestFit="1" customWidth="1"/>
    <col min="52" max="52" width="27.85546875" customWidth="1"/>
    <col min="53" max="53" width="35.28515625" bestFit="1" customWidth="1"/>
    <col min="54" max="54" width="35.28515625" customWidth="1"/>
    <col min="55" max="55" width="27.42578125" bestFit="1" customWidth="1"/>
    <col min="56" max="56" width="33" bestFit="1" customWidth="1"/>
    <col min="57" max="57" width="38.140625" bestFit="1" customWidth="1"/>
    <col min="58" max="58" width="38.140625" customWidth="1"/>
    <col min="59" max="59" width="33" bestFit="1" customWidth="1"/>
    <col min="60" max="60" width="38.85546875" bestFit="1" customWidth="1"/>
    <col min="61" max="63" width="38.85546875" customWidth="1"/>
    <col min="64" max="64" width="30.7109375" bestFit="1" customWidth="1"/>
    <col min="65" max="66" width="30.7109375" customWidth="1"/>
    <col min="67" max="67" width="28.85546875" bestFit="1" customWidth="1"/>
    <col min="68" max="68" width="41.7109375" bestFit="1" customWidth="1"/>
    <col min="69" max="69" width="42.140625" bestFit="1" customWidth="1"/>
    <col min="70" max="70" width="45.140625" bestFit="1" customWidth="1"/>
    <col min="71" max="71" width="33.42578125" bestFit="1" customWidth="1"/>
    <col min="72" max="72" width="38.42578125" bestFit="1" customWidth="1"/>
    <col min="73" max="73" width="39.42578125" bestFit="1" customWidth="1"/>
    <col min="74" max="74" width="44.5703125" bestFit="1" customWidth="1"/>
    <col min="75" max="75" width="27" bestFit="1" customWidth="1"/>
    <col min="76" max="76" width="40.7109375" bestFit="1" customWidth="1"/>
    <col min="77" max="77" width="44.42578125" bestFit="1" customWidth="1"/>
    <col min="78" max="78" width="40.140625" bestFit="1" customWidth="1"/>
    <col min="79" max="79" width="45.42578125" bestFit="1" customWidth="1"/>
    <col min="80" max="80" width="42.7109375" bestFit="1" customWidth="1"/>
    <col min="81" max="81" width="29" bestFit="1" customWidth="1"/>
  </cols>
  <sheetData>
    <row r="1" spans="1:82">
      <c r="A1" s="5" t="s">
        <v>0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21</v>
      </c>
      <c r="T1" s="5" t="s">
        <v>85</v>
      </c>
      <c r="U1" s="5" t="s">
        <v>27</v>
      </c>
      <c r="V1" s="5" t="s">
        <v>86</v>
      </c>
      <c r="W1" s="30" t="s">
        <v>87</v>
      </c>
      <c r="X1" s="5" t="s">
        <v>88</v>
      </c>
      <c r="Y1" s="5" t="s">
        <v>89</v>
      </c>
      <c r="Z1" s="5" t="s">
        <v>90</v>
      </c>
      <c r="AA1" s="5" t="s">
        <v>18</v>
      </c>
      <c r="AB1" s="5" t="s">
        <v>25</v>
      </c>
      <c r="AC1" s="5" t="s">
        <v>91</v>
      </c>
      <c r="AD1" s="5" t="s">
        <v>92</v>
      </c>
      <c r="AE1" s="5" t="s">
        <v>93</v>
      </c>
      <c r="AF1" s="5" t="s">
        <v>94</v>
      </c>
      <c r="AG1" s="5" t="s">
        <v>95</v>
      </c>
      <c r="AH1" s="5" t="s">
        <v>29</v>
      </c>
      <c r="AI1" s="5" t="s">
        <v>96</v>
      </c>
      <c r="AJ1" s="5" t="s">
        <v>97</v>
      </c>
      <c r="AK1" s="5" t="s">
        <v>30</v>
      </c>
      <c r="AL1" s="5" t="s">
        <v>32</v>
      </c>
      <c r="AM1" s="5" t="s">
        <v>98</v>
      </c>
      <c r="AN1" s="5" t="s">
        <v>99</v>
      </c>
      <c r="AO1" s="5" t="s">
        <v>33</v>
      </c>
      <c r="AP1" s="5" t="str">
        <f>'Company Historical'!AI1</f>
        <v>Share of Net Profit of Joint Venture (1000 HKD)</v>
      </c>
      <c r="AQ1" s="5" t="s">
        <v>100</v>
      </c>
      <c r="AR1" s="5" t="s">
        <v>101</v>
      </c>
      <c r="AS1" s="5" t="s">
        <v>102</v>
      </c>
      <c r="AT1" s="5" t="str">
        <f>'Company Historical'!AJ1</f>
        <v>Cash &amp; Near Cash Items (1m HKD)</v>
      </c>
      <c r="AU1" s="5" t="str">
        <f>'Company Historical'!AL1</f>
        <v>Accounts &amp; Notes Receivables (1m HKD)</v>
      </c>
      <c r="AV1" s="5" t="str">
        <f>'Company Historical'!AN1</f>
        <v>Inventories (1m HKD)</v>
      </c>
      <c r="AW1" s="5" t="str">
        <f>'Company Historical'!AP1</f>
        <v>Other Current Assets (1m HKD)</v>
      </c>
      <c r="AX1" s="5" t="str">
        <f>'Company Historical'!AR1</f>
        <v>Total Current Assets (1m HKD)</v>
      </c>
      <c r="AY1" s="5" t="str">
        <f>'Company Historical'!AS1</f>
        <v>Net Fixed Assets (1m HKD)</v>
      </c>
      <c r="AZ1" s="5" t="s">
        <v>103</v>
      </c>
      <c r="BA1" s="5" t="str">
        <f>'Company Historical'!AT1</f>
        <v>Other Long Term Assets (1m HKD)</v>
      </c>
      <c r="BB1" s="5" t="s">
        <v>104</v>
      </c>
      <c r="BC1" s="5" t="str">
        <f>'Company Historical'!AU1</f>
        <v>Account Payable (1m HKD)</v>
      </c>
      <c r="BD1" s="5" t="str">
        <f>'Company Historical'!AV1</f>
        <v>Short Term Borrowing (1m HKD)</v>
      </c>
      <c r="BE1" s="5" t="str">
        <f>'Company Historical'!AW1</f>
        <v>Other Short term Liabilities (1m HKD)</v>
      </c>
      <c r="BF1" s="5" t="s">
        <v>49</v>
      </c>
      <c r="BG1" s="5" t="str">
        <f>'Company Historical'!AY1</f>
        <v>Long Term Borrowing (1m HKD)</v>
      </c>
      <c r="BH1" s="5" t="str">
        <f>'Company Historical'!AZ1</f>
        <v>Other Long Term Borrowing (1m HKD)</v>
      </c>
      <c r="BI1" s="5" t="s">
        <v>105</v>
      </c>
      <c r="BJ1" s="5" t="str">
        <f>'Company Historical'!BB1</f>
        <v>Minority Interest--Balance sheet (1m HKD)</v>
      </c>
      <c r="BK1" s="5" t="str">
        <f>'Company Historical'!BK1</f>
        <v>Dividend Paid (1m HKD)</v>
      </c>
      <c r="BL1" s="5" t="str">
        <f>'Company Historical'!BA1</f>
        <v>Shareholders Equity (1m HKD)</v>
      </c>
      <c r="BM1" s="5" t="s">
        <v>106</v>
      </c>
      <c r="BN1" s="5" t="s">
        <v>107</v>
      </c>
      <c r="BO1" s="5" t="str">
        <f>'Company Historical'!BC1</f>
        <v>Depreciation (1m HKD)</v>
      </c>
      <c r="BP1" s="5" t="str">
        <f>'Company Historical'!$BD1</f>
        <v>Other Non-Cash Adjustment (1m HKD)</v>
      </c>
      <c r="BQ1" s="5" t="s">
        <v>56</v>
      </c>
      <c r="BR1" s="5" t="s">
        <v>108</v>
      </c>
      <c r="BS1" s="5" t="s">
        <v>58</v>
      </c>
      <c r="BT1" s="5" t="s">
        <v>59</v>
      </c>
      <c r="BU1" s="5" t="s">
        <v>60</v>
      </c>
      <c r="BV1" s="5" t="s">
        <v>61</v>
      </c>
      <c r="BW1" s="5" t="s">
        <v>109</v>
      </c>
      <c r="BX1" s="5" t="s">
        <v>110</v>
      </c>
      <c r="BY1" s="5" t="s">
        <v>64</v>
      </c>
      <c r="BZ1" s="5" t="s">
        <v>65</v>
      </c>
      <c r="CA1" s="5" t="s">
        <v>66</v>
      </c>
      <c r="CB1" s="107" t="s">
        <v>111</v>
      </c>
      <c r="CC1" s="5" t="s">
        <v>112</v>
      </c>
    </row>
    <row r="2" spans="1:82">
      <c r="A2" s="2">
        <v>2011</v>
      </c>
      <c r="B2" s="12">
        <v>16395</v>
      </c>
      <c r="C2" s="12">
        <f>B2/100</f>
        <v>163.95</v>
      </c>
      <c r="D2" s="13">
        <v>9.4</v>
      </c>
      <c r="E2" s="14">
        <v>2600</v>
      </c>
      <c r="F2" s="14">
        <f>E2/100</f>
        <v>26</v>
      </c>
      <c r="G2" s="32">
        <f>E2/B2</f>
        <v>0.15858493443122904</v>
      </c>
      <c r="H2" s="15">
        <f>'Company Historical'!E2/('Industry+Forecast'!E2*10000)</f>
        <v>1.5799538461538462E-2</v>
      </c>
      <c r="I2" s="11">
        <f>'Company Historical'!E2</f>
        <v>410788</v>
      </c>
      <c r="J2" s="11">
        <f>'Company Historical'!C2</f>
        <v>1000</v>
      </c>
      <c r="K2" s="11">
        <f>'Company Historical'!I2</f>
        <v>175717</v>
      </c>
      <c r="L2" s="16">
        <f>'Company Historical'!N2</f>
        <v>0.59000214024437703</v>
      </c>
      <c r="M2" s="11">
        <f>'Company Historical'!L2</f>
        <v>107025</v>
      </c>
      <c r="N2" s="16">
        <f>'Company Historical'!P2</f>
        <v>0.11549753157346368</v>
      </c>
      <c r="O2" s="11">
        <f>'Company Historical'!O2</f>
        <v>47445</v>
      </c>
      <c r="P2" s="11">
        <f>M2+O2</f>
        <v>154470</v>
      </c>
      <c r="Q2" s="17">
        <f>'Company Historical'!Q2</f>
        <v>0.61499999999999999</v>
      </c>
      <c r="R2" s="18">
        <f>Q2*P2</f>
        <v>94999.05</v>
      </c>
      <c r="S2" s="18">
        <f>'Company Historical'!V2</f>
        <v>0</v>
      </c>
      <c r="T2" s="39">
        <f>SUM(U2,V2)</f>
        <v>59474</v>
      </c>
      <c r="U2" s="11">
        <f>'Company Historical'!AB2</f>
        <v>0</v>
      </c>
      <c r="V2" s="11">
        <f>'Company Historical'!$AC2</f>
        <v>59474</v>
      </c>
      <c r="W2" s="7">
        <f>'Company Historical'!Y2</f>
        <v>0</v>
      </c>
      <c r="X2" s="11">
        <f>'Company Historical'!X2</f>
        <v>0</v>
      </c>
      <c r="Y2" s="11">
        <f>'Company Historical'!R2</f>
        <v>0</v>
      </c>
      <c r="Z2" s="7">
        <f>'Company Historical'!T2</f>
        <v>0</v>
      </c>
      <c r="AA2" s="11">
        <f>'Company Historical'!S2</f>
        <v>0</v>
      </c>
      <c r="AB2" s="18">
        <f>P2+S2+Y2</f>
        <v>154470</v>
      </c>
      <c r="AC2" s="11">
        <f>SUM(AA2,X2,R2)</f>
        <v>94999.05</v>
      </c>
      <c r="AD2" s="34">
        <f>AC2/AB2</f>
        <v>0.61499999999999999</v>
      </c>
      <c r="AE2" s="11">
        <f>SUM(Y2,P2)</f>
        <v>154470</v>
      </c>
      <c r="AF2" s="11">
        <f>SUM(AA2,R2)</f>
        <v>94999.05</v>
      </c>
      <c r="AG2" s="7">
        <f>AF2/AE2</f>
        <v>0.61499999999999999</v>
      </c>
      <c r="AH2" s="11">
        <f>'Company Historical'!AD2</f>
        <v>16467</v>
      </c>
      <c r="AI2" s="6">
        <f t="shared" ref="AI2:AI11" si="0">AC2-AH2+AK2</f>
        <v>79101.05</v>
      </c>
      <c r="AJ2" s="11">
        <f>P2+Y2-AH2</f>
        <v>138003</v>
      </c>
      <c r="AK2" s="11">
        <f>'Company Historical'!$AE2</f>
        <v>569</v>
      </c>
      <c r="AL2" s="11">
        <f>'Company Historical'!AG2</f>
        <v>25020</v>
      </c>
      <c r="AM2" s="11">
        <f>AI2-AL2+AP2</f>
        <v>54081.05</v>
      </c>
      <c r="AN2" s="6">
        <v>11246.75</v>
      </c>
      <c r="AO2" s="45">
        <f>'Company Historical'!AH2</f>
        <v>3780</v>
      </c>
      <c r="AP2" s="6">
        <f>'Company Historical'!AI2</f>
        <v>0</v>
      </c>
      <c r="AQ2" s="11">
        <f>AM2-AN2+AO2</f>
        <v>46614.3</v>
      </c>
      <c r="AS2" s="2"/>
      <c r="AT2" s="37">
        <f>'Company Historical'!AJ2</f>
        <v>56.298000000000002</v>
      </c>
      <c r="AU2" s="37">
        <f>'Company Historical'!AL2</f>
        <v>63.009</v>
      </c>
      <c r="AV2" s="37">
        <f>'Company Historical'!AN2</f>
        <v>2.42</v>
      </c>
      <c r="AW2" s="37">
        <f>'Company Historical'!AP2</f>
        <v>8.4979999999999993</v>
      </c>
      <c r="AX2" s="37">
        <f>'Company Historical'!AR2</f>
        <v>130.22499999999999</v>
      </c>
      <c r="AY2" s="2">
        <f>'Company Historical'!AS2</f>
        <v>699.63300000000004</v>
      </c>
      <c r="AZ2" s="11">
        <f>'Company Historical'!$W2</f>
        <v>0</v>
      </c>
      <c r="BA2" s="84">
        <f>'Company Historical'!AT2</f>
        <v>184.053</v>
      </c>
      <c r="BB2" s="84">
        <f>SUM(AY2,BA2)</f>
        <v>883.68600000000004</v>
      </c>
      <c r="BC2" s="37">
        <f>'Company Historical'!AU2</f>
        <v>9.4009999999999998</v>
      </c>
      <c r="BD2" s="2">
        <f>'Company Historical'!AV2</f>
        <v>95.596000000000004</v>
      </c>
      <c r="BE2" s="2">
        <f>'Company Historical'!AW2</f>
        <v>381.45299999999997</v>
      </c>
      <c r="BF2" s="37">
        <f t="shared" ref="BF2:BF16" si="1">SUM(BC2:BE2)</f>
        <v>486.45</v>
      </c>
      <c r="BG2" s="37">
        <f>'Company Historical'!AY2</f>
        <v>399.346</v>
      </c>
      <c r="BH2" s="2">
        <f>'Company Historical'!AZ2</f>
        <v>25.716000000000001</v>
      </c>
      <c r="BI2" s="84">
        <f t="shared" ref="BI2:BI16" si="2">SUM(BG2:BH2)</f>
        <v>425.06200000000001</v>
      </c>
      <c r="BJ2" s="84">
        <f>'Company Historical'!BB2</f>
        <v>0</v>
      </c>
      <c r="BK2" s="99">
        <f>'Company Historical'!BK2</f>
        <v>0</v>
      </c>
      <c r="BL2" s="6">
        <f>'Company Historical'!BA2</f>
        <v>102.399</v>
      </c>
      <c r="BM2" s="6">
        <f t="shared" ref="BM2:BM16" si="3">AX2+BB2-BF2-BI2</f>
        <v>102.399</v>
      </c>
      <c r="BN2" s="84">
        <f>AQ2/1000</f>
        <v>46.6143</v>
      </c>
      <c r="BO2" s="2">
        <f>'Company Historical'!BC2</f>
        <v>28.963999999999999</v>
      </c>
      <c r="BP2" s="99">
        <f>'Company Historical'!$BD2</f>
        <v>16.940000000000001</v>
      </c>
      <c r="BQ2" s="104">
        <v>-33.454000000000001</v>
      </c>
      <c r="BR2" s="106">
        <v>51.192999999999998</v>
      </c>
      <c r="BS2" s="37">
        <v>-121.92700000000001</v>
      </c>
      <c r="BT2" s="2">
        <v>0</v>
      </c>
      <c r="BU2" s="37">
        <f>BV2-BT2-BS2</f>
        <v>26.048000000000002</v>
      </c>
      <c r="BV2" s="2">
        <v>-95.879000000000005</v>
      </c>
      <c r="BW2" s="2">
        <v>0</v>
      </c>
      <c r="BX2" s="2">
        <v>59.61</v>
      </c>
      <c r="BY2" s="2">
        <v>0</v>
      </c>
      <c r="BZ2" s="2">
        <v>4.1120000000000001</v>
      </c>
      <c r="CA2" s="37">
        <v>63.722000000000001</v>
      </c>
      <c r="CB2" s="84">
        <v>56.298000000000002</v>
      </c>
      <c r="CC2" s="106">
        <f>BS2+BR2</f>
        <v>-70.734000000000009</v>
      </c>
    </row>
    <row r="3" spans="1:82">
      <c r="A3" s="2">
        <v>2012</v>
      </c>
      <c r="B3" s="12">
        <v>17081</v>
      </c>
      <c r="C3" s="12">
        <f t="shared" ref="C3:C15" si="4">B3/100</f>
        <v>170.81</v>
      </c>
      <c r="D3" s="13">
        <v>12.3</v>
      </c>
      <c r="E3" s="14">
        <v>3600</v>
      </c>
      <c r="F3" s="14">
        <f t="shared" ref="F3:F16" si="5">E3/100</f>
        <v>36</v>
      </c>
      <c r="G3" s="32">
        <f t="shared" ref="G3:G10" si="6">E3/B3</f>
        <v>0.21076049411626954</v>
      </c>
      <c r="H3" s="15">
        <f>'Company Historical'!E3/('Industry+Forecast'!E3*10000)</f>
        <v>2.947088888888889E-2</v>
      </c>
      <c r="I3" s="11">
        <f>'Company Historical'!E3</f>
        <v>1060952</v>
      </c>
      <c r="J3" s="11">
        <f>'Company Historical'!C3</f>
        <v>2000</v>
      </c>
      <c r="K3" s="11">
        <f>'Company Historical'!I3</f>
        <v>482681</v>
      </c>
      <c r="L3" s="16">
        <f>'Company Historical'!N3</f>
        <v>0.55234911735181058</v>
      </c>
      <c r="M3" s="11">
        <f>'Company Historical'!L3</f>
        <v>265407</v>
      </c>
      <c r="N3" s="16">
        <f>'Company Historical'!P3</f>
        <v>0.11473374855789895</v>
      </c>
      <c r="O3" s="11">
        <f>'Company Historical'!O3</f>
        <v>121727</v>
      </c>
      <c r="P3" s="11">
        <f t="shared" ref="P3:P16" si="7">M3+O3</f>
        <v>387134</v>
      </c>
      <c r="Q3" s="17">
        <f>'Company Historical'!Q3</f>
        <v>0.53400000000000003</v>
      </c>
      <c r="R3" s="18">
        <f t="shared" ref="R3:R16" si="8">Q3*P3</f>
        <v>206729.55600000001</v>
      </c>
      <c r="S3" s="18">
        <f>'Company Historical'!V3</f>
        <v>0</v>
      </c>
      <c r="T3" s="39">
        <f t="shared" ref="T3:T16" si="9">SUM(U3,V3)</f>
        <v>180367</v>
      </c>
      <c r="U3" s="11">
        <f>'Company Historical'!AB3</f>
        <v>0</v>
      </c>
      <c r="V3" s="11">
        <f>'Company Historical'!$AC3</f>
        <v>180367</v>
      </c>
      <c r="W3" s="7">
        <f>'Company Historical'!Y3</f>
        <v>0</v>
      </c>
      <c r="X3" s="11">
        <f>'Company Historical'!X3</f>
        <v>0</v>
      </c>
      <c r="Y3" s="11">
        <f>'Company Historical'!R3</f>
        <v>0</v>
      </c>
      <c r="Z3" s="7">
        <f>'Company Historical'!T3</f>
        <v>0</v>
      </c>
      <c r="AA3" s="11">
        <f>'Company Historical'!S3</f>
        <v>0</v>
      </c>
      <c r="AB3" s="18">
        <f t="shared" ref="AB3:AB16" si="10">P3+S3+Y3</f>
        <v>387134</v>
      </c>
      <c r="AC3" s="11">
        <f t="shared" ref="AC3:AC16" si="11">SUM(AA3,X3,R3)</f>
        <v>206729.55600000001</v>
      </c>
      <c r="AD3" s="34">
        <f t="shared" ref="AD3:AD16" si="12">AC3/AB3</f>
        <v>0.53400000000000003</v>
      </c>
      <c r="AE3" s="11">
        <f t="shared" ref="AE3:AE16" si="13">SUM(Y3,P3)</f>
        <v>387134</v>
      </c>
      <c r="AF3" s="11">
        <f t="shared" ref="AF3:AF16" si="14">SUM(AA3,R3)</f>
        <v>206729.55600000001</v>
      </c>
      <c r="AG3" s="7">
        <f t="shared" ref="AG3:AG16" si="15">AF3/AE3</f>
        <v>0.53400000000000003</v>
      </c>
      <c r="AH3" s="11">
        <f>'Company Historical'!AD3</f>
        <v>35147</v>
      </c>
      <c r="AI3" s="6">
        <f t="shared" si="0"/>
        <v>184472.55600000001</v>
      </c>
      <c r="AJ3" s="11">
        <f t="shared" ref="AJ3:AJ16" si="16">P3+Y3-AH3</f>
        <v>351987</v>
      </c>
      <c r="AK3" s="11">
        <f>'Company Historical'!$AE3</f>
        <v>12890</v>
      </c>
      <c r="AL3" s="11">
        <f>'Company Historical'!AG3</f>
        <v>32575</v>
      </c>
      <c r="AM3" s="11">
        <f t="shared" ref="AM3:AM16" si="17">AI3-AL3+AP3</f>
        <v>151897.55600000001</v>
      </c>
      <c r="AN3" s="6">
        <v>26395.5</v>
      </c>
      <c r="AO3" s="45">
        <f>'Company Historical'!AH3</f>
        <v>0</v>
      </c>
      <c r="AP3" s="6">
        <f>'Company Historical'!AI3</f>
        <v>0</v>
      </c>
      <c r="AQ3" s="11">
        <f t="shared" ref="AQ3:AQ16" si="18">AM3-AN3+AO3</f>
        <v>125502.05600000001</v>
      </c>
      <c r="AS3" s="2"/>
      <c r="AT3" s="37">
        <f>'Company Historical'!AJ3</f>
        <v>44.68</v>
      </c>
      <c r="AU3" s="37">
        <f>'Company Historical'!AL3</f>
        <v>78.77</v>
      </c>
      <c r="AV3" s="37">
        <f>'Company Historical'!AN3</f>
        <v>2.532</v>
      </c>
      <c r="AW3" s="37">
        <f>'Company Historical'!AP3</f>
        <v>13.3</v>
      </c>
      <c r="AX3" s="37">
        <f>'Company Historical'!AR3</f>
        <v>139.28199999999998</v>
      </c>
      <c r="AY3" s="2">
        <f>'Company Historical'!AS3</f>
        <v>659.7</v>
      </c>
      <c r="AZ3" s="11">
        <f>'Company Historical'!$W3</f>
        <v>0</v>
      </c>
      <c r="BA3" s="84">
        <f>'Company Historical'!AT3</f>
        <v>189.71799999999999</v>
      </c>
      <c r="BB3" s="84">
        <f t="shared" ref="BB3:BB16" si="19">SUM(AY3,BA3)</f>
        <v>849.41800000000001</v>
      </c>
      <c r="BC3" s="37">
        <f>'Company Historical'!AU3</f>
        <v>7.3140000000000001</v>
      </c>
      <c r="BD3" s="2">
        <f>'Company Historical'!AV3</f>
        <v>147.99299999999999</v>
      </c>
      <c r="BE3" s="2">
        <f>'Company Historical'!AW3</f>
        <v>237.47399999999999</v>
      </c>
      <c r="BF3" s="37">
        <f t="shared" si="1"/>
        <v>392.78099999999995</v>
      </c>
      <c r="BG3" s="37">
        <f>'Company Historical'!AY3</f>
        <v>323.73399999999998</v>
      </c>
      <c r="BH3" s="2">
        <f>'Company Historical'!AZ3</f>
        <v>43.332000000000001</v>
      </c>
      <c r="BI3" s="84">
        <f t="shared" si="2"/>
        <v>367.06599999999997</v>
      </c>
      <c r="BJ3" s="84">
        <f>'Company Historical'!BB3</f>
        <v>0</v>
      </c>
      <c r="BK3" s="99">
        <f>'Company Historical'!BK3</f>
        <v>0</v>
      </c>
      <c r="BL3" s="6">
        <f>'Company Historical'!BA3</f>
        <v>228.85300000000001</v>
      </c>
      <c r="BM3" s="6">
        <f t="shared" si="3"/>
        <v>228.85300000000012</v>
      </c>
      <c r="BN3" s="84">
        <f t="shared" ref="BN3:BN15" si="20">AQ3/1000</f>
        <v>125.50205600000001</v>
      </c>
      <c r="BO3" s="2">
        <f>'Company Historical'!BC3</f>
        <v>44.204000000000001</v>
      </c>
      <c r="BP3" s="99">
        <f>'Company Historical'!$BD3</f>
        <v>21.027000000000001</v>
      </c>
      <c r="BQ3" s="104">
        <v>-19.295000000000002</v>
      </c>
      <c r="BR3" s="106">
        <v>172.476</v>
      </c>
      <c r="BS3" s="37">
        <v>-34.125</v>
      </c>
      <c r="BT3" s="2">
        <v>0</v>
      </c>
      <c r="BU3" s="37">
        <f t="shared" ref="BU3:BU11" si="21">BV3-BT3-BS3</f>
        <v>-15.834000000000003</v>
      </c>
      <c r="BV3" s="2">
        <v>-49.959000000000003</v>
      </c>
      <c r="BW3" s="2">
        <v>0</v>
      </c>
      <c r="BX3" s="2">
        <v>-23.123999999999999</v>
      </c>
      <c r="BY3" s="2">
        <v>0</v>
      </c>
      <c r="BZ3" s="2">
        <v>-111.011</v>
      </c>
      <c r="CA3" s="37">
        <v>-134.13499999999999</v>
      </c>
      <c r="CB3" s="84">
        <v>44.68</v>
      </c>
      <c r="CC3" s="106">
        <f t="shared" ref="CC3:CC15" si="22">BS3+BR3</f>
        <v>138.351</v>
      </c>
      <c r="CD3" s="105"/>
    </row>
    <row r="4" spans="1:82">
      <c r="A4" s="2">
        <v>2013</v>
      </c>
      <c r="B4" s="12">
        <v>17239</v>
      </c>
      <c r="C4" s="12">
        <f t="shared" si="4"/>
        <v>172.39</v>
      </c>
      <c r="D4" s="13">
        <v>15.8</v>
      </c>
      <c r="E4" s="14">
        <v>4600</v>
      </c>
      <c r="F4" s="14">
        <f t="shared" si="5"/>
        <v>46</v>
      </c>
      <c r="G4" s="32">
        <f t="shared" si="6"/>
        <v>0.26683682348164045</v>
      </c>
      <c r="H4" s="15">
        <f>'Company Historical'!E4/('Industry+Forecast'!E4*10000)</f>
        <v>2.1328717391304347E-2</v>
      </c>
      <c r="I4" s="11">
        <f>'Company Historical'!E4</f>
        <v>981121</v>
      </c>
      <c r="J4" s="11">
        <f>'Company Historical'!C4</f>
        <v>2000</v>
      </c>
      <c r="K4" s="11">
        <f>'Company Historical'!I4</f>
        <v>477944</v>
      </c>
      <c r="L4" s="16">
        <f>'Company Historical'!N4</f>
        <v>0.54426225698258424</v>
      </c>
      <c r="M4" s="11">
        <f>'Company Historical'!L4</f>
        <v>261737</v>
      </c>
      <c r="N4" s="16">
        <f>'Company Historical'!P4</f>
        <v>0.13090740082008234</v>
      </c>
      <c r="O4" s="11">
        <f>'Company Historical'!O4</f>
        <v>128436</v>
      </c>
      <c r="P4" s="11">
        <f t="shared" si="7"/>
        <v>390173</v>
      </c>
      <c r="Q4" s="17">
        <f>'Company Historical'!Q4</f>
        <v>0.51900000000000002</v>
      </c>
      <c r="R4" s="18">
        <f t="shared" si="8"/>
        <v>202499.78700000001</v>
      </c>
      <c r="S4" s="18">
        <f>'Company Historical'!V4</f>
        <v>0</v>
      </c>
      <c r="T4" s="39">
        <f t="shared" si="9"/>
        <v>187537</v>
      </c>
      <c r="U4" s="11">
        <f>'Company Historical'!AB4</f>
        <v>0</v>
      </c>
      <c r="V4" s="11">
        <f>'Company Historical'!$AC4</f>
        <v>187537</v>
      </c>
      <c r="W4" s="7">
        <f>'Company Historical'!Y4</f>
        <v>0</v>
      </c>
      <c r="X4" s="11">
        <f>'Company Historical'!X4</f>
        <v>0</v>
      </c>
      <c r="Y4" s="11">
        <f>'Company Historical'!R4</f>
        <v>0</v>
      </c>
      <c r="Z4" s="7">
        <f>'Company Historical'!T4</f>
        <v>0</v>
      </c>
      <c r="AA4" s="11">
        <f>'Company Historical'!S4</f>
        <v>0</v>
      </c>
      <c r="AB4" s="18">
        <f t="shared" si="10"/>
        <v>390173</v>
      </c>
      <c r="AC4" s="11">
        <f t="shared" si="11"/>
        <v>202499.78700000001</v>
      </c>
      <c r="AD4" s="34">
        <f t="shared" si="12"/>
        <v>0.51900000000000002</v>
      </c>
      <c r="AE4" s="11">
        <f t="shared" si="13"/>
        <v>390173</v>
      </c>
      <c r="AF4" s="11">
        <f t="shared" si="14"/>
        <v>202499.78700000001</v>
      </c>
      <c r="AG4" s="7">
        <f t="shared" si="15"/>
        <v>0.51900000000000002</v>
      </c>
      <c r="AH4" s="11">
        <f>'Company Historical'!AD4</f>
        <v>38584</v>
      </c>
      <c r="AI4" s="6">
        <f t="shared" si="0"/>
        <v>177229.78700000001</v>
      </c>
      <c r="AJ4" s="11">
        <f t="shared" si="16"/>
        <v>351589</v>
      </c>
      <c r="AK4" s="11">
        <f>'Company Historical'!$AE4</f>
        <v>13314</v>
      </c>
      <c r="AL4" s="11">
        <f>'Company Historical'!AG4</f>
        <v>25861</v>
      </c>
      <c r="AM4" s="11">
        <f t="shared" si="17"/>
        <v>151368.78700000001</v>
      </c>
      <c r="AN4" s="6">
        <v>18174.25</v>
      </c>
      <c r="AO4" s="45">
        <f>'Company Historical'!AH4</f>
        <v>0</v>
      </c>
      <c r="AP4" s="6">
        <f>'Company Historical'!AI4</f>
        <v>0</v>
      </c>
      <c r="AQ4" s="11">
        <f t="shared" si="18"/>
        <v>133194.53700000001</v>
      </c>
      <c r="AS4" s="2"/>
      <c r="AT4" s="37">
        <f>'Company Historical'!AJ4</f>
        <v>49.802999999999997</v>
      </c>
      <c r="AU4" s="37">
        <f>'Company Historical'!AL4</f>
        <v>68.272999999999996</v>
      </c>
      <c r="AV4" s="37">
        <f>'Company Historical'!AN4</f>
        <v>1.579</v>
      </c>
      <c r="AW4" s="37">
        <f>'Company Historical'!AP4</f>
        <v>96.441000000000003</v>
      </c>
      <c r="AX4" s="37">
        <f>'Company Historical'!AR4</f>
        <v>216.096</v>
      </c>
      <c r="AY4" s="2">
        <f>'Company Historical'!AS4</f>
        <v>643.12400000000002</v>
      </c>
      <c r="AZ4" s="11">
        <f>'Company Historical'!$W4</f>
        <v>0</v>
      </c>
      <c r="BA4" s="84">
        <f>'Company Historical'!AT4</f>
        <v>208.19800000000001</v>
      </c>
      <c r="BB4" s="84">
        <f t="shared" si="19"/>
        <v>851.322</v>
      </c>
      <c r="BC4" s="37">
        <f>'Company Historical'!AU4</f>
        <v>18.097000000000001</v>
      </c>
      <c r="BD4" s="2">
        <f>'Company Historical'!AV4</f>
        <v>87.76</v>
      </c>
      <c r="BE4" s="2">
        <f>'Company Historical'!AW4</f>
        <v>48.476999999999997</v>
      </c>
      <c r="BF4" s="37">
        <f t="shared" si="1"/>
        <v>154.334</v>
      </c>
      <c r="BG4" s="37">
        <f>'Company Historical'!AY4</f>
        <v>293.80700000000002</v>
      </c>
      <c r="BH4" s="2">
        <f>'Company Historical'!AZ4</f>
        <v>30.657</v>
      </c>
      <c r="BI4" s="84">
        <f t="shared" si="2"/>
        <v>324.464</v>
      </c>
      <c r="BJ4" s="84">
        <f>'Company Historical'!BB4</f>
        <v>85.852999999999994</v>
      </c>
      <c r="BK4" s="99">
        <f>'Company Historical'!BK4</f>
        <v>0</v>
      </c>
      <c r="BL4" s="6">
        <f>'Company Historical'!BA4</f>
        <v>761.8</v>
      </c>
      <c r="BM4" s="6">
        <f t="shared" si="3"/>
        <v>588.62000000000012</v>
      </c>
      <c r="BN4" s="84">
        <f t="shared" si="20"/>
        <v>133.19453700000003</v>
      </c>
      <c r="BO4" s="2">
        <f>'Company Historical'!BC4</f>
        <v>45.926000000000002</v>
      </c>
      <c r="BP4" s="99">
        <f>'Company Historical'!$BD4</f>
        <v>-11.007999999999999</v>
      </c>
      <c r="BQ4" s="104">
        <v>28.978000000000002</v>
      </c>
      <c r="BR4" s="106">
        <v>194.86500000000001</v>
      </c>
      <c r="BS4" s="37">
        <v>-33.487000000000002</v>
      </c>
      <c r="BT4" s="2">
        <v>0</v>
      </c>
      <c r="BU4" s="37">
        <f>BV4-BT4-BS4</f>
        <v>-176.518</v>
      </c>
      <c r="BV4" s="2">
        <v>-210.005</v>
      </c>
      <c r="BW4" s="2">
        <v>0</v>
      </c>
      <c r="BX4" s="2">
        <v>-103.34</v>
      </c>
      <c r="BY4" s="2">
        <v>0</v>
      </c>
      <c r="BZ4" s="2">
        <v>123.60299999999999</v>
      </c>
      <c r="CA4" s="37">
        <v>20.263000000000002</v>
      </c>
      <c r="CB4" s="84">
        <v>49.802999999999997</v>
      </c>
      <c r="CC4" s="106">
        <f t="shared" si="22"/>
        <v>161.37800000000001</v>
      </c>
      <c r="CD4" s="105"/>
    </row>
    <row r="5" spans="1:82">
      <c r="A5" s="2">
        <v>2014</v>
      </c>
      <c r="B5" s="12">
        <v>17860</v>
      </c>
      <c r="C5" s="12">
        <f t="shared" si="4"/>
        <v>178.6</v>
      </c>
      <c r="D5" s="13">
        <v>18.600000000000001</v>
      </c>
      <c r="E5" s="14">
        <v>5300</v>
      </c>
      <c r="F5" s="14">
        <f t="shared" si="5"/>
        <v>53</v>
      </c>
      <c r="G5" s="32">
        <f t="shared" si="6"/>
        <v>0.29675251959686449</v>
      </c>
      <c r="H5" s="15">
        <f>'Company Historical'!E5/('Industry+Forecast'!E5*10000)</f>
        <v>2.490922641509434E-2</v>
      </c>
      <c r="I5" s="11">
        <f>'Company Historical'!E5</f>
        <v>1320189</v>
      </c>
      <c r="J5" s="11">
        <f>'Company Historical'!C5</f>
        <v>3600</v>
      </c>
      <c r="K5" s="11">
        <f>'Company Historical'!I5</f>
        <v>598672</v>
      </c>
      <c r="L5" s="16">
        <f>'Company Historical'!N5</f>
        <v>0.56507251509422107</v>
      </c>
      <c r="M5" s="11">
        <f>'Company Historical'!L5</f>
        <v>349149</v>
      </c>
      <c r="N5" s="16">
        <f>'Company Historical'!P5</f>
        <v>0.14617528247849362</v>
      </c>
      <c r="O5" s="11">
        <f>'Company Historical'!O5</f>
        <v>192979</v>
      </c>
      <c r="P5" s="11">
        <f t="shared" si="7"/>
        <v>542128</v>
      </c>
      <c r="Q5" s="17">
        <f>'Company Historical'!Q5</f>
        <v>0.54800000000000004</v>
      </c>
      <c r="R5" s="18">
        <f t="shared" si="8"/>
        <v>297086.14400000003</v>
      </c>
      <c r="S5" s="18">
        <f>'Company Historical'!V5</f>
        <v>252021</v>
      </c>
      <c r="T5" s="39">
        <f t="shared" si="9"/>
        <v>451646</v>
      </c>
      <c r="U5" s="11">
        <f>'Company Historical'!AB5</f>
        <v>206469</v>
      </c>
      <c r="V5" s="11">
        <f>'Company Historical'!$AC5</f>
        <v>245177</v>
      </c>
      <c r="W5" s="7">
        <f>'Company Historical'!Y5</f>
        <v>0.18074684252502768</v>
      </c>
      <c r="X5" s="11">
        <f>'Company Historical'!X5</f>
        <v>45552</v>
      </c>
      <c r="Y5" s="11">
        <f>'Company Historical'!R5</f>
        <v>0</v>
      </c>
      <c r="Z5" s="7">
        <f>'Company Historical'!T5</f>
        <v>0</v>
      </c>
      <c r="AA5" s="11">
        <f>'Company Historical'!S5</f>
        <v>0</v>
      </c>
      <c r="AB5" s="18">
        <f t="shared" si="10"/>
        <v>794149</v>
      </c>
      <c r="AC5" s="11">
        <f t="shared" si="11"/>
        <v>342638.14400000003</v>
      </c>
      <c r="AD5" s="34">
        <f t="shared" si="12"/>
        <v>0.43145322099505262</v>
      </c>
      <c r="AE5" s="11">
        <f t="shared" si="13"/>
        <v>542128</v>
      </c>
      <c r="AF5" s="11">
        <f t="shared" si="14"/>
        <v>297086.14400000003</v>
      </c>
      <c r="AG5" s="7">
        <f t="shared" si="15"/>
        <v>0.54800000000000004</v>
      </c>
      <c r="AH5" s="11">
        <f>'Company Historical'!AD5</f>
        <v>63542</v>
      </c>
      <c r="AI5" s="6">
        <f t="shared" si="0"/>
        <v>330944.14400000003</v>
      </c>
      <c r="AJ5" s="11">
        <f t="shared" si="16"/>
        <v>478586</v>
      </c>
      <c r="AK5" s="11">
        <f>'Company Historical'!$AE5</f>
        <v>51848</v>
      </c>
      <c r="AL5" s="11">
        <f>'Company Historical'!AG5</f>
        <v>61809</v>
      </c>
      <c r="AM5" s="11">
        <f t="shared" si="17"/>
        <v>269135.14400000003</v>
      </c>
      <c r="AN5" s="6">
        <v>38060.5</v>
      </c>
      <c r="AO5" s="45">
        <f>'Company Historical'!AH5</f>
        <v>17321</v>
      </c>
      <c r="AP5" s="6">
        <f>'Company Historical'!AI5</f>
        <v>0</v>
      </c>
      <c r="AQ5" s="11">
        <f t="shared" si="18"/>
        <v>248395.64400000003</v>
      </c>
      <c r="AR5" s="2">
        <v>2000000</v>
      </c>
      <c r="AS5" s="42">
        <f>AQ5/AR5</f>
        <v>0.12419782200000001</v>
      </c>
      <c r="AT5" s="37">
        <f>'Company Historical'!AJ5</f>
        <v>1328.172</v>
      </c>
      <c r="AU5" s="37">
        <f>'Company Historical'!AL5</f>
        <v>70.966999999999999</v>
      </c>
      <c r="AV5" s="37">
        <f>'Company Historical'!AN5</f>
        <v>0.50700000000000001</v>
      </c>
      <c r="AW5" s="37">
        <f>'Company Historical'!AP5</f>
        <v>39.944000000000003</v>
      </c>
      <c r="AX5" s="37">
        <f>'Company Historical'!AR5</f>
        <v>1439.5900000000001</v>
      </c>
      <c r="AY5" s="2">
        <f>'Company Historical'!AS5</f>
        <v>697.35900000000004</v>
      </c>
      <c r="AZ5" s="11">
        <f>'Company Historical'!$W5</f>
        <v>252021</v>
      </c>
      <c r="BA5" s="84">
        <f>'Company Historical'!AT5</f>
        <v>1503.703</v>
      </c>
      <c r="BB5" s="84">
        <f t="shared" si="19"/>
        <v>2201.0619999999999</v>
      </c>
      <c r="BC5" s="37">
        <f>'Company Historical'!AU5</f>
        <v>25.696000000000002</v>
      </c>
      <c r="BD5" s="2">
        <f>'Company Historical'!AV5</f>
        <v>252.57599999999999</v>
      </c>
      <c r="BE5" s="2">
        <f>'Company Historical'!AW5</f>
        <v>189.24100000000001</v>
      </c>
      <c r="BF5" s="37">
        <f t="shared" si="1"/>
        <v>467.51300000000003</v>
      </c>
      <c r="BG5" s="37">
        <f>'Company Historical'!AY5</f>
        <v>776.11</v>
      </c>
      <c r="BH5" s="2">
        <f>'Company Historical'!AZ5</f>
        <v>105.82899999999999</v>
      </c>
      <c r="BI5" s="84">
        <f t="shared" si="2"/>
        <v>881.93899999999996</v>
      </c>
      <c r="BJ5" s="84">
        <f>'Company Historical'!BB5</f>
        <v>102.97199999999999</v>
      </c>
      <c r="BK5" s="99">
        <f>'Company Historical'!BK5</f>
        <v>0</v>
      </c>
      <c r="BL5" s="6">
        <f>'Company Historical'!BA5</f>
        <v>2417.9639999999999</v>
      </c>
      <c r="BM5" s="6">
        <f t="shared" si="3"/>
        <v>2291.2000000000003</v>
      </c>
      <c r="BN5" s="84">
        <f t="shared" si="20"/>
        <v>248.39564400000003</v>
      </c>
      <c r="BO5" s="2">
        <f>'Company Historical'!BC5</f>
        <v>105.014</v>
      </c>
      <c r="BP5" s="99">
        <f>'Company Historical'!$BD5</f>
        <v>-193.15899999999999</v>
      </c>
      <c r="BQ5" s="104">
        <v>35.520000000000003</v>
      </c>
      <c r="BR5" s="106">
        <v>138.41300000000001</v>
      </c>
      <c r="BS5" s="37">
        <v>-211.107</v>
      </c>
      <c r="BT5" s="2">
        <v>6.875</v>
      </c>
      <c r="BU5" s="37">
        <f t="shared" si="21"/>
        <v>-68.729000000000013</v>
      </c>
      <c r="BV5" s="2">
        <v>-272.96100000000001</v>
      </c>
      <c r="BW5" s="2">
        <v>0</v>
      </c>
      <c r="BX5" s="2">
        <v>-105.38199999999999</v>
      </c>
      <c r="BY5" s="2">
        <v>1432.481</v>
      </c>
      <c r="BZ5" s="2">
        <v>85.817999999999998</v>
      </c>
      <c r="CA5" s="37">
        <v>1412.9169999999999</v>
      </c>
      <c r="CB5" s="84">
        <v>1328.172</v>
      </c>
      <c r="CC5" s="106">
        <f t="shared" si="22"/>
        <v>-72.693999999999988</v>
      </c>
      <c r="CD5" s="105"/>
    </row>
    <row r="6" spans="1:82">
      <c r="A6" s="2">
        <v>2015</v>
      </c>
      <c r="B6" s="12">
        <v>19142</v>
      </c>
      <c r="C6" s="12">
        <f t="shared" si="4"/>
        <v>191.42</v>
      </c>
      <c r="D6" s="13">
        <v>21.9</v>
      </c>
      <c r="E6" s="14">
        <v>6200</v>
      </c>
      <c r="F6" s="14">
        <f t="shared" si="5"/>
        <v>62</v>
      </c>
      <c r="G6" s="32">
        <f t="shared" si="6"/>
        <v>0.32389509978058717</v>
      </c>
      <c r="H6" s="15">
        <f>'Company Historical'!E6/('Industry+Forecast'!E6*10000)</f>
        <v>2.4267064516129033E-2</v>
      </c>
      <c r="I6" s="11">
        <f>'Company Historical'!E6</f>
        <v>1504558</v>
      </c>
      <c r="J6" s="11">
        <f>'Company Historical'!C6</f>
        <v>5400</v>
      </c>
      <c r="K6" s="11">
        <f>'Company Historical'!I6</f>
        <v>657197</v>
      </c>
      <c r="L6" s="16">
        <f>'Company Historical'!N6</f>
        <v>0.5547102241187899</v>
      </c>
      <c r="M6" s="11">
        <f>'Company Historical'!L6</f>
        <v>376211</v>
      </c>
      <c r="N6" s="16">
        <f>'Company Historical'!P6</f>
        <v>0.13619747460716036</v>
      </c>
      <c r="O6" s="11">
        <f>'Company Historical'!O6</f>
        <v>204917</v>
      </c>
      <c r="P6" s="11">
        <f t="shared" si="7"/>
        <v>581128</v>
      </c>
      <c r="Q6" s="17">
        <f>'Company Historical'!Q6</f>
        <v>0.55400000000000005</v>
      </c>
      <c r="R6" s="18">
        <f t="shared" si="8"/>
        <v>321944.91200000001</v>
      </c>
      <c r="S6" s="18">
        <f>'Company Historical'!V6</f>
        <v>603408</v>
      </c>
      <c r="T6" s="39">
        <f t="shared" si="9"/>
        <v>745212</v>
      </c>
      <c r="U6" s="11">
        <f>'Company Historical'!AB6</f>
        <v>486106</v>
      </c>
      <c r="V6" s="11">
        <f>'Company Historical'!$AC6</f>
        <v>259106</v>
      </c>
      <c r="W6" s="7">
        <f>'Company Historical'!Y6</f>
        <v>0.19439914618301382</v>
      </c>
      <c r="X6" s="11">
        <f>'Company Historical'!X6</f>
        <v>117302</v>
      </c>
      <c r="Y6" s="11">
        <f>'Company Historical'!R6</f>
        <v>0</v>
      </c>
      <c r="Z6" s="7">
        <f>'Company Historical'!T6</f>
        <v>0</v>
      </c>
      <c r="AA6" s="11">
        <f>'Company Historical'!S6</f>
        <v>0</v>
      </c>
      <c r="AB6" s="18">
        <f t="shared" si="10"/>
        <v>1184536</v>
      </c>
      <c r="AC6" s="11">
        <f t="shared" si="11"/>
        <v>439246.91200000001</v>
      </c>
      <c r="AD6" s="34">
        <f t="shared" si="12"/>
        <v>0.37081769739374743</v>
      </c>
      <c r="AE6" s="11">
        <f t="shared" si="13"/>
        <v>581128</v>
      </c>
      <c r="AF6" s="11">
        <f t="shared" si="14"/>
        <v>321944.91200000001</v>
      </c>
      <c r="AG6" s="7">
        <f t="shared" si="15"/>
        <v>0.55400000000000005</v>
      </c>
      <c r="AH6" s="11">
        <f>'Company Historical'!AD6</f>
        <v>111646</v>
      </c>
      <c r="AI6" s="6">
        <f t="shared" si="0"/>
        <v>381083.91200000001</v>
      </c>
      <c r="AJ6" s="11">
        <f t="shared" si="16"/>
        <v>469482</v>
      </c>
      <c r="AK6" s="11">
        <f>'Company Historical'!$AE6</f>
        <v>53483</v>
      </c>
      <c r="AL6" s="11">
        <f>'Company Historical'!AG6</f>
        <v>51374</v>
      </c>
      <c r="AM6" s="11">
        <f t="shared" si="17"/>
        <v>329709.91200000001</v>
      </c>
      <c r="AN6" s="6">
        <v>40961.25</v>
      </c>
      <c r="AO6" s="45">
        <f>'Company Historical'!AH6</f>
        <v>16894</v>
      </c>
      <c r="AP6" s="6">
        <f>'Company Historical'!AI6</f>
        <v>0</v>
      </c>
      <c r="AQ6" s="11">
        <f t="shared" si="18"/>
        <v>305642.66200000001</v>
      </c>
      <c r="AR6" s="2">
        <v>2000000</v>
      </c>
      <c r="AS6" s="42">
        <f t="shared" ref="AS6:AS16" si="23">AQ6/AR6</f>
        <v>0.152821331</v>
      </c>
      <c r="AT6" s="37">
        <f>'Company Historical'!AJ6</f>
        <v>449.13600000000002</v>
      </c>
      <c r="AU6" s="37">
        <f>'Company Historical'!AL6</f>
        <v>86.578000000000003</v>
      </c>
      <c r="AV6" s="37">
        <f>'Company Historical'!AN6</f>
        <v>0.47199999999999998</v>
      </c>
      <c r="AW6" s="37">
        <f>'Company Historical'!AP6</f>
        <v>266.959</v>
      </c>
      <c r="AX6" s="37">
        <f>'Company Historical'!AR6</f>
        <v>803.14499999999998</v>
      </c>
      <c r="AY6" s="2">
        <f>'Company Historical'!AS6</f>
        <v>1118.6310000000001</v>
      </c>
      <c r="AZ6" s="11">
        <f>'Company Historical'!$W6</f>
        <v>855429</v>
      </c>
      <c r="BA6" s="84">
        <f>'Company Historical'!AT6</f>
        <v>2546.1410000000001</v>
      </c>
      <c r="BB6" s="84">
        <f t="shared" si="19"/>
        <v>3664.7719999999999</v>
      </c>
      <c r="BC6" s="37">
        <f>'Company Historical'!AU6</f>
        <v>49.642000000000003</v>
      </c>
      <c r="BD6" s="2">
        <f>'Company Historical'!AV6</f>
        <v>321.04300000000001</v>
      </c>
      <c r="BE6" s="2">
        <f>'Company Historical'!AW6</f>
        <v>414.54199999999997</v>
      </c>
      <c r="BF6" s="37">
        <f t="shared" si="1"/>
        <v>785.22699999999998</v>
      </c>
      <c r="BG6" s="37">
        <f>'Company Historical'!AY6</f>
        <v>1098.8520000000001</v>
      </c>
      <c r="BH6" s="2">
        <f>'Company Historical'!AZ6</f>
        <v>249.43700000000001</v>
      </c>
      <c r="BI6" s="84">
        <f t="shared" si="2"/>
        <v>1348.2890000000002</v>
      </c>
      <c r="BJ6" s="84">
        <f>'Company Historical'!BB6</f>
        <v>0</v>
      </c>
      <c r="BK6" s="99">
        <f>'Company Historical'!BK6</f>
        <v>0</v>
      </c>
      <c r="BL6" s="6">
        <f>'Company Historical'!BA6</f>
        <v>2334.4009999999998</v>
      </c>
      <c r="BM6" s="6">
        <f t="shared" si="3"/>
        <v>2334.4009999999994</v>
      </c>
      <c r="BN6" s="84">
        <f t="shared" si="20"/>
        <v>305.64266200000003</v>
      </c>
      <c r="BO6" s="2">
        <f>'Company Historical'!BC6</f>
        <v>118.786</v>
      </c>
      <c r="BP6" s="99">
        <f>'Company Historical'!$BD6</f>
        <v>-565.47500000000002</v>
      </c>
      <c r="BQ6" s="104">
        <v>74.984999999999999</v>
      </c>
      <c r="BR6" s="106">
        <v>-99.703000000000003</v>
      </c>
      <c r="BS6" s="37">
        <v>-367.279</v>
      </c>
      <c r="BT6" s="2">
        <v>1.8720000000000001</v>
      </c>
      <c r="BU6" s="37">
        <f t="shared" si="21"/>
        <v>-297.399</v>
      </c>
      <c r="BV6" s="2">
        <v>-662.80600000000004</v>
      </c>
      <c r="BW6" s="2">
        <v>0</v>
      </c>
      <c r="BX6" s="2">
        <v>252.06299999999999</v>
      </c>
      <c r="BY6" s="2">
        <v>0</v>
      </c>
      <c r="BZ6" s="2">
        <v>-368.59</v>
      </c>
      <c r="CA6" s="37">
        <v>-116.527</v>
      </c>
      <c r="CB6" s="84">
        <v>449.13600000000002</v>
      </c>
      <c r="CC6" s="106">
        <f t="shared" si="22"/>
        <v>-466.98199999999997</v>
      </c>
      <c r="CD6" s="105"/>
    </row>
    <row r="7" spans="1:82">
      <c r="A7" s="2">
        <v>2016</v>
      </c>
      <c r="B7" s="12">
        <v>20362</v>
      </c>
      <c r="C7" s="12">
        <f t="shared" si="4"/>
        <v>203.62</v>
      </c>
      <c r="D7" s="13">
        <v>25.6</v>
      </c>
      <c r="E7" s="14">
        <v>7400</v>
      </c>
      <c r="F7" s="14">
        <f t="shared" si="5"/>
        <v>74</v>
      </c>
      <c r="G7" s="32">
        <f t="shared" si="6"/>
        <v>0.36342206070130634</v>
      </c>
      <c r="H7" s="15">
        <f>'Company Historical'!E7/('Industry+Forecast'!E7*10000)</f>
        <v>3.2015486486486486E-2</v>
      </c>
      <c r="I7" s="11">
        <f>'Company Historical'!E7</f>
        <v>2369146</v>
      </c>
      <c r="J7" s="11">
        <f>'Company Historical'!C7</f>
        <v>7600</v>
      </c>
      <c r="K7" s="11">
        <f>'Company Historical'!I7</f>
        <v>962916</v>
      </c>
      <c r="L7" s="16">
        <f>'Company Historical'!N7</f>
        <v>0.52380879496644017</v>
      </c>
      <c r="M7" s="11">
        <f>'Company Historical'!L7</f>
        <v>519386</v>
      </c>
      <c r="N7" s="16">
        <f>'Company Historical'!P7</f>
        <v>0.1081419211817254</v>
      </c>
      <c r="O7" s="11">
        <f>'Company Historical'!O7</f>
        <v>256204</v>
      </c>
      <c r="P7" s="11">
        <f t="shared" si="7"/>
        <v>775590</v>
      </c>
      <c r="Q7" s="17">
        <f>'Company Historical'!Q7</f>
        <v>0.53400000000000003</v>
      </c>
      <c r="R7" s="18">
        <f t="shared" si="8"/>
        <v>414165.06</v>
      </c>
      <c r="S7" s="18">
        <f>'Company Historical'!V7</f>
        <v>877962</v>
      </c>
      <c r="T7" s="39">
        <f t="shared" si="9"/>
        <v>1064263</v>
      </c>
      <c r="U7" s="11">
        <f>'Company Historical'!AB7</f>
        <v>703131</v>
      </c>
      <c r="V7" s="11">
        <f>'Company Historical'!$AC7</f>
        <v>361132</v>
      </c>
      <c r="W7" s="7">
        <f>'Company Historical'!Y7</f>
        <v>0.19913276428820381</v>
      </c>
      <c r="X7" s="11">
        <f>'Company Historical'!X7</f>
        <v>174831</v>
      </c>
      <c r="Y7" s="11">
        <f>'Company Historical'!R7</f>
        <v>0</v>
      </c>
      <c r="Z7" s="7">
        <f>'Company Historical'!T7</f>
        <v>0</v>
      </c>
      <c r="AA7" s="11">
        <f>'Company Historical'!S7</f>
        <v>0</v>
      </c>
      <c r="AB7" s="18">
        <f t="shared" si="10"/>
        <v>1653552</v>
      </c>
      <c r="AC7" s="11">
        <f t="shared" si="11"/>
        <v>588996.06000000006</v>
      </c>
      <c r="AD7" s="34">
        <f t="shared" si="12"/>
        <v>0.35620050654590846</v>
      </c>
      <c r="AE7" s="11">
        <f t="shared" si="13"/>
        <v>775590</v>
      </c>
      <c r="AF7" s="11">
        <f t="shared" si="14"/>
        <v>414165.06</v>
      </c>
      <c r="AG7" s="7">
        <f t="shared" si="15"/>
        <v>0.53400000000000003</v>
      </c>
      <c r="AH7" s="11">
        <f>'Company Historical'!AD7</f>
        <v>122904</v>
      </c>
      <c r="AI7" s="6">
        <f t="shared" si="0"/>
        <v>547059.06000000006</v>
      </c>
      <c r="AJ7" s="11">
        <f t="shared" si="16"/>
        <v>652686</v>
      </c>
      <c r="AK7" s="11">
        <f>'Company Historical'!$AE7</f>
        <v>80967</v>
      </c>
      <c r="AL7" s="11">
        <f>'Company Historical'!AG7</f>
        <v>84905</v>
      </c>
      <c r="AM7" s="11">
        <f t="shared" si="17"/>
        <v>462154.06000000006</v>
      </c>
      <c r="AN7" s="6">
        <v>62774.525805133999</v>
      </c>
      <c r="AO7" s="45">
        <f>'Company Historical'!AH7</f>
        <v>0</v>
      </c>
      <c r="AP7" s="6">
        <f>'Company Historical'!AI7</f>
        <v>0</v>
      </c>
      <c r="AQ7" s="11">
        <f t="shared" si="18"/>
        <v>399379.53419486608</v>
      </c>
      <c r="AR7" s="2">
        <v>2034235.294</v>
      </c>
      <c r="AS7" s="42">
        <f t="shared" si="23"/>
        <v>0.19632907529076923</v>
      </c>
      <c r="AT7" s="37">
        <f>'Company Historical'!AJ7</f>
        <v>618.95299999999997</v>
      </c>
      <c r="AU7" s="37">
        <f>'Company Historical'!AL7</f>
        <v>114.334</v>
      </c>
      <c r="AV7" s="37">
        <f>'Company Historical'!AN7</f>
        <v>0.76100000000000001</v>
      </c>
      <c r="AW7" s="37">
        <f>'Company Historical'!AP7</f>
        <v>238.215</v>
      </c>
      <c r="AX7" s="37">
        <f>'Company Historical'!AR7</f>
        <v>972.26300000000003</v>
      </c>
      <c r="AY7" s="2">
        <f>'Company Historical'!AS7</f>
        <v>1342.152</v>
      </c>
      <c r="AZ7" s="11">
        <f>'Company Historical'!$W7</f>
        <v>1733391</v>
      </c>
      <c r="BA7" s="84">
        <f>'Company Historical'!AT7</f>
        <v>3746.489</v>
      </c>
      <c r="BB7" s="84">
        <f t="shared" si="19"/>
        <v>5088.6409999999996</v>
      </c>
      <c r="BC7" s="37">
        <f>'Company Historical'!AU7</f>
        <v>64.475999999999999</v>
      </c>
      <c r="BD7" s="2">
        <f>'Company Historical'!AV7</f>
        <v>276.83699999999999</v>
      </c>
      <c r="BE7" s="2">
        <f>'Company Historical'!AW7</f>
        <v>517.33900000000006</v>
      </c>
      <c r="BF7" s="37">
        <f t="shared" si="1"/>
        <v>858.65200000000004</v>
      </c>
      <c r="BG7" s="37">
        <f>'Company Historical'!AY7</f>
        <v>2042.4839999999999</v>
      </c>
      <c r="BH7" s="2">
        <f>'Company Historical'!AZ7</f>
        <v>436.72500000000002</v>
      </c>
      <c r="BI7" s="84">
        <f t="shared" si="2"/>
        <v>2479.2089999999998</v>
      </c>
      <c r="BJ7" s="84">
        <f>'Company Historical'!BB7</f>
        <v>0</v>
      </c>
      <c r="BK7" s="99">
        <f>'Company Historical'!BK7</f>
        <v>-22.376999999999999</v>
      </c>
      <c r="BL7" s="6">
        <f>'Company Historical'!BA7</f>
        <v>2723.0430000000001</v>
      </c>
      <c r="BM7" s="6">
        <f t="shared" si="3"/>
        <v>2723.0429999999997</v>
      </c>
      <c r="BN7" s="84">
        <f t="shared" si="20"/>
        <v>399.3795341948661</v>
      </c>
      <c r="BO7" s="2">
        <f>'Company Historical'!BC7</f>
        <v>151.09100000000001</v>
      </c>
      <c r="BP7" s="99">
        <f>'Company Historical'!$BD7</f>
        <v>-837.149</v>
      </c>
      <c r="BQ7" s="104">
        <v>146.81899999999999</v>
      </c>
      <c r="BR7" s="106">
        <v>-139.221</v>
      </c>
      <c r="BS7" s="37">
        <v>-381.26100000000002</v>
      </c>
      <c r="BT7" s="2">
        <v>0.36899999999999999</v>
      </c>
      <c r="BU7" s="37">
        <f t="shared" si="21"/>
        <v>-258.85600000000005</v>
      </c>
      <c r="BV7" s="2">
        <v>-639.74800000000005</v>
      </c>
      <c r="BW7" s="2">
        <v>-22.376999999999999</v>
      </c>
      <c r="BX7" s="2">
        <v>968.64700000000016</v>
      </c>
      <c r="BY7" s="2">
        <v>111.39700000000001</v>
      </c>
      <c r="BZ7" s="2">
        <v>-108.881</v>
      </c>
      <c r="CA7" s="37">
        <v>948.78599999999994</v>
      </c>
      <c r="CB7" s="84">
        <v>618.95299999999997</v>
      </c>
      <c r="CC7" s="106">
        <f t="shared" si="22"/>
        <v>-520.48199999999997</v>
      </c>
      <c r="CD7" s="105"/>
    </row>
    <row r="8" spans="1:82">
      <c r="A8" s="2">
        <v>2017</v>
      </c>
      <c r="B8" s="12">
        <v>21521</v>
      </c>
      <c r="C8" s="12">
        <f t="shared" si="4"/>
        <v>215.21</v>
      </c>
      <c r="D8" s="13">
        <v>29.8</v>
      </c>
      <c r="E8" s="14">
        <v>8500</v>
      </c>
      <c r="F8" s="14">
        <f t="shared" si="5"/>
        <v>85</v>
      </c>
      <c r="G8" s="32">
        <f t="shared" si="6"/>
        <v>0.3949630593373914</v>
      </c>
      <c r="H8" s="15">
        <f>'Company Historical'!E8/('Industry+Forecast'!E8*10000)</f>
        <v>4.1496717647058826E-2</v>
      </c>
      <c r="I8" s="11">
        <f>'Company Historical'!E8</f>
        <v>3527221</v>
      </c>
      <c r="J8" s="11">
        <f>'Company Historical'!C8</f>
        <v>12840</v>
      </c>
      <c r="K8" s="11">
        <f>'Company Historical'!I8</f>
        <v>1452328</v>
      </c>
      <c r="L8" s="16">
        <f>'Company Historical'!N8</f>
        <v>0.51592079999748608</v>
      </c>
      <c r="M8" s="11">
        <f>'Company Historical'!L8</f>
        <v>772609</v>
      </c>
      <c r="N8" s="16">
        <f>'Company Historical'!P8</f>
        <v>8.6913181793825789E-2</v>
      </c>
      <c r="O8" s="11">
        <f>'Company Historical'!O8</f>
        <v>306562</v>
      </c>
      <c r="P8" s="11">
        <f t="shared" si="7"/>
        <v>1079171</v>
      </c>
      <c r="Q8" s="17">
        <f>'Company Historical'!Q8</f>
        <v>0.51400000000000001</v>
      </c>
      <c r="R8" s="18">
        <f t="shared" si="8"/>
        <v>554693.89399999997</v>
      </c>
      <c r="S8" s="18">
        <f>'Company Historical'!V8</f>
        <v>1318360</v>
      </c>
      <c r="T8" s="39">
        <f t="shared" si="9"/>
        <v>1578867</v>
      </c>
      <c r="U8" s="11">
        <f>'Company Historical'!AB8</f>
        <v>1054877</v>
      </c>
      <c r="V8" s="11">
        <f>'Company Historical'!$AC8</f>
        <v>523990</v>
      </c>
      <c r="W8" s="7">
        <f>'Company Historical'!Y8</f>
        <v>0.19985512303164538</v>
      </c>
      <c r="X8" s="11">
        <f>'Company Historical'!X8</f>
        <v>263481</v>
      </c>
      <c r="Y8" s="11">
        <f>'Company Historical'!R8</f>
        <v>0</v>
      </c>
      <c r="Z8" s="7">
        <f>'Company Historical'!T8</f>
        <v>0</v>
      </c>
      <c r="AA8" s="11">
        <f>'Company Historical'!S8</f>
        <v>0</v>
      </c>
      <c r="AB8" s="18">
        <f t="shared" si="10"/>
        <v>2397531</v>
      </c>
      <c r="AC8" s="11">
        <f t="shared" si="11"/>
        <v>818174.89399999997</v>
      </c>
      <c r="AD8" s="34">
        <f t="shared" si="12"/>
        <v>0.34125727425422236</v>
      </c>
      <c r="AE8" s="11">
        <f t="shared" si="13"/>
        <v>1079171</v>
      </c>
      <c r="AF8" s="11">
        <f t="shared" si="14"/>
        <v>554693.89399999997</v>
      </c>
      <c r="AG8" s="7">
        <f t="shared" si="15"/>
        <v>0.51400000000000001</v>
      </c>
      <c r="AH8" s="11">
        <f>'Company Historical'!AD8</f>
        <v>164701</v>
      </c>
      <c r="AI8" s="6">
        <f t="shared" si="0"/>
        <v>748663.89399999997</v>
      </c>
      <c r="AJ8" s="11">
        <f t="shared" si="16"/>
        <v>914470</v>
      </c>
      <c r="AK8" s="11">
        <f>'Company Historical'!$AE8</f>
        <v>95190</v>
      </c>
      <c r="AL8" s="11">
        <f>'Company Historical'!AG8</f>
        <v>105572</v>
      </c>
      <c r="AM8" s="11">
        <f t="shared" si="17"/>
        <v>643091.89399999997</v>
      </c>
      <c r="AN8" s="6">
        <v>80923.415963181003</v>
      </c>
      <c r="AO8" s="45">
        <f>'Company Historical'!AH8</f>
        <v>0</v>
      </c>
      <c r="AP8" s="6">
        <f>'Company Historical'!AI8</f>
        <v>0</v>
      </c>
      <c r="AQ8" s="11">
        <f t="shared" si="18"/>
        <v>562168.47803681903</v>
      </c>
      <c r="AR8" s="2">
        <v>2455332.1689999998</v>
      </c>
      <c r="AS8" s="42">
        <f t="shared" si="23"/>
        <v>0.22895821800998001</v>
      </c>
      <c r="AT8" s="37">
        <f>'Company Historical'!AJ8</f>
        <v>1347.8030000000001</v>
      </c>
      <c r="AU8" s="37">
        <f>'Company Historical'!AL8</f>
        <v>260.19099999999997</v>
      </c>
      <c r="AV8" s="37">
        <f>'Company Historical'!AN8</f>
        <v>2.3140000000000001</v>
      </c>
      <c r="AW8" s="37">
        <f>'Company Historical'!AP8</f>
        <v>361.26600000000002</v>
      </c>
      <c r="AX8" s="37">
        <f>'Company Historical'!AR8</f>
        <v>1971.5740000000003</v>
      </c>
      <c r="AY8" s="2">
        <f>'Company Historical'!AS8</f>
        <v>1665.7270000000001</v>
      </c>
      <c r="AZ8" s="11">
        <f>'Company Historical'!$W8</f>
        <v>3051751</v>
      </c>
      <c r="BA8" s="84">
        <f>'Company Historical'!AT8</f>
        <v>5621.6360000000004</v>
      </c>
      <c r="BB8" s="84">
        <f t="shared" si="19"/>
        <v>7287.3630000000003</v>
      </c>
      <c r="BC8" s="37">
        <f>'Company Historical'!AU8</f>
        <v>113.078</v>
      </c>
      <c r="BD8" s="2">
        <f>'Company Historical'!AV8</f>
        <v>362.798</v>
      </c>
      <c r="BE8" s="2">
        <f>'Company Historical'!AW8</f>
        <v>559.80600000000004</v>
      </c>
      <c r="BF8" s="37">
        <f t="shared" si="1"/>
        <v>1035.682</v>
      </c>
      <c r="BG8" s="37">
        <f>'Company Historical'!AY8</f>
        <v>2797.0610000000001</v>
      </c>
      <c r="BH8" s="2">
        <f>'Company Historical'!AZ8</f>
        <v>535.88800000000003</v>
      </c>
      <c r="BI8" s="84">
        <f t="shared" si="2"/>
        <v>3332.9490000000001</v>
      </c>
      <c r="BJ8" s="84">
        <f>'Company Historical'!BB8</f>
        <v>0</v>
      </c>
      <c r="BK8" s="99">
        <f>'Company Historical'!BK8</f>
        <v>-71.203999999999994</v>
      </c>
      <c r="BL8" s="6">
        <f>'Company Historical'!BA8</f>
        <v>4890.3059999999996</v>
      </c>
      <c r="BM8" s="6">
        <f t="shared" si="3"/>
        <v>4890.3059999999987</v>
      </c>
      <c r="BN8" s="84">
        <f t="shared" si="20"/>
        <v>562.16847803681901</v>
      </c>
      <c r="BO8" s="2">
        <f>'Company Historical'!BC8</f>
        <v>188.191</v>
      </c>
      <c r="BP8" s="99">
        <f>'Company Historical'!$BD8</f>
        <v>-1267.645</v>
      </c>
      <c r="BQ8" s="104">
        <v>-276.29399999999998</v>
      </c>
      <c r="BR8" s="106">
        <v>-791.50099999999998</v>
      </c>
      <c r="BS8" s="37">
        <v>-291.39699999999999</v>
      </c>
      <c r="BT8" s="2">
        <v>1.6990000000000001</v>
      </c>
      <c r="BU8" s="37">
        <f t="shared" si="21"/>
        <v>-300.85300000000001</v>
      </c>
      <c r="BV8" s="2">
        <v>-590.55100000000004</v>
      </c>
      <c r="BW8" s="2">
        <v>-71.203999999999994</v>
      </c>
      <c r="BX8" s="2">
        <v>1108.9669999999999</v>
      </c>
      <c r="BY8" s="2">
        <v>1018.013</v>
      </c>
      <c r="BZ8" s="2">
        <v>55.125999999999998</v>
      </c>
      <c r="CA8" s="37">
        <v>2110.902</v>
      </c>
      <c r="CB8" s="84">
        <v>1347.8030000000001</v>
      </c>
      <c r="CC8" s="106">
        <f t="shared" si="22"/>
        <v>-1082.8979999999999</v>
      </c>
      <c r="CD8" s="105"/>
    </row>
    <row r="9" spans="1:82">
      <c r="A9" s="2">
        <v>2018</v>
      </c>
      <c r="B9" s="12">
        <v>22802</v>
      </c>
      <c r="C9" s="12">
        <f t="shared" si="4"/>
        <v>228.02</v>
      </c>
      <c r="D9" s="13">
        <v>36.5</v>
      </c>
      <c r="E9" s="14">
        <v>10200</v>
      </c>
      <c r="F9" s="14">
        <f t="shared" si="5"/>
        <v>102</v>
      </c>
      <c r="G9" s="32">
        <f t="shared" si="6"/>
        <v>0.44732918165073238</v>
      </c>
      <c r="H9" s="15">
        <f>'Company Historical'!E9/('Industry+Forecast'!E9*10000)</f>
        <v>4.9349980392156864E-2</v>
      </c>
      <c r="I9" s="11">
        <f>'Company Historical'!E9</f>
        <v>5033698</v>
      </c>
      <c r="J9" s="11">
        <f>'Company Historical'!C9</f>
        <v>14740</v>
      </c>
      <c r="K9" s="11">
        <f>'Company Historical'!I9</f>
        <v>2053530</v>
      </c>
      <c r="L9" s="16">
        <f>'Company Historical'!N9</f>
        <v>0.53323773210101622</v>
      </c>
      <c r="M9" s="11">
        <f>'Company Historical'!L9</f>
        <v>1129326</v>
      </c>
      <c r="N9" s="16">
        <f>'Company Historical'!P9</f>
        <v>8.6291430276508443E-2</v>
      </c>
      <c r="O9" s="11">
        <f>'Company Historical'!O9</f>
        <v>434365</v>
      </c>
      <c r="P9" s="11">
        <f t="shared" si="7"/>
        <v>1563691</v>
      </c>
      <c r="Q9" s="17">
        <f>'Company Historical'!Q9</f>
        <v>0.47899999999999998</v>
      </c>
      <c r="R9" s="18">
        <f t="shared" si="8"/>
        <v>749007.98899999994</v>
      </c>
      <c r="S9" s="18">
        <f>'Company Historical'!V9</f>
        <v>1762113</v>
      </c>
      <c r="T9" s="39">
        <f t="shared" si="9"/>
        <v>2228802</v>
      </c>
      <c r="U9" s="11">
        <f>'Company Historical'!AB9</f>
        <v>1413675</v>
      </c>
      <c r="V9" s="11">
        <f>'Company Historical'!$AC9</f>
        <v>815127</v>
      </c>
      <c r="W9" s="7">
        <f>'Company Historical'!Y9</f>
        <v>0.19778981257161146</v>
      </c>
      <c r="X9" s="11">
        <f>'Company Historical'!X9</f>
        <v>348528</v>
      </c>
      <c r="Y9" s="11">
        <f>'Company Historical'!R9</f>
        <v>0</v>
      </c>
      <c r="Z9" s="7">
        <f>'Company Historical'!T9</f>
        <v>0</v>
      </c>
      <c r="AA9" s="11">
        <f>'Company Historical'!S9</f>
        <v>0</v>
      </c>
      <c r="AB9" s="18">
        <f t="shared" si="10"/>
        <v>3325804</v>
      </c>
      <c r="AC9" s="11">
        <f t="shared" si="11"/>
        <v>1097535.9890000001</v>
      </c>
      <c r="AD9" s="34">
        <f t="shared" si="12"/>
        <v>0.33000621473784986</v>
      </c>
      <c r="AE9" s="11">
        <f t="shared" si="13"/>
        <v>1563691</v>
      </c>
      <c r="AF9" s="11">
        <f t="shared" si="14"/>
        <v>749007.98899999994</v>
      </c>
      <c r="AG9" s="7">
        <f t="shared" si="15"/>
        <v>0.47899999999999998</v>
      </c>
      <c r="AH9" s="11">
        <f>'Company Historical'!AD9</f>
        <v>228299</v>
      </c>
      <c r="AI9" s="6">
        <f t="shared" si="0"/>
        <v>990696.98900000006</v>
      </c>
      <c r="AJ9" s="11">
        <f t="shared" si="16"/>
        <v>1335392</v>
      </c>
      <c r="AK9" s="11">
        <f>'Company Historical'!$AE9</f>
        <v>121460</v>
      </c>
      <c r="AL9" s="11">
        <f>'Company Historical'!AG9</f>
        <v>169990</v>
      </c>
      <c r="AM9" s="11">
        <f t="shared" si="17"/>
        <v>852710.98900000006</v>
      </c>
      <c r="AN9" s="6">
        <v>98458.974999999991</v>
      </c>
      <c r="AO9" s="46">
        <f>'Company Historical'!AH9</f>
        <v>-9</v>
      </c>
      <c r="AP9" s="6">
        <f>'Company Historical'!AI9</f>
        <v>32004</v>
      </c>
      <c r="AQ9" s="11">
        <f t="shared" si="18"/>
        <v>754243.01400000008</v>
      </c>
      <c r="AR9" s="2">
        <v>2454932.1690000002</v>
      </c>
      <c r="AS9" s="42">
        <f t="shared" si="23"/>
        <v>0.30723578578842597</v>
      </c>
      <c r="AT9" s="37">
        <f>'Company Historical'!AJ9</f>
        <v>1317.431</v>
      </c>
      <c r="AU9" s="37">
        <f>'Company Historical'!AL9</f>
        <v>260.32299999999998</v>
      </c>
      <c r="AV9" s="37">
        <f>'Company Historical'!AN9</f>
        <v>5.7249999999999996</v>
      </c>
      <c r="AW9" s="37">
        <f>'Company Historical'!AP9</f>
        <v>437.15</v>
      </c>
      <c r="AX9" s="37">
        <f>'Company Historical'!AR9</f>
        <v>2020.6289999999999</v>
      </c>
      <c r="AY9" s="2">
        <f>'Company Historical'!AS9</f>
        <v>1527.8910000000001</v>
      </c>
      <c r="AZ9" s="11">
        <f>'Company Historical'!$W9</f>
        <v>4813864</v>
      </c>
      <c r="BA9" s="84">
        <f>'Company Historical'!AT9</f>
        <v>7369.732</v>
      </c>
      <c r="BB9" s="84">
        <f t="shared" si="19"/>
        <v>8897.6229999999996</v>
      </c>
      <c r="BC9" s="37">
        <f>'Company Historical'!AU9</f>
        <v>198.73</v>
      </c>
      <c r="BD9" s="2">
        <f>'Company Historical'!AV9</f>
        <v>511.86700000000002</v>
      </c>
      <c r="BE9" s="2">
        <f>'Company Historical'!AW9</f>
        <v>627.73900000000003</v>
      </c>
      <c r="BF9" s="37">
        <f t="shared" si="1"/>
        <v>1338.336</v>
      </c>
      <c r="BG9" s="37">
        <f>'Company Historical'!AY9</f>
        <v>3616.9360000000001</v>
      </c>
      <c r="BH9" s="2">
        <f>'Company Historical'!AZ9</f>
        <v>668.423</v>
      </c>
      <c r="BI9" s="84">
        <f t="shared" si="2"/>
        <v>4285.3590000000004</v>
      </c>
      <c r="BJ9" s="84">
        <f>'Company Historical'!BB9</f>
        <v>1.1100000000000001</v>
      </c>
      <c r="BK9" s="99">
        <f>'Company Historical'!BK9</f>
        <v>-95.757999999999996</v>
      </c>
      <c r="BL9" s="6">
        <f>'Company Historical'!BA9</f>
        <v>5294.5569999999998</v>
      </c>
      <c r="BM9" s="6">
        <f t="shared" si="3"/>
        <v>5294.5570000000007</v>
      </c>
      <c r="BN9" s="84">
        <f t="shared" si="20"/>
        <v>754.24301400000013</v>
      </c>
      <c r="BO9" s="2">
        <f>'Company Historical'!BC9</f>
        <v>283.685</v>
      </c>
      <c r="BP9" s="99">
        <f>'Company Historical'!$BD9</f>
        <v>-1719.8050000000001</v>
      </c>
      <c r="BQ9" s="104">
        <v>362.47800000000001</v>
      </c>
      <c r="BR9" s="106">
        <v>-319.27800000000002</v>
      </c>
      <c r="BS9" s="37">
        <v>-66.744</v>
      </c>
      <c r="BT9" s="2">
        <v>1.024</v>
      </c>
      <c r="BU9" s="37">
        <f t="shared" si="21"/>
        <v>-640.48599999999999</v>
      </c>
      <c r="BV9" s="2">
        <v>-706.20600000000002</v>
      </c>
      <c r="BW9" s="2">
        <v>-95.757999999999996</v>
      </c>
      <c r="BX9" s="2">
        <v>1130.9169999999999</v>
      </c>
      <c r="BY9" s="2">
        <v>-1.61</v>
      </c>
      <c r="BZ9" s="2">
        <v>-38.436999999999998</v>
      </c>
      <c r="CA9" s="37">
        <v>995.11199999999997</v>
      </c>
      <c r="CB9" s="84">
        <v>1317.431</v>
      </c>
      <c r="CC9" s="106">
        <f t="shared" si="22"/>
        <v>-386.02200000000005</v>
      </c>
      <c r="CD9" s="105"/>
    </row>
    <row r="10" spans="1:82">
      <c r="A10" s="2">
        <v>2019</v>
      </c>
      <c r="B10" s="12">
        <v>24206</v>
      </c>
      <c r="C10" s="12">
        <f t="shared" si="4"/>
        <v>242.06</v>
      </c>
      <c r="D10" s="13">
        <v>45.6</v>
      </c>
      <c r="E10" s="14">
        <v>12200</v>
      </c>
      <c r="F10" s="14">
        <f t="shared" si="5"/>
        <v>122</v>
      </c>
      <c r="G10" s="32">
        <f t="shared" si="6"/>
        <v>0.50400727092456421</v>
      </c>
      <c r="H10" s="15">
        <f>'Company Historical'!E10/('Industry+Forecast'!E10*10000)</f>
        <v>4.8459016393442626E-2</v>
      </c>
      <c r="I10" s="11">
        <f>'Company Historical'!E10</f>
        <v>5912000</v>
      </c>
      <c r="J10" s="11">
        <f>'Company Historical'!C10</f>
        <v>15890</v>
      </c>
      <c r="K10" s="11">
        <f>'Company Historical'!I10</f>
        <v>2355931</v>
      </c>
      <c r="L10" s="16">
        <f>'Company Historical'!N10</f>
        <v>0.5208367229989499</v>
      </c>
      <c r="M10" s="11">
        <f>'Company Historical'!L10</f>
        <v>1263882</v>
      </c>
      <c r="N10" s="16">
        <f>'Company Historical'!P10</f>
        <v>8.3394451962110955E-2</v>
      </c>
      <c r="O10" s="11">
        <f>'Company Historical'!O10</f>
        <v>493028</v>
      </c>
      <c r="P10" s="11">
        <f t="shared" si="7"/>
        <v>1756910</v>
      </c>
      <c r="Q10" s="17">
        <f>'Company Historical'!Q10</f>
        <v>0.47599999999999998</v>
      </c>
      <c r="R10" s="18">
        <f t="shared" si="8"/>
        <v>836289.15999999992</v>
      </c>
      <c r="S10" s="18">
        <f>'Company Historical'!V10</f>
        <v>2089531</v>
      </c>
      <c r="T10" s="39">
        <f t="shared" si="9"/>
        <v>2686690</v>
      </c>
      <c r="U10" s="11">
        <f>'Company Historical'!AB10</f>
        <v>1678408</v>
      </c>
      <c r="V10" s="11">
        <f>'Company Historical'!$AC10</f>
        <v>1008282</v>
      </c>
      <c r="W10" s="7">
        <f>'Company Historical'!Y10</f>
        <v>0.19675372128960997</v>
      </c>
      <c r="X10" s="11">
        <f>'Company Historical'!X10</f>
        <v>411123</v>
      </c>
      <c r="Y10" s="11">
        <f>'Company Historical'!R10</f>
        <v>105775</v>
      </c>
      <c r="Z10" s="7">
        <f>'Company Historical'!T10</f>
        <v>0.17478610257622312</v>
      </c>
      <c r="AA10" s="11">
        <f>'Company Historical'!S10</f>
        <v>18488</v>
      </c>
      <c r="AB10" s="18">
        <f t="shared" si="10"/>
        <v>3952216</v>
      </c>
      <c r="AC10" s="11">
        <f t="shared" si="11"/>
        <v>1265900.1599999999</v>
      </c>
      <c r="AD10" s="34">
        <f t="shared" si="12"/>
        <v>0.3203013600471229</v>
      </c>
      <c r="AE10" s="11">
        <f t="shared" si="13"/>
        <v>1862685</v>
      </c>
      <c r="AF10" s="11">
        <f t="shared" si="14"/>
        <v>854777.15999999992</v>
      </c>
      <c r="AG10" s="7">
        <f t="shared" si="15"/>
        <v>0.45889517551276782</v>
      </c>
      <c r="AH10" s="11">
        <f>'Company Historical'!AD10</f>
        <v>241915</v>
      </c>
      <c r="AI10" s="6">
        <f t="shared" si="0"/>
        <v>1171470.1599999999</v>
      </c>
      <c r="AJ10" s="11">
        <f t="shared" si="16"/>
        <v>1620770</v>
      </c>
      <c r="AK10" s="11">
        <f>'Company Historical'!$AE10</f>
        <v>147485</v>
      </c>
      <c r="AL10" s="11">
        <f>'Company Historical'!AG10</f>
        <v>204183</v>
      </c>
      <c r="AM10" s="11">
        <f t="shared" si="17"/>
        <v>1022057.1599999999</v>
      </c>
      <c r="AN10" s="6">
        <v>129605.25000000001</v>
      </c>
      <c r="AO10" s="45">
        <f>'Company Historical'!AH10</f>
        <v>-571</v>
      </c>
      <c r="AP10" s="6">
        <f>'Company Historical'!AI10</f>
        <v>54770</v>
      </c>
      <c r="AQ10" s="11">
        <f t="shared" si="18"/>
        <v>891880.90999999992</v>
      </c>
      <c r="AR10" s="2">
        <v>2440579.1690000002</v>
      </c>
      <c r="AS10" s="42">
        <f t="shared" si="23"/>
        <v>0.36543822111103164</v>
      </c>
      <c r="AT10" s="37">
        <f>'Company Historical'!AJ10</f>
        <v>1020.327</v>
      </c>
      <c r="AU10" s="37">
        <f>'Company Historical'!AL10</f>
        <v>465.916</v>
      </c>
      <c r="AV10" s="37">
        <f>'Company Historical'!AN10</f>
        <v>6.6189999999999998</v>
      </c>
      <c r="AW10" s="37">
        <f>'Company Historical'!AP10</f>
        <v>674.40200000000004</v>
      </c>
      <c r="AX10" s="37">
        <f>'Company Historical'!AR10</f>
        <v>2167.2640000000001</v>
      </c>
      <c r="AY10" s="2">
        <f>'Company Historical'!AS10</f>
        <v>1444.6489999999999</v>
      </c>
      <c r="AZ10" s="11">
        <f>'Company Historical'!$W10</f>
        <v>6903395</v>
      </c>
      <c r="BA10" s="84">
        <f>'Company Historical'!AT10</f>
        <v>9854.8539999999994</v>
      </c>
      <c r="BB10" s="84">
        <f t="shared" si="19"/>
        <v>11299.502999999999</v>
      </c>
      <c r="BC10" s="37">
        <f>'Company Historical'!AU10</f>
        <v>154.00200000000001</v>
      </c>
      <c r="BD10" s="2">
        <f>'Company Historical'!AV10</f>
        <v>822.23099999999999</v>
      </c>
      <c r="BE10" s="2">
        <f>'Company Historical'!AW10</f>
        <v>1079.17</v>
      </c>
      <c r="BF10" s="37">
        <f t="shared" si="1"/>
        <v>2055.4030000000002</v>
      </c>
      <c r="BG10" s="37">
        <f>'Company Historical'!AY10</f>
        <v>4562.5929999999998</v>
      </c>
      <c r="BH10" s="2">
        <f>'Company Historical'!AZ10</f>
        <v>826.06399999999996</v>
      </c>
      <c r="BI10" s="84">
        <f t="shared" si="2"/>
        <v>5388.6570000000002</v>
      </c>
      <c r="BJ10" s="84">
        <f>'Company Historical'!BB10</f>
        <v>199.44</v>
      </c>
      <c r="BK10" s="99">
        <f>'Company Historical'!BK10</f>
        <v>-144.38200000000001</v>
      </c>
      <c r="BL10" s="6">
        <f>'Company Historical'!BA10</f>
        <v>6022.7070000000003</v>
      </c>
      <c r="BM10" s="6">
        <f t="shared" si="3"/>
        <v>6022.7069999999994</v>
      </c>
      <c r="BN10" s="84">
        <f t="shared" si="20"/>
        <v>891.88090999999997</v>
      </c>
      <c r="BO10" s="2">
        <f>'Company Historical'!BC10</f>
        <v>330.94099999999997</v>
      </c>
      <c r="BP10" s="99">
        <f>'Company Historical'!$BD10</f>
        <v>-2046.7860000000001</v>
      </c>
      <c r="BQ10" s="104">
        <v>191.00800000000001</v>
      </c>
      <c r="BR10" s="106">
        <v>-632.21500000000003</v>
      </c>
      <c r="BS10" s="37">
        <v>-91.626000000000005</v>
      </c>
      <c r="BT10" s="2">
        <v>0.19400000000000001</v>
      </c>
      <c r="BU10" s="37">
        <f t="shared" si="21"/>
        <v>-505.02599999999995</v>
      </c>
      <c r="BV10" s="2">
        <v>-596.45799999999997</v>
      </c>
      <c r="BW10" s="2">
        <v>-144.38200000000001</v>
      </c>
      <c r="BX10" s="2">
        <v>1206.4090000000001</v>
      </c>
      <c r="BY10" s="2">
        <v>-92.816000000000003</v>
      </c>
      <c r="BZ10" s="2">
        <v>-37.642000000000003</v>
      </c>
      <c r="CA10" s="37">
        <v>931.56899999999996</v>
      </c>
      <c r="CB10" s="84">
        <v>1020.327</v>
      </c>
      <c r="CC10" s="106">
        <f t="shared" si="22"/>
        <v>-723.84100000000001</v>
      </c>
      <c r="CD10" s="105"/>
    </row>
    <row r="11" spans="1:82">
      <c r="A11" s="2">
        <v>2020</v>
      </c>
      <c r="B11" s="12">
        <v>23512</v>
      </c>
      <c r="C11" s="12">
        <f t="shared" si="4"/>
        <v>235.12</v>
      </c>
      <c r="D11" s="19">
        <f>3*10^-162*EXP(0.1861*A11)</f>
        <v>54.698004263407633</v>
      </c>
      <c r="E11" s="20">
        <f>B11*G11</f>
        <v>12498.273839999714</v>
      </c>
      <c r="F11" s="20">
        <f>E11/100</f>
        <v>124.98273839999715</v>
      </c>
      <c r="G11" s="36">
        <f>0.040239*A11-80.75121</f>
        <v>0.53156999999998789</v>
      </c>
      <c r="H11" s="22">
        <f>'Company Historical'!E11/('Industry+Forecast'!E11*10000)</f>
        <v>5.7399926516573781E-2</v>
      </c>
      <c r="I11" s="11">
        <f>'Company Historical'!E11</f>
        <v>7174000</v>
      </c>
      <c r="J11" s="11">
        <f>'Company Historical'!C11</f>
        <v>23090</v>
      </c>
      <c r="K11" s="11">
        <f>'Company Historical'!I11</f>
        <v>2795543</v>
      </c>
      <c r="L11" s="16">
        <f>'Company Historical'!N11</f>
        <v>0.51043152494884436</v>
      </c>
      <c r="M11" s="11">
        <f>'Company Historical'!L11</f>
        <v>1470289</v>
      </c>
      <c r="N11" s="16">
        <f>'Company Historical'!P11</f>
        <v>8.2514636186228049E-2</v>
      </c>
      <c r="O11" s="11">
        <f>'Company Historical'!O11</f>
        <v>591960</v>
      </c>
      <c r="P11" s="11">
        <f t="shared" si="7"/>
        <v>2062249</v>
      </c>
      <c r="Q11" s="17">
        <f>'Company Historical'!Q11</f>
        <v>0.47099999999999997</v>
      </c>
      <c r="R11" s="18">
        <f t="shared" si="8"/>
        <v>971319.27899999998</v>
      </c>
      <c r="S11" s="18">
        <f>'Company Historical'!V11</f>
        <v>2803959</v>
      </c>
      <c r="T11" s="39">
        <f t="shared" si="9"/>
        <v>3442782</v>
      </c>
      <c r="U11" s="11">
        <f>'Company Historical'!AB11</f>
        <v>2254396</v>
      </c>
      <c r="V11" s="11">
        <f>'Company Historical'!$AC11</f>
        <v>1188386</v>
      </c>
      <c r="W11" s="7">
        <f>'Company Historical'!Y11</f>
        <v>0.19599573317584174</v>
      </c>
      <c r="X11" s="11">
        <f>'Company Historical'!X11</f>
        <v>549564</v>
      </c>
      <c r="Y11" s="11">
        <f>'Company Historical'!R11</f>
        <v>121698</v>
      </c>
      <c r="Z11" s="7">
        <f>'Company Historical'!T11</f>
        <v>0.19711909809528505</v>
      </c>
      <c r="AA11" s="11">
        <f>'Company Historical'!S11</f>
        <v>23989</v>
      </c>
      <c r="AB11" s="18">
        <f t="shared" si="10"/>
        <v>4987906</v>
      </c>
      <c r="AC11" s="11">
        <f t="shared" si="11"/>
        <v>1544872.2790000001</v>
      </c>
      <c r="AD11" s="34">
        <f t="shared" si="12"/>
        <v>0.30972361528064085</v>
      </c>
      <c r="AE11" s="11">
        <f t="shared" si="13"/>
        <v>2183947</v>
      </c>
      <c r="AF11" s="11">
        <f t="shared" si="14"/>
        <v>995308.27899999998</v>
      </c>
      <c r="AG11" s="7">
        <f t="shared" si="15"/>
        <v>0.45573829355749018</v>
      </c>
      <c r="AH11" s="11">
        <f>'Company Historical'!AD11</f>
        <v>325363</v>
      </c>
      <c r="AI11" s="6">
        <f t="shared" si="0"/>
        <v>1479104.2790000001</v>
      </c>
      <c r="AJ11" s="11">
        <f t="shared" si="16"/>
        <v>1858584</v>
      </c>
      <c r="AK11" s="11">
        <f>'Company Historical'!$AE11</f>
        <v>259595</v>
      </c>
      <c r="AL11" s="11">
        <f>'Company Historical'!AG11</f>
        <v>340642</v>
      </c>
      <c r="AM11" s="11">
        <f t="shared" si="17"/>
        <v>1256657.2790000001</v>
      </c>
      <c r="AN11" s="6">
        <v>199960.25</v>
      </c>
      <c r="AO11" s="45">
        <f>'Company Historical'!AH11</f>
        <v>3393</v>
      </c>
      <c r="AP11" s="6">
        <f>'Company Historical'!AI11</f>
        <v>118195</v>
      </c>
      <c r="AQ11" s="11">
        <f t="shared" si="18"/>
        <v>1060090.0290000001</v>
      </c>
      <c r="AR11" s="2">
        <v>2439541.1690000002</v>
      </c>
      <c r="AS11" s="42">
        <f t="shared" si="23"/>
        <v>0.43454484083765016</v>
      </c>
      <c r="AT11" s="37">
        <f>'Company Historical'!AJ11</f>
        <v>1769.598</v>
      </c>
      <c r="AU11" s="37">
        <f>'Company Historical'!AL11</f>
        <v>699.03099999999995</v>
      </c>
      <c r="AV11" s="37">
        <f>'Company Historical'!AN11</f>
        <v>15.353</v>
      </c>
      <c r="AW11" s="37">
        <f>'Company Historical'!AP11</f>
        <v>885.072</v>
      </c>
      <c r="AX11" s="37">
        <f>'Company Historical'!AR11</f>
        <v>3369.0540000000001</v>
      </c>
      <c r="AY11" s="2">
        <f>'Company Historical'!AS11</f>
        <v>1478.7049999999999</v>
      </c>
      <c r="AZ11" s="11">
        <f>'Company Historical'!$W11</f>
        <v>9707354</v>
      </c>
      <c r="BA11" s="84">
        <f>'Company Historical'!AT11</f>
        <v>14174.075999999999</v>
      </c>
      <c r="BB11" s="84">
        <f t="shared" si="19"/>
        <v>15652.780999999999</v>
      </c>
      <c r="BC11" s="37">
        <f>'Company Historical'!AU11</f>
        <v>185.83099999999999</v>
      </c>
      <c r="BD11" s="2">
        <f>'Company Historical'!AV11</f>
        <v>823.70699999999999</v>
      </c>
      <c r="BE11" s="2">
        <f>'Company Historical'!AW11</f>
        <v>1297.135</v>
      </c>
      <c r="BF11" s="37">
        <f t="shared" si="1"/>
        <v>2306.6729999999998</v>
      </c>
      <c r="BG11" s="37">
        <f>'Company Historical'!AY11</f>
        <v>8357.65</v>
      </c>
      <c r="BH11" s="2">
        <f>'Company Historical'!AZ11</f>
        <v>938.09100000000001</v>
      </c>
      <c r="BI11" s="84">
        <f t="shared" si="2"/>
        <v>9295.741</v>
      </c>
      <c r="BJ11" s="84">
        <f>'Company Historical'!BB11</f>
        <v>284.815</v>
      </c>
      <c r="BK11" s="99">
        <f>'Company Historical'!BK11</f>
        <v>-190.285</v>
      </c>
      <c r="BL11" s="6">
        <f>'Company Historical'!BA11</f>
        <v>7419.4210000000003</v>
      </c>
      <c r="BM11" s="6">
        <f t="shared" si="3"/>
        <v>7419.4210000000003</v>
      </c>
      <c r="BN11" s="84">
        <f t="shared" si="20"/>
        <v>1060.0900290000002</v>
      </c>
      <c r="BO11" s="2">
        <f>'Company Historical'!BC11</f>
        <v>453.27499999999998</v>
      </c>
      <c r="BP11" s="99">
        <f>'Company Historical'!$BD11</f>
        <v>-2882.835</v>
      </c>
      <c r="BQ11" s="104">
        <v>-740.29200000000003</v>
      </c>
      <c r="BR11" s="106">
        <v>-2116.0619999999999</v>
      </c>
      <c r="BS11" s="37">
        <v>-69.814999999999998</v>
      </c>
      <c r="BT11" s="2">
        <v>0.51600000000000001</v>
      </c>
      <c r="BU11" s="37">
        <f t="shared" si="21"/>
        <v>-137.614</v>
      </c>
      <c r="BV11" s="2">
        <v>-206.91300000000001</v>
      </c>
      <c r="BW11" s="2">
        <v>-190.285</v>
      </c>
      <c r="BX11" s="2">
        <v>3144.2350000000001</v>
      </c>
      <c r="BY11" s="2">
        <v>0</v>
      </c>
      <c r="BZ11" s="2">
        <v>118.29600000000001</v>
      </c>
      <c r="CA11" s="37">
        <v>3072.2460000000001</v>
      </c>
      <c r="CB11" s="84">
        <v>1769.598</v>
      </c>
      <c r="CC11" s="106">
        <f t="shared" si="22"/>
        <v>-2185.877</v>
      </c>
      <c r="CD11" s="105"/>
    </row>
    <row r="12" spans="1:82">
      <c r="A12" s="23">
        <v>2021</v>
      </c>
      <c r="B12" s="24">
        <f>933.01*2021-1860461.72</f>
        <v>25151.489999999991</v>
      </c>
      <c r="C12" s="12">
        <f t="shared" si="4"/>
        <v>251.5148999999999</v>
      </c>
      <c r="D12" s="19">
        <f t="shared" ref="D12:D16" si="24">3*10^-162*EXP(0.1861*A12)</f>
        <v>65.886082211881089</v>
      </c>
      <c r="E12" s="20">
        <f t="shared" ref="E12:E15" si="25">B12*G12</f>
        <v>14381.848345409682</v>
      </c>
      <c r="F12" s="20">
        <f t="shared" si="5"/>
        <v>143.81848345409682</v>
      </c>
      <c r="G12" s="36">
        <f t="shared" ref="G12:G16" si="26">0.040239*A12-80.75121</f>
        <v>0.57180899999998758</v>
      </c>
      <c r="H12" s="22">
        <f>'Company Historical'!E12/('Industry+Forecast'!E12*10000)</f>
        <v>7.699674432691675E-2</v>
      </c>
      <c r="I12" s="11">
        <f>'Company Historical'!E12</f>
        <v>11073555</v>
      </c>
      <c r="J12" s="11">
        <f>'Company Historical'!C12</f>
        <v>35240</v>
      </c>
      <c r="K12" s="11">
        <f>'Company Historical'!I12</f>
        <v>4375466</v>
      </c>
      <c r="L12" s="16">
        <f>'Company Historical'!N12</f>
        <v>0.47443980009086772</v>
      </c>
      <c r="M12" s="11">
        <f>'Company Historical'!L12</f>
        <v>2119197</v>
      </c>
      <c r="N12" s="16">
        <f>'Company Historical'!P12</f>
        <v>7.9294047846423299E-2</v>
      </c>
      <c r="O12" s="11">
        <f>'Company Historical'!O12</f>
        <v>878067</v>
      </c>
      <c r="P12" s="11">
        <f t="shared" si="7"/>
        <v>2997264</v>
      </c>
      <c r="Q12" s="17">
        <f>'Company Historical'!Q12</f>
        <v>0.499</v>
      </c>
      <c r="R12" s="18">
        <f>Q12*P12</f>
        <v>1495634.736</v>
      </c>
      <c r="S12" s="18">
        <f>'Company Historical'!V12</f>
        <v>3630158</v>
      </c>
      <c r="T12" s="39">
        <f t="shared" si="9"/>
        <v>4684292</v>
      </c>
      <c r="U12" s="11">
        <f>'Company Historical'!AB12</f>
        <v>3052412</v>
      </c>
      <c r="V12" s="11">
        <f>'Company Historical'!$AC12</f>
        <v>1631880</v>
      </c>
      <c r="W12" s="7">
        <f>'Company Historical'!Y12</f>
        <v>0.15915175041967869</v>
      </c>
      <c r="X12" s="11">
        <f>'Company Historical'!X12</f>
        <v>577746</v>
      </c>
      <c r="Y12" s="11">
        <f>'Company Historical'!R12</f>
        <v>167149</v>
      </c>
      <c r="Z12" s="7">
        <f>'Company Historical'!T12</f>
        <v>0.21534678640015795</v>
      </c>
      <c r="AA12" s="11">
        <f>'Company Historical'!S12</f>
        <v>35995</v>
      </c>
      <c r="AB12" s="18">
        <f t="shared" si="10"/>
        <v>6794571</v>
      </c>
      <c r="AC12" s="11">
        <f>SUM(AA12,X12,R12)</f>
        <v>2109375.736</v>
      </c>
      <c r="AD12" s="34">
        <f t="shared" si="12"/>
        <v>0.31045017205648451</v>
      </c>
      <c r="AE12" s="11">
        <f t="shared" si="13"/>
        <v>3164413</v>
      </c>
      <c r="AF12" s="11">
        <f>SUM(AA12,R12)</f>
        <v>1531629.736</v>
      </c>
      <c r="AG12" s="7">
        <f t="shared" si="15"/>
        <v>0.48401701547806814</v>
      </c>
      <c r="AH12" s="11">
        <f>'Company Historical'!AD12</f>
        <v>517952</v>
      </c>
      <c r="AI12" s="6">
        <f>AC12-AH12+AK12</f>
        <v>1861616.736</v>
      </c>
      <c r="AJ12" s="11">
        <f t="shared" si="16"/>
        <v>2646461</v>
      </c>
      <c r="AK12" s="11">
        <f>'Company Historical'!$AE12</f>
        <v>270193</v>
      </c>
      <c r="AL12" s="11">
        <f>'Company Historical'!AG12</f>
        <v>411608</v>
      </c>
      <c r="AM12" s="11">
        <f t="shared" si="17"/>
        <v>1546506.736</v>
      </c>
      <c r="AN12" s="6">
        <v>227784.25</v>
      </c>
      <c r="AO12" s="45">
        <f>'Company Historical'!AH12</f>
        <v>-2828</v>
      </c>
      <c r="AP12" s="6">
        <f>'Company Historical'!AI12</f>
        <v>96498</v>
      </c>
      <c r="AQ12" s="11">
        <f>AM12-AN12+AO12</f>
        <v>1315894.486</v>
      </c>
      <c r="AR12" s="2">
        <v>2439541.1690000002</v>
      </c>
      <c r="AS12" s="42">
        <f t="shared" si="23"/>
        <v>0.53940245105164686</v>
      </c>
      <c r="AT12" s="37">
        <f>'Company Historical'!AJ12</f>
        <v>1704.008</v>
      </c>
      <c r="AU12" s="37">
        <f>'Company Historical'!AL12</f>
        <v>1062.02</v>
      </c>
      <c r="AV12" s="37">
        <f>'Company Historical'!AN12</f>
        <v>22.321000000000002</v>
      </c>
      <c r="AW12" s="37">
        <f>'Company Historical'!AP12</f>
        <v>1223.395</v>
      </c>
      <c r="AX12" s="37">
        <f>'Company Historical'!AR12</f>
        <v>4011.7440000000001</v>
      </c>
      <c r="AY12" s="2">
        <f>'Company Historical'!AS12</f>
        <v>1729.3720000000001</v>
      </c>
      <c r="AZ12" s="11">
        <f>'Company Historical'!$W12</f>
        <v>13337512</v>
      </c>
      <c r="BA12" s="84">
        <f>'Company Historical'!AT12</f>
        <v>18698.554</v>
      </c>
      <c r="BB12" s="84">
        <f t="shared" si="19"/>
        <v>20427.925999999999</v>
      </c>
      <c r="BC12" s="37">
        <f>'Company Historical'!AU12</f>
        <v>261.31299999999999</v>
      </c>
      <c r="BD12" s="2">
        <f>'Company Historical'!AV12</f>
        <v>1430.895</v>
      </c>
      <c r="BE12" s="2">
        <f>'Company Historical'!AW12</f>
        <v>1487.8630000000001</v>
      </c>
      <c r="BF12" s="37">
        <f t="shared" si="1"/>
        <v>3180.0709999999999</v>
      </c>
      <c r="BG12" s="37">
        <f>'Company Historical'!AY12</f>
        <v>11282.224</v>
      </c>
      <c r="BH12" s="2">
        <f>'Company Historical'!AZ12</f>
        <v>1091.44</v>
      </c>
      <c r="BI12" s="84">
        <f t="shared" si="2"/>
        <v>12373.664000000001</v>
      </c>
      <c r="BJ12" s="84">
        <f>'Company Historical'!BB12</f>
        <v>400.40499999999997</v>
      </c>
      <c r="BK12" s="99">
        <f>'Company Historical'!BK12</f>
        <v>-241.51499999999999</v>
      </c>
      <c r="BL12" s="6">
        <f>'Company Historical'!BA12</f>
        <v>8885.9349999999995</v>
      </c>
      <c r="BM12" s="6">
        <f t="shared" si="3"/>
        <v>8885.9349999999977</v>
      </c>
      <c r="BN12" s="84">
        <f>AQ12/1000</f>
        <v>1315.8944860000001</v>
      </c>
      <c r="BO12" s="2">
        <f>'Company Historical'!BC12</f>
        <v>645.572</v>
      </c>
      <c r="BP12" s="99">
        <f>'Company Historical'!$BD12</f>
        <v>-3678.7849999999999</v>
      </c>
      <c r="BQ12" s="104">
        <v>-1081.7570000000001</v>
      </c>
      <c r="BR12" s="106">
        <v>-2792.9749999999999</v>
      </c>
      <c r="BS12" s="37">
        <v>-366.286</v>
      </c>
      <c r="BT12" s="2">
        <v>1.341</v>
      </c>
      <c r="BU12" s="37">
        <f>BV12-BT12-BS12</f>
        <v>-89.187999999999988</v>
      </c>
      <c r="BV12" s="2">
        <v>-454.13299999999998</v>
      </c>
      <c r="BW12" s="2">
        <v>-241.51499999999999</v>
      </c>
      <c r="BX12" s="2">
        <v>3263.9679999999998</v>
      </c>
      <c r="BY12" s="2">
        <v>0</v>
      </c>
      <c r="BZ12" s="2">
        <v>159.065</v>
      </c>
      <c r="CA12" s="37">
        <v>3181.518</v>
      </c>
      <c r="CB12" s="84">
        <v>1704.008</v>
      </c>
      <c r="CC12" s="106">
        <f t="shared" si="22"/>
        <v>-3159.261</v>
      </c>
      <c r="CD12" s="105"/>
    </row>
    <row r="13" spans="1:82">
      <c r="A13" s="23">
        <v>2022</v>
      </c>
      <c r="B13" s="24">
        <f>933.01*2022-1860461.72</f>
        <v>26084.5</v>
      </c>
      <c r="C13" s="12">
        <f t="shared" si="4"/>
        <v>260.84500000000003</v>
      </c>
      <c r="D13" s="19">
        <f>3*10^-162*EXP(0.1861*A13)</f>
        <v>79.362599928254042</v>
      </c>
      <c r="E13" s="20">
        <f t="shared" si="25"/>
        <v>15964.966055999668</v>
      </c>
      <c r="F13" s="20">
        <f t="shared" si="5"/>
        <v>159.64966055999668</v>
      </c>
      <c r="G13" s="36">
        <f t="shared" si="26"/>
        <v>0.61204799999998727</v>
      </c>
      <c r="H13" s="25">
        <f>0.0051382*A13-10.315</f>
        <v>7.4440400000000295E-2</v>
      </c>
      <c r="I13" s="26">
        <f>H13*E13*10000</f>
        <v>11884384.591950424</v>
      </c>
      <c r="J13" s="26">
        <f>0.003182*I13-460.180282</f>
        <v>37355.931489586248</v>
      </c>
      <c r="K13" s="26">
        <f>0.4*'Industry+Forecast'!I13</f>
        <v>4753753.83678017</v>
      </c>
      <c r="L13" s="27">
        <f>-0.008347*'Industry+Forecast'!A13+17.363432</f>
        <v>0.48579799999999906</v>
      </c>
      <c r="M13" s="26">
        <f>L13*K13/0.85</f>
        <v>2716898.9487060336</v>
      </c>
      <c r="N13" s="27">
        <f>-0.001902*A13+3.922823</f>
        <v>7.6979000000000131E-2</v>
      </c>
      <c r="O13" s="26">
        <f>N13*I13</f>
        <v>914848.04150375328</v>
      </c>
      <c r="P13" s="26">
        <f t="shared" si="7"/>
        <v>3631746.9902097872</v>
      </c>
      <c r="Q13" s="28">
        <v>0.5</v>
      </c>
      <c r="R13" s="29">
        <f>Q13*P13</f>
        <v>1815873.4951048936</v>
      </c>
      <c r="S13" s="29">
        <f>1.2114*U13+17699</f>
        <v>894409.22711160686</v>
      </c>
      <c r="T13" s="40">
        <f t="shared" si="9"/>
        <v>2753047.4475988732</v>
      </c>
      <c r="U13" s="26">
        <f>$U$20*(J13-J12)</f>
        <v>723716.54871356022</v>
      </c>
      <c r="V13" s="26">
        <f>0.5735*P13-53476</f>
        <v>2029330.898885313</v>
      </c>
      <c r="W13" s="21">
        <v>0.15</v>
      </c>
      <c r="X13" s="26">
        <f>S13*W13</f>
        <v>134161.38406674101</v>
      </c>
      <c r="Y13" s="26">
        <f>Y12*1.2</f>
        <v>200578.8</v>
      </c>
      <c r="Z13" s="21">
        <v>0.2</v>
      </c>
      <c r="AA13" s="26">
        <f>Y13*0.2</f>
        <v>40115.760000000002</v>
      </c>
      <c r="AB13" s="29">
        <f t="shared" si="10"/>
        <v>4726735.0173213938</v>
      </c>
      <c r="AC13" s="26">
        <f>SUM(AA13,X13,R13)</f>
        <v>1990150.6391716346</v>
      </c>
      <c r="AD13" s="21">
        <f>AC13/AB13</f>
        <v>0.42104129634485804</v>
      </c>
      <c r="AE13" s="26">
        <f t="shared" si="13"/>
        <v>3832325.790209787</v>
      </c>
      <c r="AF13" s="26">
        <f t="shared" si="14"/>
        <v>1855989.2551048936</v>
      </c>
      <c r="AG13" s="21">
        <f t="shared" si="15"/>
        <v>0.48429840172938277</v>
      </c>
      <c r="AH13" s="26">
        <f>0.0453*I13+3544.3</f>
        <v>541906.92201535427</v>
      </c>
      <c r="AI13" s="44">
        <f>AC13-AH13+AK13</f>
        <v>1632311.3515366446</v>
      </c>
      <c r="AJ13" s="26">
        <f t="shared" si="16"/>
        <v>3290418.8681944329</v>
      </c>
      <c r="AK13" s="26">
        <f>0.037951*AB13+4683.313738</f>
        <v>184067.63438036421</v>
      </c>
      <c r="AL13" s="26">
        <f>0.036374*I13-3447.614</f>
        <v>428834.99114760465</v>
      </c>
      <c r="AM13" s="26">
        <f t="shared" si="17"/>
        <v>1308476.3603890399</v>
      </c>
      <c r="AN13" s="40">
        <f>AM13*13.5%</f>
        <v>176644.30865252038</v>
      </c>
      <c r="AO13" s="47">
        <f>'Company Historical'!AH13</f>
        <v>0</v>
      </c>
      <c r="AP13" s="44">
        <v>105000</v>
      </c>
      <c r="AQ13" s="26">
        <f t="shared" si="18"/>
        <v>1131832.0517365194</v>
      </c>
      <c r="AR13" s="24">
        <v>2439541.1690000002</v>
      </c>
      <c r="AS13" s="43">
        <f t="shared" si="23"/>
        <v>0.46395283921380681</v>
      </c>
      <c r="AT13" s="38">
        <v>1548.7987134596485</v>
      </c>
      <c r="AU13" s="38">
        <f>0.000103*I13-113.039061</f>
        <v>1111.0525519708938</v>
      </c>
      <c r="AV13" s="38">
        <f>0.00000235*I13-4.37687</f>
        <v>23.551433791083497</v>
      </c>
      <c r="AW13" s="38">
        <f>14.218*A13*A13-57216.22*A13+57562537.54</f>
        <v>1406.211999990046</v>
      </c>
      <c r="AX13" s="38">
        <f>SUM(AT13:AW13)</f>
        <v>4089.6146992116719</v>
      </c>
      <c r="AY13" s="38">
        <f>118.52*A13-237758</f>
        <v>1889.4400000000023</v>
      </c>
      <c r="AZ13" s="26">
        <f>SUM($S$2:S13)</f>
        <v>14231921.227111608</v>
      </c>
      <c r="BA13" s="43">
        <f>0.001297*AZ13+1345.824567</f>
        <v>19804.626398563756</v>
      </c>
      <c r="BB13" s="87">
        <f t="shared" si="19"/>
        <v>21694.066398563758</v>
      </c>
      <c r="BC13" s="38">
        <f>0.00002565*I13+4.7348996</f>
        <v>309.56936438352841</v>
      </c>
      <c r="BD13" s="43">
        <f>AX13+BB13-BC13-BE13-BI13-BL13</f>
        <v>925.49635846429373</v>
      </c>
      <c r="BE13" s="38">
        <f>181.63*A13-365663</f>
        <v>1592.859999999986</v>
      </c>
      <c r="BF13" s="38">
        <f t="shared" si="1"/>
        <v>2827.9257228478082</v>
      </c>
      <c r="BG13" s="38">
        <f>0.000789*AZ13+316.692475</f>
        <v>11545.678323191058</v>
      </c>
      <c r="BH13" s="24">
        <f>138.61*A13-279036</f>
        <v>1233.4200000000419</v>
      </c>
      <c r="BI13" s="87">
        <f t="shared" si="2"/>
        <v>12779.0983231911</v>
      </c>
      <c r="BJ13" s="87">
        <v>400.40499999999997</v>
      </c>
      <c r="BK13" s="99">
        <v>-241.51499999999999</v>
      </c>
      <c r="BL13" s="44">
        <f>BL12+AQ13/1000+BJ13+BK13</f>
        <v>10176.65705173652</v>
      </c>
      <c r="BM13" s="44">
        <f t="shared" si="3"/>
        <v>10176.65705173652</v>
      </c>
      <c r="BN13" s="84">
        <f t="shared" si="20"/>
        <v>1131.8320517365194</v>
      </c>
      <c r="BO13" s="103">
        <f>0.00004052*AZ13+78.66797597</f>
        <v>655.34542409256233</v>
      </c>
      <c r="BP13" s="99">
        <f>-0.00102*'Industry+Forecast'!S13+39.75878</f>
        <v>-872.53863165383905</v>
      </c>
      <c r="BQ13" s="29">
        <f>BR13-BP13-BO13-BN13</f>
        <v>971.25415902743657</v>
      </c>
      <c r="BR13" s="43">
        <f>CB13-CA13-BV13</f>
        <v>1885.893003202679</v>
      </c>
      <c r="BS13" s="109">
        <f>AVERAGE($BS$8:$BS$12)</f>
        <v>-177.17359999999999</v>
      </c>
      <c r="BT13" s="24">
        <f>AVERAGE($BT$8:$BT$12)</f>
        <v>0.95479999999999998</v>
      </c>
      <c r="BU13" s="109">
        <f>AVERAGE($BU$8:$BU$12)</f>
        <v>-334.63339999999999</v>
      </c>
      <c r="BV13" s="108">
        <f>SUM(BS13:BU13)</f>
        <v>-510.85219999999998</v>
      </c>
      <c r="BW13" s="24">
        <f>-BN13*0.25</f>
        <v>-282.95801293412984</v>
      </c>
      <c r="BX13" s="29">
        <f>BG13+BH13-BG12-BH12</f>
        <v>405.43432319109934</v>
      </c>
      <c r="BY13" s="24">
        <v>0</v>
      </c>
      <c r="BZ13" s="108">
        <f>AVERAGE($BZ$8:$BZ$12)</f>
        <v>51.281600000000005</v>
      </c>
      <c r="CA13" s="38">
        <f>SUM(BW13:BZ13)</f>
        <v>173.7579102569695</v>
      </c>
      <c r="CB13" s="87">
        <v>1548.7987134596485</v>
      </c>
      <c r="CC13" s="110">
        <f t="shared" si="22"/>
        <v>1708.7194032026789</v>
      </c>
      <c r="CD13" s="105"/>
    </row>
    <row r="14" spans="1:82">
      <c r="A14" s="24">
        <v>2023</v>
      </c>
      <c r="B14" s="24">
        <f>933.01*2023-1860461.72</f>
        <v>27017.510000000009</v>
      </c>
      <c r="C14" s="12">
        <f t="shared" si="4"/>
        <v>270.1751000000001</v>
      </c>
      <c r="D14" s="19">
        <f t="shared" si="24"/>
        <v>95.595641081180077</v>
      </c>
      <c r="E14" s="20">
        <f t="shared" si="25"/>
        <v>17623.170545369652</v>
      </c>
      <c r="F14" s="20">
        <f t="shared" si="5"/>
        <v>176.23170545369652</v>
      </c>
      <c r="G14" s="36">
        <f t="shared" si="26"/>
        <v>0.65228699999998696</v>
      </c>
      <c r="H14" s="25">
        <f t="shared" ref="H14:H16" si="27">0.0051382*A14-10.315</f>
        <v>7.9578599999999611E-2</v>
      </c>
      <c r="I14" s="26">
        <f t="shared" ref="I14:I16" si="28">H14*E14*10000</f>
        <v>14024272.395617465</v>
      </c>
      <c r="J14" s="26">
        <f t="shared" ref="J14:J16" si="29">0.003182*I14-460.180282</f>
        <v>44165.054480854771</v>
      </c>
      <c r="K14" s="26">
        <f>0.4*'Industry+Forecast'!I14</f>
        <v>5609708.9582469864</v>
      </c>
      <c r="L14" s="27">
        <f>-0.008347*'Industry+Forecast'!A14+17.363432</f>
        <v>0.47745099999999852</v>
      </c>
      <c r="M14" s="26">
        <f t="shared" ref="M14:M16" si="30">L14*K14/0.85</f>
        <v>3151013.1197929103</v>
      </c>
      <c r="N14" s="27">
        <f t="shared" ref="N14:N16" si="31">-0.001902*A14+3.922823</f>
        <v>7.5077000000000282E-2</v>
      </c>
      <c r="O14" s="26">
        <f t="shared" ref="O14:O16" si="32">N14*I14</f>
        <v>1052900.2986457762</v>
      </c>
      <c r="P14" s="26">
        <f t="shared" si="7"/>
        <v>4203913.4184386861</v>
      </c>
      <c r="Q14" s="28">
        <v>0.5</v>
      </c>
      <c r="R14" s="29">
        <f t="shared" si="8"/>
        <v>2101956.709219343</v>
      </c>
      <c r="S14" s="29">
        <f t="shared" ref="S14:S16" si="33">1.2114*U14+17699</f>
        <v>2838975.4890952115</v>
      </c>
      <c r="T14" s="40">
        <f t="shared" si="9"/>
        <v>4686407.1675772872</v>
      </c>
      <c r="U14" s="26">
        <f t="shared" ref="U14:U16" si="34">$U$20*(J14-J13)</f>
        <v>2328938.8221027004</v>
      </c>
      <c r="V14" s="26">
        <f t="shared" ref="V14:V16" si="35">0.5735*P14-53476</f>
        <v>2357468.3454745864</v>
      </c>
      <c r="W14" s="21">
        <v>0.15</v>
      </c>
      <c r="X14" s="26">
        <f t="shared" ref="X14:X16" si="36">S14*W14</f>
        <v>425846.32336428174</v>
      </c>
      <c r="Y14" s="26">
        <f t="shared" ref="Y14:Y16" si="37">Y13*1.2</f>
        <v>240694.55999999997</v>
      </c>
      <c r="Z14" s="21">
        <v>0.2</v>
      </c>
      <c r="AA14" s="26">
        <f t="shared" ref="AA14:AA16" si="38">Y14*0.2</f>
        <v>48138.911999999997</v>
      </c>
      <c r="AB14" s="29">
        <f t="shared" si="10"/>
        <v>7283583.4675338967</v>
      </c>
      <c r="AC14" s="26">
        <f t="shared" si="11"/>
        <v>2575941.9445836246</v>
      </c>
      <c r="AD14" s="21">
        <f t="shared" si="12"/>
        <v>0.35366409351464423</v>
      </c>
      <c r="AE14" s="26">
        <f t="shared" si="13"/>
        <v>4444607.9784386856</v>
      </c>
      <c r="AF14" s="26">
        <f t="shared" si="14"/>
        <v>2150095.621219343</v>
      </c>
      <c r="AG14" s="21">
        <f t="shared" si="15"/>
        <v>0.48375371498447306</v>
      </c>
      <c r="AH14" s="26">
        <f t="shared" ref="AH14:AH16" si="39">0.0453*I14+3544.3</f>
        <v>638843.83952147118</v>
      </c>
      <c r="AI14" s="44">
        <f t="shared" ref="AI14:AI16" si="40">AC14-AH14+AK14</f>
        <v>2218200.6949765324</v>
      </c>
      <c r="AJ14" s="26">
        <f t="shared" si="16"/>
        <v>3805764.1389172142</v>
      </c>
      <c r="AK14" s="26">
        <f t="shared" ref="AK14:AK16" si="41">0.037951*AB14+4683.313738</f>
        <v>281102.58991437888</v>
      </c>
      <c r="AL14" s="26">
        <f t="shared" ref="AL14:AL16" si="42">0.036374*I14-3447.614</f>
        <v>506671.27011818963</v>
      </c>
      <c r="AM14" s="26">
        <f t="shared" si="17"/>
        <v>1816529.4248583429</v>
      </c>
      <c r="AN14" s="40">
        <f t="shared" ref="AN14:AN16" si="43">AM14*13.5%</f>
        <v>245231.47235587629</v>
      </c>
      <c r="AO14" s="47">
        <f>'Company Historical'!AH14</f>
        <v>0</v>
      </c>
      <c r="AP14" s="44">
        <v>105000</v>
      </c>
      <c r="AQ14" s="26">
        <f t="shared" si="18"/>
        <v>1571297.9525024665</v>
      </c>
      <c r="AR14" s="24">
        <v>2439541.1690000002</v>
      </c>
      <c r="AS14" s="43">
        <f t="shared" si="23"/>
        <v>0.6440956899885244</v>
      </c>
      <c r="AT14" s="38">
        <v>2299.393102935519</v>
      </c>
      <c r="AU14" s="38">
        <f>0.000103*I14-113.039061</f>
        <v>1331.4609957485989</v>
      </c>
      <c r="AV14" s="38">
        <f t="shared" ref="AV14:AV16" si="44">0.00000235*I14-4.37687</f>
        <v>28.580170129701042</v>
      </c>
      <c r="AW14" s="38">
        <f t="shared" ref="AW14:AW16" si="45">14.218*A14*A14-57216.22*A14+57562537.54</f>
        <v>1701.8019999936223</v>
      </c>
      <c r="AX14" s="38">
        <f t="shared" ref="AX14:AX16" si="46">SUM(AT14:AW14)</f>
        <v>5361.2362688074409</v>
      </c>
      <c r="AY14" s="38">
        <f t="shared" ref="AY14:AY16" si="47">118.52*A14-237758</f>
        <v>2007.9599999999919</v>
      </c>
      <c r="AZ14" s="26">
        <f>SUM($S$2:S14)</f>
        <v>17070896.716206819</v>
      </c>
      <c r="BA14" s="43">
        <f t="shared" ref="BA14:BA16" si="48">0.001297*AZ14+1345.824567</f>
        <v>23486.777607920245</v>
      </c>
      <c r="BB14" s="87">
        <f t="shared" si="19"/>
        <v>25494.737607920237</v>
      </c>
      <c r="BC14" s="38">
        <f t="shared" ref="BC14:BC16" si="49">0.00002565*I14+4.7348996</f>
        <v>364.45748654758796</v>
      </c>
      <c r="BD14" s="43">
        <f>AX14+BB14-BC14-BE14-BI14-BL14</f>
        <v>1725.2659923543997</v>
      </c>
      <c r="BE14" s="38">
        <f t="shared" ref="BE14:BE16" si="50">181.63*A14-365663</f>
        <v>1774.4899999999907</v>
      </c>
      <c r="BF14" s="38">
        <f t="shared" si="1"/>
        <v>3864.2134789019783</v>
      </c>
      <c r="BG14" s="38">
        <f t="shared" ref="BG14:BG16" si="51">0.000789*AZ14+316.692475</f>
        <v>13785.62998408718</v>
      </c>
      <c r="BH14" s="24">
        <f t="shared" ref="BH14:BH16" si="52">138.61*A14-279036</f>
        <v>1372.0300000000279</v>
      </c>
      <c r="BI14" s="87">
        <f t="shared" si="2"/>
        <v>15157.659984087208</v>
      </c>
      <c r="BJ14" s="87">
        <v>400.40499999999997</v>
      </c>
      <c r="BK14" s="99">
        <f t="shared" ref="BK14:BK16" si="53">-AQ14/1000*20%</f>
        <v>-314.25959050049335</v>
      </c>
      <c r="BL14" s="44">
        <f t="shared" ref="BL14:BL16" si="54">BL13+AQ14/1000+BJ14+BK14</f>
        <v>11834.100413738493</v>
      </c>
      <c r="BM14" s="44">
        <f t="shared" si="3"/>
        <v>11834.100413738495</v>
      </c>
      <c r="BN14" s="84">
        <f t="shared" si="20"/>
        <v>1571.2979525024666</v>
      </c>
      <c r="BO14" s="103">
        <f t="shared" ref="BO14:BO16" si="55">0.00004052*AZ14+78.66797597</f>
        <v>770.38071091070026</v>
      </c>
      <c r="BP14" s="99">
        <f>-0.00102*'Industry+Forecast'!S14+39.75878</f>
        <v>-2855.996218877116</v>
      </c>
      <c r="BQ14" s="29">
        <f t="shared" ref="BQ14:BQ15" si="56">BR14-BP14-BO14-BN14</f>
        <v>1287.544085628977</v>
      </c>
      <c r="BR14" s="43">
        <f t="shared" ref="BR14:BR16" si="57">CB14-CA14-BV14</f>
        <v>773.2265301650275</v>
      </c>
      <c r="BS14" s="109">
        <f t="shared" ref="BS14:BS15" si="58">AVERAGE($BS$8:$BS$12)</f>
        <v>-177.17359999999999</v>
      </c>
      <c r="BT14" s="24">
        <f t="shared" ref="BT14:BT16" si="59">AVERAGE($BT$8:$BT$12)</f>
        <v>0.95479999999999998</v>
      </c>
      <c r="BU14" s="109">
        <f t="shared" ref="BU14:BU15" si="60">AVERAGE($BU$8:$BU$12)</f>
        <v>-334.63339999999999</v>
      </c>
      <c r="BV14" s="108">
        <f t="shared" ref="BV14:BV15" si="61">SUM(BS14:BU14)</f>
        <v>-510.85219999999998</v>
      </c>
      <c r="BW14" s="24">
        <f>-BN14*0.25</f>
        <v>-392.82448812561665</v>
      </c>
      <c r="BX14" s="29">
        <f t="shared" ref="BX14:BX16" si="62">BG14+BH14-BG13-BH13</f>
        <v>2378.5616608961082</v>
      </c>
      <c r="BY14" s="24">
        <v>0</v>
      </c>
      <c r="BZ14" s="108">
        <f t="shared" ref="BZ14:BZ15" si="63">AVERAGE($BZ$8:$BZ$12)</f>
        <v>51.281600000000005</v>
      </c>
      <c r="CA14" s="38">
        <f t="shared" ref="CA14:CA15" si="64">SUM(BW14:BZ14)</f>
        <v>2037.0187727704915</v>
      </c>
      <c r="CB14" s="87">
        <v>2299.393102935519</v>
      </c>
      <c r="CC14" s="110">
        <f t="shared" si="22"/>
        <v>596.05293016502753</v>
      </c>
    </row>
    <row r="15" spans="1:82">
      <c r="A15" s="24">
        <v>2024</v>
      </c>
      <c r="B15" s="24">
        <f>933.01*2024-1860461.72</f>
        <v>27950.520000000019</v>
      </c>
      <c r="C15" s="12">
        <f t="shared" si="4"/>
        <v>279.50520000000017</v>
      </c>
      <c r="D15" s="19">
        <f t="shared" si="24"/>
        <v>115.14903244075626</v>
      </c>
      <c r="E15" s="20">
        <f t="shared" si="25"/>
        <v>19356.46181351964</v>
      </c>
      <c r="F15" s="20">
        <f t="shared" si="5"/>
        <v>193.56461813519638</v>
      </c>
      <c r="G15" s="36">
        <f t="shared" si="26"/>
        <v>0.69252599999998665</v>
      </c>
      <c r="H15" s="25">
        <f t="shared" si="27"/>
        <v>8.4716800000000703E-2</v>
      </c>
      <c r="I15" s="26">
        <f t="shared" si="28"/>
        <v>16398175.041635944</v>
      </c>
      <c r="J15" s="26">
        <f t="shared" si="29"/>
        <v>51718.812700485571</v>
      </c>
      <c r="K15" s="26">
        <f>0.4*'Industry+Forecast'!I15</f>
        <v>6559270.0166543778</v>
      </c>
      <c r="L15" s="27">
        <f>-0.008347*'Industry+Forecast'!A15+17.363432</f>
        <v>0.46910399999999797</v>
      </c>
      <c r="M15" s="26">
        <f t="shared" si="30"/>
        <v>3619976.2375207315</v>
      </c>
      <c r="N15" s="27">
        <f t="shared" si="31"/>
        <v>7.317499999999999E-2</v>
      </c>
      <c r="O15" s="26">
        <f t="shared" si="32"/>
        <v>1199936.45867171</v>
      </c>
      <c r="P15" s="26">
        <f t="shared" si="7"/>
        <v>4819912.6961924415</v>
      </c>
      <c r="Q15" s="28">
        <v>0.5</v>
      </c>
      <c r="R15" s="29">
        <f t="shared" si="8"/>
        <v>2409956.3480962208</v>
      </c>
      <c r="S15" s="29">
        <f t="shared" si="33"/>
        <v>3147505.9511568397</v>
      </c>
      <c r="T15" s="40">
        <f t="shared" si="9"/>
        <v>5294371.9246268068</v>
      </c>
      <c r="U15" s="26">
        <f t="shared" si="34"/>
        <v>2583627.9933604421</v>
      </c>
      <c r="V15" s="26">
        <f t="shared" si="35"/>
        <v>2710743.9312663651</v>
      </c>
      <c r="W15" s="21">
        <v>0.15</v>
      </c>
      <c r="X15" s="26">
        <f t="shared" si="36"/>
        <v>472125.89267352596</v>
      </c>
      <c r="Y15" s="26">
        <f t="shared" si="37"/>
        <v>288833.47199999995</v>
      </c>
      <c r="Z15" s="21">
        <v>0.2</v>
      </c>
      <c r="AA15" s="26">
        <f t="shared" si="38"/>
        <v>57766.694399999993</v>
      </c>
      <c r="AB15" s="29">
        <f t="shared" si="10"/>
        <v>8256252.1193492813</v>
      </c>
      <c r="AC15" s="26">
        <f t="shared" si="11"/>
        <v>2939848.9351697466</v>
      </c>
      <c r="AD15" s="21">
        <f t="shared" si="12"/>
        <v>0.3560754798511957</v>
      </c>
      <c r="AE15" s="26">
        <f t="shared" si="13"/>
        <v>5108746.1681924416</v>
      </c>
      <c r="AF15" s="26">
        <f t="shared" si="14"/>
        <v>2467723.0424962207</v>
      </c>
      <c r="AG15" s="21">
        <f t="shared" si="15"/>
        <v>0.483038882976905</v>
      </c>
      <c r="AH15" s="26">
        <f t="shared" si="39"/>
        <v>746381.62938610825</v>
      </c>
      <c r="AI15" s="44">
        <f t="shared" si="40"/>
        <v>2511483.643703063</v>
      </c>
      <c r="AJ15" s="26">
        <f t="shared" si="16"/>
        <v>4362364.5388063332</v>
      </c>
      <c r="AK15" s="26">
        <f t="shared" si="41"/>
        <v>318016.33791942458</v>
      </c>
      <c r="AL15" s="26">
        <f t="shared" si="42"/>
        <v>593019.60496446583</v>
      </c>
      <c r="AM15" s="26">
        <f t="shared" si="17"/>
        <v>2023464.0387385972</v>
      </c>
      <c r="AN15" s="40">
        <f t="shared" si="43"/>
        <v>273167.64522971062</v>
      </c>
      <c r="AO15" s="47">
        <f>'Company Historical'!AH15</f>
        <v>0</v>
      </c>
      <c r="AP15" s="44">
        <v>105000</v>
      </c>
      <c r="AQ15" s="26">
        <f t="shared" si="18"/>
        <v>1750296.3935088865</v>
      </c>
      <c r="AR15" s="24">
        <v>2439541.1690000002</v>
      </c>
      <c r="AS15" s="43">
        <f t="shared" si="23"/>
        <v>0.71746950440945245</v>
      </c>
      <c r="AT15" s="38">
        <v>2556.4343970009572</v>
      </c>
      <c r="AU15" s="38">
        <f t="shared" ref="AU15:AU16" si="65">0.000103*I15-113.039061</f>
        <v>1575.9729682885022</v>
      </c>
      <c r="AV15" s="38">
        <f t="shared" si="44"/>
        <v>34.158841347844472</v>
      </c>
      <c r="AW15" s="38">
        <f t="shared" si="45"/>
        <v>2025.8279999941587</v>
      </c>
      <c r="AX15" s="38">
        <f t="shared" si="46"/>
        <v>6192.394206631463</v>
      </c>
      <c r="AY15" s="38">
        <f t="shared" si="47"/>
        <v>2126.4799999999814</v>
      </c>
      <c r="AZ15" s="26">
        <f>SUM($S$2:S15)</f>
        <v>20218402.667363659</v>
      </c>
      <c r="BA15" s="43">
        <f t="shared" si="48"/>
        <v>27569.092826570664</v>
      </c>
      <c r="BB15" s="87">
        <f t="shared" si="19"/>
        <v>29695.572826570646</v>
      </c>
      <c r="BC15" s="38">
        <f t="shared" si="49"/>
        <v>425.34808941796194</v>
      </c>
      <c r="BD15" s="43">
        <f>AX15+BB15-BC15-BE15-BI15-BL15</f>
        <v>2092.1042356886082</v>
      </c>
      <c r="BE15" s="38">
        <f t="shared" si="50"/>
        <v>1956.1199999999953</v>
      </c>
      <c r="BF15" s="38">
        <f t="shared" si="1"/>
        <v>4473.5723251065656</v>
      </c>
      <c r="BG15" s="38">
        <f t="shared" si="51"/>
        <v>16269.012179549925</v>
      </c>
      <c r="BH15" s="24">
        <f t="shared" si="52"/>
        <v>1510.640000000014</v>
      </c>
      <c r="BI15" s="87">
        <f t="shared" si="2"/>
        <v>17779.652179549939</v>
      </c>
      <c r="BJ15" s="87">
        <v>400.40499999999997</v>
      </c>
      <c r="BK15" s="99">
        <f t="shared" si="53"/>
        <v>-350.05927870177732</v>
      </c>
      <c r="BL15" s="44">
        <f t="shared" si="54"/>
        <v>13634.742528545603</v>
      </c>
      <c r="BM15" s="44">
        <f t="shared" si="3"/>
        <v>13634.742528545601</v>
      </c>
      <c r="BN15" s="84">
        <f t="shared" si="20"/>
        <v>1750.2963935088865</v>
      </c>
      <c r="BO15" s="103">
        <f t="shared" si="55"/>
        <v>897.91765205157549</v>
      </c>
      <c r="BP15" s="99">
        <f>-0.00102*'Industry+Forecast'!S15+39.75878</f>
        <v>-3170.6972901799768</v>
      </c>
      <c r="BQ15" s="29">
        <f t="shared" si="56"/>
        <v>1441.5849642104067</v>
      </c>
      <c r="BR15" s="43">
        <f t="shared" si="57"/>
        <v>919.10171959089189</v>
      </c>
      <c r="BS15" s="109">
        <f t="shared" si="58"/>
        <v>-177.17359999999999</v>
      </c>
      <c r="BT15" s="24">
        <f t="shared" si="59"/>
        <v>0.95479999999999998</v>
      </c>
      <c r="BU15" s="109">
        <f t="shared" si="60"/>
        <v>-334.63339999999999</v>
      </c>
      <c r="BV15" s="108">
        <f t="shared" si="61"/>
        <v>-510.85219999999998</v>
      </c>
      <c r="BW15" s="24">
        <f>-BN15*0.3</f>
        <v>-525.08891805266592</v>
      </c>
      <c r="BX15" s="29">
        <f t="shared" si="62"/>
        <v>2621.9921954627316</v>
      </c>
      <c r="BY15" s="24">
        <v>0</v>
      </c>
      <c r="BZ15" s="108">
        <f t="shared" si="63"/>
        <v>51.281600000000005</v>
      </c>
      <c r="CA15" s="38">
        <f t="shared" si="64"/>
        <v>2148.1848774100654</v>
      </c>
      <c r="CB15" s="87">
        <v>2556.4343970009572</v>
      </c>
      <c r="CC15" s="110">
        <f t="shared" si="22"/>
        <v>741.92811959089192</v>
      </c>
    </row>
    <row r="16" spans="1:82">
      <c r="A16" s="24">
        <v>2025</v>
      </c>
      <c r="B16" s="24">
        <f>933.01*2025-1860461.72</f>
        <v>28883.530000000028</v>
      </c>
      <c r="C16" s="24"/>
      <c r="D16" s="19">
        <f t="shared" si="24"/>
        <v>138.70192743185078</v>
      </c>
      <c r="E16" s="20">
        <f>B16*G16</f>
        <v>21164.839860450036</v>
      </c>
      <c r="F16" s="20">
        <f t="shared" si="5"/>
        <v>211.64839860450036</v>
      </c>
      <c r="G16" s="36">
        <f t="shared" si="26"/>
        <v>0.73276500000000055</v>
      </c>
      <c r="H16" s="25">
        <f t="shared" si="27"/>
        <v>8.9855000000000018E-2</v>
      </c>
      <c r="I16" s="26">
        <f t="shared" si="28"/>
        <v>19017666.856607385</v>
      </c>
      <c r="J16" s="26">
        <f t="shared" si="29"/>
        <v>60054.0356557247</v>
      </c>
      <c r="K16" s="26">
        <f>0.4*'Industry+Forecast'!I16</f>
        <v>7607066.742642954</v>
      </c>
      <c r="L16" s="27">
        <f>-0.008347*'Industry+Forecast'!A16+17.363432</f>
        <v>0.46075699999999742</v>
      </c>
      <c r="M16" s="26">
        <f t="shared" si="30"/>
        <v>4123540.2954587294</v>
      </c>
      <c r="N16" s="27">
        <f t="shared" si="31"/>
        <v>7.1273000000000142E-2</v>
      </c>
      <c r="O16" s="26">
        <f t="shared" si="32"/>
        <v>1355446.1698709808</v>
      </c>
      <c r="P16" s="26">
        <f t="shared" si="7"/>
        <v>5478986.4653297104</v>
      </c>
      <c r="Q16" s="28">
        <v>0.5</v>
      </c>
      <c r="R16" s="29">
        <f t="shared" si="8"/>
        <v>2739493.2326648552</v>
      </c>
      <c r="S16" s="29">
        <f t="shared" si="33"/>
        <v>3471296.2672454105</v>
      </c>
      <c r="T16" s="40">
        <f t="shared" si="9"/>
        <v>5939636.7771974541</v>
      </c>
      <c r="U16" s="26">
        <f t="shared" si="34"/>
        <v>2850914.0393308653</v>
      </c>
      <c r="V16" s="26">
        <f t="shared" si="35"/>
        <v>3088722.7378665889</v>
      </c>
      <c r="W16" s="21">
        <v>0.15</v>
      </c>
      <c r="X16" s="26">
        <f t="shared" si="36"/>
        <v>520694.44008681155</v>
      </c>
      <c r="Y16" s="26">
        <f t="shared" si="37"/>
        <v>346600.16639999993</v>
      </c>
      <c r="Z16" s="21">
        <v>0.2</v>
      </c>
      <c r="AA16" s="26">
        <f t="shared" si="38"/>
        <v>69320.033279999989</v>
      </c>
      <c r="AB16" s="29">
        <f t="shared" si="10"/>
        <v>9296882.8989751209</v>
      </c>
      <c r="AC16" s="26">
        <f t="shared" si="11"/>
        <v>3329507.7060316666</v>
      </c>
      <c r="AD16" s="21">
        <f t="shared" si="12"/>
        <v>0.35813161703894414</v>
      </c>
      <c r="AE16" s="26">
        <f t="shared" si="13"/>
        <v>5825586.6317297099</v>
      </c>
      <c r="AF16" s="26">
        <f t="shared" si="14"/>
        <v>2808813.2659448553</v>
      </c>
      <c r="AG16" s="21">
        <f t="shared" si="15"/>
        <v>0.48215114519906704</v>
      </c>
      <c r="AH16" s="26">
        <f t="shared" si="39"/>
        <v>865044.60860431462</v>
      </c>
      <c r="AI16" s="44">
        <f t="shared" si="40"/>
        <v>2821972.4140643566</v>
      </c>
      <c r="AJ16" s="26">
        <f t="shared" si="16"/>
        <v>4960542.0231253952</v>
      </c>
      <c r="AK16" s="26">
        <f t="shared" si="41"/>
        <v>357509.31663700478</v>
      </c>
      <c r="AL16" s="26">
        <f t="shared" si="42"/>
        <v>688301.000242237</v>
      </c>
      <c r="AM16" s="26">
        <f t="shared" si="17"/>
        <v>2238671.4138221196</v>
      </c>
      <c r="AN16" s="40">
        <f t="shared" si="43"/>
        <v>302220.64086598618</v>
      </c>
      <c r="AO16" s="47">
        <f>'Company Historical'!AH16</f>
        <v>0</v>
      </c>
      <c r="AP16" s="44">
        <v>105000</v>
      </c>
      <c r="AQ16" s="26">
        <f t="shared" si="18"/>
        <v>1936450.7729561334</v>
      </c>
      <c r="AR16" s="24">
        <v>2439541.1690000002</v>
      </c>
      <c r="AS16" s="43">
        <f t="shared" si="23"/>
        <v>0.79377663208279026</v>
      </c>
      <c r="AT16" s="38">
        <v>2825.0208881073504</v>
      </c>
      <c r="AU16" s="38">
        <f t="shared" si="65"/>
        <v>1845.7806252305606</v>
      </c>
      <c r="AV16" s="38">
        <f t="shared" si="44"/>
        <v>40.314647113027348</v>
      </c>
      <c r="AW16" s="38">
        <f t="shared" si="45"/>
        <v>2378.2899999991059</v>
      </c>
      <c r="AX16" s="38">
        <f t="shared" si="46"/>
        <v>7089.4061604500448</v>
      </c>
      <c r="AY16" s="38">
        <f t="shared" si="47"/>
        <v>2245</v>
      </c>
      <c r="AZ16" s="26">
        <f>SUM($S$2:S16)</f>
        <v>23689698.93460907</v>
      </c>
      <c r="BA16" s="43">
        <f t="shared" si="48"/>
        <v>32071.364085187965</v>
      </c>
      <c r="BB16" s="87">
        <f t="shared" si="19"/>
        <v>34316.364085187961</v>
      </c>
      <c r="BC16" s="38">
        <f t="shared" si="49"/>
        <v>492.53805447197942</v>
      </c>
      <c r="BD16" s="43">
        <f>AX16+BB16-BC16-BE16-BI16-BL16</f>
        <v>2534.0591098489585</v>
      </c>
      <c r="BE16" s="38">
        <f t="shared" si="50"/>
        <v>2137.75</v>
      </c>
      <c r="BF16" s="38">
        <f t="shared" si="1"/>
        <v>5164.3471643209377</v>
      </c>
      <c r="BG16" s="38">
        <f t="shared" si="51"/>
        <v>19007.864934406556</v>
      </c>
      <c r="BH16" s="24">
        <f t="shared" si="52"/>
        <v>1649.25</v>
      </c>
      <c r="BI16" s="87">
        <f t="shared" si="2"/>
        <v>20657.114934406556</v>
      </c>
      <c r="BJ16" s="87">
        <v>400.40499999999997</v>
      </c>
      <c r="BK16" s="99">
        <f t="shared" si="53"/>
        <v>-387.29015459122667</v>
      </c>
      <c r="BL16" s="44">
        <f t="shared" si="54"/>
        <v>15584.308146910511</v>
      </c>
      <c r="BM16" s="44">
        <f t="shared" si="3"/>
        <v>15584.308146910516</v>
      </c>
      <c r="BN16" s="84">
        <f>AQ16/1000</f>
        <v>1936.4507729561333</v>
      </c>
      <c r="BO16" s="103">
        <f t="shared" si="55"/>
        <v>1038.5745768003594</v>
      </c>
      <c r="BP16" s="99">
        <f>-0.00102*'Industry+Forecast'!S16+39.75878</f>
        <v>-3500.963412590319</v>
      </c>
      <c r="BQ16" s="29">
        <f>BR16-BP16-BO16-BN16</f>
        <v>1514.0020279713999</v>
      </c>
      <c r="BR16" s="43">
        <f t="shared" si="57"/>
        <v>988.06396513757386</v>
      </c>
      <c r="BS16" s="109">
        <f>AVERAGE($BS$8:$BS$12)</f>
        <v>-177.17359999999999</v>
      </c>
      <c r="BT16" s="24">
        <f t="shared" si="59"/>
        <v>0.95479999999999998</v>
      </c>
      <c r="BU16" s="109">
        <f>AVERAGE($BU$8:$BU$12)</f>
        <v>-334.63339999999999</v>
      </c>
      <c r="BV16" s="108">
        <f>SUM(BS16:BU16)</f>
        <v>-510.85219999999998</v>
      </c>
      <c r="BW16" s="24">
        <f>-BN16*0.3</f>
        <v>-580.93523188683992</v>
      </c>
      <c r="BX16" s="29">
        <f t="shared" si="62"/>
        <v>2877.4627548566168</v>
      </c>
      <c r="BY16" s="24">
        <v>0</v>
      </c>
      <c r="BZ16" s="108">
        <f>AVERAGE($BZ$8:$BZ$12)</f>
        <v>51.281600000000005</v>
      </c>
      <c r="CA16" s="38">
        <f>SUM(BW16:BZ16)</f>
        <v>2347.8091229697766</v>
      </c>
      <c r="CB16" s="87">
        <v>2825.0208881073504</v>
      </c>
      <c r="CC16" s="110">
        <f>BS16+BR16</f>
        <v>810.89036513757389</v>
      </c>
    </row>
    <row r="17" spans="1:36">
      <c r="F17" s="14"/>
      <c r="AJ17" s="33"/>
    </row>
    <row r="19" spans="1:36">
      <c r="U19" s="5" t="s">
        <v>113</v>
      </c>
      <c r="V19" s="5"/>
    </row>
    <row r="20" spans="1:36">
      <c r="U20" s="2">
        <v>342.03212735166426</v>
      </c>
      <c r="V20" s="2"/>
      <c r="AC20" s="5" t="s">
        <v>114</v>
      </c>
      <c r="AD20" s="2"/>
    </row>
    <row r="21" spans="1:36">
      <c r="AC21" s="39">
        <f>AB2-T2</f>
        <v>94996</v>
      </c>
      <c r="AD21" s="7"/>
    </row>
    <row r="22" spans="1:36">
      <c r="AC22" s="39">
        <f t="shared" ref="AC22:AC35" si="66">AB3-T3</f>
        <v>206767</v>
      </c>
      <c r="AD22" s="7"/>
    </row>
    <row r="23" spans="1:36">
      <c r="AC23" s="39">
        <f t="shared" si="66"/>
        <v>202636</v>
      </c>
      <c r="AD23" s="7"/>
    </row>
    <row r="24" spans="1:36">
      <c r="A24" s="2">
        <v>2020</v>
      </c>
      <c r="B24">
        <f>B11</f>
        <v>23512</v>
      </c>
      <c r="AC24" s="39">
        <f t="shared" si="66"/>
        <v>342503</v>
      </c>
      <c r="AD24" s="7"/>
    </row>
    <row r="25" spans="1:36">
      <c r="A25" t="s">
        <v>115</v>
      </c>
      <c r="B25" s="3">
        <v>0.45</v>
      </c>
      <c r="C25" s="3"/>
      <c r="AC25" s="39">
        <f t="shared" si="66"/>
        <v>439324</v>
      </c>
      <c r="AD25" s="7"/>
    </row>
    <row r="26" spans="1:36">
      <c r="A26" t="s">
        <v>116</v>
      </c>
      <c r="B26">
        <f>B24*B25</f>
        <v>10580.4</v>
      </c>
      <c r="AC26" s="39">
        <f t="shared" si="66"/>
        <v>589289</v>
      </c>
      <c r="AD26" s="7"/>
    </row>
    <row r="27" spans="1:36">
      <c r="A27" t="s">
        <v>117</v>
      </c>
      <c r="B27">
        <f>933.01*2025-1860461.72</f>
        <v>28883.530000000028</v>
      </c>
      <c r="AC27" s="39">
        <f t="shared" si="66"/>
        <v>818664</v>
      </c>
      <c r="AD27" s="7"/>
    </row>
    <row r="28" spans="1:36">
      <c r="A28" t="s">
        <v>115</v>
      </c>
      <c r="B28" s="3">
        <v>0.65</v>
      </c>
      <c r="C28" s="3"/>
      <c r="AC28" s="39">
        <f t="shared" si="66"/>
        <v>1097002</v>
      </c>
      <c r="AD28" s="7"/>
    </row>
    <row r="29" spans="1:36">
      <c r="A29" t="s">
        <v>118</v>
      </c>
      <c r="B29">
        <f>B27*B28</f>
        <v>18774.294500000018</v>
      </c>
      <c r="AC29" s="39">
        <f t="shared" si="66"/>
        <v>1265526</v>
      </c>
      <c r="AD29" s="7"/>
    </row>
    <row r="30" spans="1:36">
      <c r="AC30" s="39">
        <f t="shared" si="66"/>
        <v>1545124</v>
      </c>
      <c r="AD30" s="7"/>
    </row>
    <row r="31" spans="1:36">
      <c r="A31" t="s">
        <v>119</v>
      </c>
      <c r="B31" s="4">
        <f>B29/B26-1</f>
        <v>0.77444090015500544</v>
      </c>
      <c r="C31" s="4"/>
      <c r="AC31" s="39">
        <f t="shared" si="66"/>
        <v>2110279</v>
      </c>
      <c r="AD31" s="41" t="s">
        <v>120</v>
      </c>
    </row>
    <row r="32" spans="1:36">
      <c r="A32" t="s">
        <v>121</v>
      </c>
      <c r="B32" s="4">
        <f>(1+B31)^0.2-1</f>
        <v>0.12153364832873037</v>
      </c>
      <c r="C32" s="4"/>
      <c r="AC32" s="40">
        <f t="shared" si="66"/>
        <v>1973687.5697225207</v>
      </c>
      <c r="AD32" s="21">
        <f t="shared" ref="AD32:AD35" si="67">AC32/AC13-1</f>
        <v>-8.2722730255064825E-3</v>
      </c>
    </row>
    <row r="33" spans="1:30">
      <c r="AC33" s="40">
        <f t="shared" si="66"/>
        <v>2597176.2999566095</v>
      </c>
      <c r="AD33" s="21">
        <f t="shared" si="67"/>
        <v>8.2433361581124576E-3</v>
      </c>
    </row>
    <row r="34" spans="1:30">
      <c r="AC34" s="40">
        <f t="shared" si="66"/>
        <v>2961880.1947224746</v>
      </c>
      <c r="AD34" s="21">
        <f t="shared" si="67"/>
        <v>7.4940107599290595E-3</v>
      </c>
    </row>
    <row r="35" spans="1:30">
      <c r="AC35" s="40">
        <f t="shared" si="66"/>
        <v>3357246.1217776667</v>
      </c>
      <c r="AD35" s="21">
        <f t="shared" si="67"/>
        <v>8.3310862130607788E-3</v>
      </c>
    </row>
    <row r="36" spans="1:30">
      <c r="AC36" s="31"/>
    </row>
    <row r="37" spans="1:30">
      <c r="A37" t="s">
        <v>122</v>
      </c>
      <c r="B37" t="s">
        <v>123</v>
      </c>
      <c r="AC37" s="31"/>
    </row>
    <row r="38" spans="1:30">
      <c r="AC38" s="31"/>
    </row>
    <row r="39" spans="1:30">
      <c r="AC39" s="3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75BC-213E-40F5-8489-F3DBEF431593}">
  <dimension ref="A1:AA275"/>
  <sheetViews>
    <sheetView tabSelected="1" topLeftCell="A12" zoomScale="70" zoomScaleNormal="70" workbookViewId="0">
      <selection activeCell="D41" sqref="D41"/>
    </sheetView>
  </sheetViews>
  <sheetFormatPr defaultRowHeight="15.75"/>
  <cols>
    <col min="1" max="1" width="72.140625" style="2" bestFit="1" customWidth="1"/>
    <col min="2" max="6" width="16.42578125" style="2" bestFit="1" customWidth="1"/>
    <col min="7" max="10" width="16.7109375" style="2" bestFit="1" customWidth="1"/>
    <col min="11" max="11" width="16.7109375" bestFit="1" customWidth="1"/>
    <col min="12" max="16" width="17.85546875" bestFit="1" customWidth="1"/>
    <col min="18" max="18" width="40.42578125" customWidth="1"/>
    <col min="19" max="23" width="12.85546875" bestFit="1" customWidth="1"/>
    <col min="24" max="24" width="12.140625" bestFit="1" customWidth="1"/>
    <col min="25" max="27" width="12.85546875" bestFit="1" customWidth="1"/>
  </cols>
  <sheetData>
    <row r="1" spans="1:16">
      <c r="A1" s="5" t="str" cm="1">
        <f t="array" ref="A1:P45">TRANSPOSE('Industry+Forecast'!A1:AS16)</f>
        <v>Year</v>
      </c>
      <c r="B1" s="5">
        <v>2011</v>
      </c>
      <c r="C1" s="5">
        <v>2012</v>
      </c>
      <c r="D1" s="5">
        <v>2013</v>
      </c>
      <c r="E1" s="5">
        <v>2014</v>
      </c>
      <c r="F1" s="5">
        <v>2015</v>
      </c>
      <c r="G1" s="5">
        <v>2016</v>
      </c>
      <c r="H1" s="5">
        <v>2017</v>
      </c>
      <c r="I1" s="5">
        <v>2018</v>
      </c>
      <c r="J1" s="5">
        <v>2019</v>
      </c>
      <c r="K1" s="5">
        <v>2020</v>
      </c>
      <c r="L1" s="5">
        <v>2021</v>
      </c>
      <c r="M1" s="35">
        <v>2022</v>
      </c>
      <c r="N1" s="35">
        <v>2023</v>
      </c>
      <c r="O1" s="35">
        <v>2024</v>
      </c>
      <c r="P1" s="35">
        <v>2025</v>
      </c>
    </row>
    <row r="2" spans="1:16">
      <c r="A2" s="5" t="str">
        <v>Quantity of Collected and Transported (10,000 ton) from 住建部</v>
      </c>
      <c r="B2" s="14">
        <v>16395</v>
      </c>
      <c r="C2" s="14">
        <v>17081</v>
      </c>
      <c r="D2" s="14">
        <v>17239</v>
      </c>
      <c r="E2" s="14">
        <v>17860</v>
      </c>
      <c r="F2" s="14">
        <v>19142</v>
      </c>
      <c r="G2" s="14">
        <v>20362</v>
      </c>
      <c r="H2" s="14">
        <v>21521</v>
      </c>
      <c r="I2" s="14">
        <v>22802</v>
      </c>
      <c r="J2" s="14">
        <v>24206</v>
      </c>
      <c r="K2" s="14">
        <v>23512</v>
      </c>
      <c r="L2" s="14">
        <v>25151.489999999991</v>
      </c>
      <c r="M2" s="20">
        <v>26084.5</v>
      </c>
      <c r="N2" s="20">
        <v>27017.510000000009</v>
      </c>
      <c r="O2" s="20">
        <v>27950.520000000019</v>
      </c>
      <c r="P2" s="20">
        <v>28883.530000000028</v>
      </c>
    </row>
    <row r="3" spans="1:16">
      <c r="A3" s="5" t="str">
        <v>Collected and Transported (1m ton)</v>
      </c>
      <c r="B3" s="14">
        <v>163.95</v>
      </c>
      <c r="C3" s="14">
        <v>170.81</v>
      </c>
      <c r="D3" s="14">
        <v>172.39</v>
      </c>
      <c r="E3" s="14">
        <v>178.6</v>
      </c>
      <c r="F3" s="14">
        <v>191.42</v>
      </c>
      <c r="G3" s="14">
        <v>203.62</v>
      </c>
      <c r="H3" s="14">
        <v>215.21</v>
      </c>
      <c r="I3" s="14">
        <v>228.02</v>
      </c>
      <c r="J3" s="14">
        <v>242.06</v>
      </c>
      <c r="K3" s="14">
        <v>235.12</v>
      </c>
      <c r="L3" s="14">
        <v>251.5148999999999</v>
      </c>
      <c r="M3" s="20">
        <v>260.84500000000003</v>
      </c>
      <c r="N3" s="20">
        <v>270.1751000000001</v>
      </c>
      <c r="O3" s="20">
        <v>279.50520000000017</v>
      </c>
      <c r="P3" s="20">
        <v>0</v>
      </c>
    </row>
    <row r="4" spans="1:16">
      <c r="A4" s="5" t="str">
        <v>全國日均城市生活垃圾焚燒無害化處理能力 (10000 ton)</v>
      </c>
      <c r="B4" s="14">
        <v>9.4</v>
      </c>
      <c r="C4" s="14">
        <v>12.3</v>
      </c>
      <c r="D4" s="14">
        <v>15.8</v>
      </c>
      <c r="E4" s="14">
        <v>18.600000000000001</v>
      </c>
      <c r="F4" s="14">
        <v>21.9</v>
      </c>
      <c r="G4" s="14">
        <v>25.6</v>
      </c>
      <c r="H4" s="14">
        <v>29.8</v>
      </c>
      <c r="I4" s="14">
        <v>36.5</v>
      </c>
      <c r="J4" s="14">
        <v>45.6</v>
      </c>
      <c r="K4" s="14">
        <v>54.698004263407633</v>
      </c>
      <c r="L4" s="14">
        <v>65.886082211881089</v>
      </c>
      <c r="M4" s="20">
        <v>79.362599928254042</v>
      </c>
      <c r="N4" s="20">
        <v>95.595641081180077</v>
      </c>
      <c r="O4" s="20">
        <v>115.14903244075626</v>
      </c>
      <c r="P4" s="20">
        <v>138.70192743185078</v>
      </c>
    </row>
    <row r="5" spans="1:16">
      <c r="A5" s="5" t="str">
        <v>Incinerated (10000 ton)</v>
      </c>
      <c r="B5" s="32">
        <v>2600</v>
      </c>
      <c r="C5" s="32">
        <v>3600</v>
      </c>
      <c r="D5" s="32">
        <v>4600</v>
      </c>
      <c r="E5" s="32">
        <v>5300</v>
      </c>
      <c r="F5" s="32">
        <v>6200</v>
      </c>
      <c r="G5" s="32">
        <v>7400</v>
      </c>
      <c r="H5" s="32">
        <v>8500</v>
      </c>
      <c r="I5" s="32">
        <v>10200</v>
      </c>
      <c r="J5" s="32">
        <v>12200</v>
      </c>
      <c r="K5" s="32">
        <v>12498.273839999714</v>
      </c>
      <c r="L5" s="32">
        <v>14381.848345409682</v>
      </c>
      <c r="M5" s="36">
        <v>15964.966055999668</v>
      </c>
      <c r="N5" s="36">
        <v>17623.170545369652</v>
      </c>
      <c r="O5" s="36">
        <v>19356.46181351964</v>
      </c>
      <c r="P5" s="36">
        <v>21164.839860450036</v>
      </c>
    </row>
    <row r="6" spans="1:16">
      <c r="A6" s="5" t="str">
        <v>Incinerated (1m ton)</v>
      </c>
      <c r="B6" s="32">
        <v>26</v>
      </c>
      <c r="C6" s="32">
        <v>36</v>
      </c>
      <c r="D6" s="32">
        <v>46</v>
      </c>
      <c r="E6" s="32">
        <v>53</v>
      </c>
      <c r="F6" s="32">
        <v>62</v>
      </c>
      <c r="G6" s="32">
        <v>74</v>
      </c>
      <c r="H6" s="32">
        <v>85</v>
      </c>
      <c r="I6" s="32">
        <v>102</v>
      </c>
      <c r="J6" s="32">
        <v>122</v>
      </c>
      <c r="K6" s="32">
        <v>124.98273839999715</v>
      </c>
      <c r="L6" s="32">
        <v>143.81848345409682</v>
      </c>
      <c r="M6" s="36">
        <v>159.64966055999668</v>
      </c>
      <c r="N6" s="36">
        <v>176.23170545369652</v>
      </c>
      <c r="O6" s="36">
        <v>193.56461813519638</v>
      </c>
      <c r="P6" s="36">
        <v>211.64839860450036</v>
      </c>
    </row>
    <row r="7" spans="1:16">
      <c r="A7" s="5" t="str">
        <v>Incinerated/Collected (%)</v>
      </c>
      <c r="B7" s="14">
        <v>0.15858493443122904</v>
      </c>
      <c r="C7" s="14">
        <v>0.21076049411626954</v>
      </c>
      <c r="D7" s="14">
        <v>0.26683682348164045</v>
      </c>
      <c r="E7" s="14">
        <v>0.29675251959686449</v>
      </c>
      <c r="F7" s="14">
        <v>0.32389509978058717</v>
      </c>
      <c r="G7" s="14">
        <v>0.36342206070130634</v>
      </c>
      <c r="H7" s="14">
        <v>0.3949630593373914</v>
      </c>
      <c r="I7" s="14">
        <v>0.44732918165073238</v>
      </c>
      <c r="J7" s="14">
        <v>0.50400727092456421</v>
      </c>
      <c r="K7" s="14">
        <v>0.53156999999998789</v>
      </c>
      <c r="L7" s="14">
        <v>0.57180899999998758</v>
      </c>
      <c r="M7" s="20">
        <v>0.61204799999998727</v>
      </c>
      <c r="N7" s="20">
        <v>0.65228699999998696</v>
      </c>
      <c r="O7" s="20">
        <v>0.69252599999998665</v>
      </c>
      <c r="P7" s="20">
        <v>0.73276500000000055</v>
      </c>
    </row>
    <row r="8" spans="1:16">
      <c r="A8" s="5" t="str">
        <v>Canvest Market Share (%) by Quantity of Treatment</v>
      </c>
      <c r="B8" s="14">
        <v>1.5799538461538462E-2</v>
      </c>
      <c r="C8" s="14">
        <v>2.947088888888889E-2</v>
      </c>
      <c r="D8" s="14">
        <v>2.1328717391304347E-2</v>
      </c>
      <c r="E8" s="14">
        <v>2.490922641509434E-2</v>
      </c>
      <c r="F8" s="14">
        <v>2.4267064516129033E-2</v>
      </c>
      <c r="G8" s="14">
        <v>3.2015486486486486E-2</v>
      </c>
      <c r="H8" s="14">
        <v>4.1496717647058826E-2</v>
      </c>
      <c r="I8" s="14">
        <v>4.9349980392156864E-2</v>
      </c>
      <c r="J8" s="14">
        <v>4.8459016393442626E-2</v>
      </c>
      <c r="K8" s="14">
        <v>5.7399926516573781E-2</v>
      </c>
      <c r="L8" s="14">
        <v>7.699674432691675E-2</v>
      </c>
      <c r="M8" s="20">
        <v>7.4440400000000295E-2</v>
      </c>
      <c r="N8" s="20">
        <v>7.9578599999999611E-2</v>
      </c>
      <c r="O8" s="20">
        <v>8.4716800000000703E-2</v>
      </c>
      <c r="P8" s="20">
        <v>8.9855000000000018E-2</v>
      </c>
    </row>
    <row r="9" spans="1:16">
      <c r="A9" s="5" t="str">
        <v>Canvest Treatment Quantity</v>
      </c>
      <c r="B9" s="14">
        <v>410788</v>
      </c>
      <c r="C9" s="14">
        <v>1060952</v>
      </c>
      <c r="D9" s="14">
        <v>981121</v>
      </c>
      <c r="E9" s="14">
        <v>1320189</v>
      </c>
      <c r="F9" s="14">
        <v>1504558</v>
      </c>
      <c r="G9" s="14">
        <v>2369146</v>
      </c>
      <c r="H9" s="14">
        <v>3527221</v>
      </c>
      <c r="I9" s="14">
        <v>5033698</v>
      </c>
      <c r="J9" s="14">
        <v>5912000</v>
      </c>
      <c r="K9" s="14">
        <v>7174000</v>
      </c>
      <c r="L9" s="14">
        <v>11073555</v>
      </c>
      <c r="M9" s="20">
        <v>11884384.591950424</v>
      </c>
      <c r="N9" s="20">
        <v>14024272.395617465</v>
      </c>
      <c r="O9" s="20">
        <v>16398175.041635944</v>
      </c>
      <c r="P9" s="20">
        <v>19017666.856607385</v>
      </c>
    </row>
    <row r="10" spans="1:16">
      <c r="A10" s="5" t="str">
        <v>Canvest Operating Capacity (ton/day)</v>
      </c>
      <c r="B10" s="37">
        <v>1000</v>
      </c>
      <c r="C10" s="37">
        <v>2000</v>
      </c>
      <c r="D10" s="37">
        <v>2000</v>
      </c>
      <c r="E10" s="37">
        <v>3600</v>
      </c>
      <c r="F10" s="37">
        <v>5400</v>
      </c>
      <c r="G10" s="37">
        <v>7600</v>
      </c>
      <c r="H10" s="37">
        <v>12840</v>
      </c>
      <c r="I10" s="37">
        <v>14740</v>
      </c>
      <c r="J10" s="37">
        <v>15890</v>
      </c>
      <c r="K10" s="37">
        <v>23090</v>
      </c>
      <c r="L10" s="37">
        <v>35240</v>
      </c>
      <c r="M10" s="38">
        <v>37355.931489586248</v>
      </c>
      <c r="N10" s="38">
        <v>44165.054480854771</v>
      </c>
      <c r="O10" s="38">
        <v>51718.812700485571</v>
      </c>
      <c r="P10" s="38">
        <v>60054.0356557247</v>
      </c>
    </row>
    <row r="11" spans="1:16">
      <c r="A11" s="5" t="str">
        <v>Electricity Generated (MWh)</v>
      </c>
      <c r="B11" s="14">
        <v>175717</v>
      </c>
      <c r="C11" s="14">
        <v>482681</v>
      </c>
      <c r="D11" s="14">
        <v>477944</v>
      </c>
      <c r="E11" s="14">
        <v>598672</v>
      </c>
      <c r="F11" s="14">
        <v>657197</v>
      </c>
      <c r="G11" s="14">
        <v>962916</v>
      </c>
      <c r="H11" s="14">
        <v>1452328</v>
      </c>
      <c r="I11" s="14">
        <v>2053530</v>
      </c>
      <c r="J11" s="14">
        <v>2355931</v>
      </c>
      <c r="K11" s="14">
        <v>2795543</v>
      </c>
      <c r="L11" s="14">
        <v>4375466</v>
      </c>
      <c r="M11" s="20">
        <v>4753753.83678017</v>
      </c>
      <c r="N11" s="20">
        <v>5609708.9582469864</v>
      </c>
      <c r="O11" s="20">
        <v>6559270.0166543778</v>
      </c>
      <c r="P11" s="20">
        <v>7607066.742642954</v>
      </c>
    </row>
    <row r="12" spans="1:16">
      <c r="A12" s="5" t="str">
        <v>Electricity Price (CNY/kWh)</v>
      </c>
      <c r="B12" s="37">
        <v>0.59000214024437703</v>
      </c>
      <c r="C12" s="37">
        <v>0.55234911735181058</v>
      </c>
      <c r="D12" s="37">
        <v>0.54426225698258424</v>
      </c>
      <c r="E12" s="37">
        <v>0.56507251509422107</v>
      </c>
      <c r="F12" s="37">
        <v>0.5547102241187899</v>
      </c>
      <c r="G12" s="37">
        <v>0.52380879496644017</v>
      </c>
      <c r="H12" s="37">
        <v>0.51592079999748608</v>
      </c>
      <c r="I12" s="37">
        <v>0.53323773210101622</v>
      </c>
      <c r="J12" s="37">
        <v>0.5208367229989499</v>
      </c>
      <c r="K12" s="37">
        <v>0.51043152494884436</v>
      </c>
      <c r="L12" s="37">
        <v>0.47443980009086772</v>
      </c>
      <c r="M12" s="38">
        <v>0.48579799999999906</v>
      </c>
      <c r="N12" s="38">
        <v>0.47745099999999852</v>
      </c>
      <c r="O12" s="38">
        <v>0.46910399999999797</v>
      </c>
      <c r="P12" s="38">
        <v>0.46075699999999742</v>
      </c>
    </row>
    <row r="13" spans="1:16">
      <c r="A13" s="5" t="str">
        <v>Sales of Electricity (1000 HKD)</v>
      </c>
      <c r="B13" s="14">
        <v>107025</v>
      </c>
      <c r="C13" s="14">
        <v>265407</v>
      </c>
      <c r="D13" s="14">
        <v>261737</v>
      </c>
      <c r="E13" s="14">
        <v>349149</v>
      </c>
      <c r="F13" s="14">
        <v>376211</v>
      </c>
      <c r="G13" s="14">
        <v>519386</v>
      </c>
      <c r="H13" s="14">
        <v>772609</v>
      </c>
      <c r="I13" s="14">
        <v>1129326</v>
      </c>
      <c r="J13" s="14">
        <v>1263882</v>
      </c>
      <c r="K13" s="14">
        <v>1470289</v>
      </c>
      <c r="L13" s="14">
        <v>2119197</v>
      </c>
      <c r="M13" s="20">
        <v>2716898.9487060336</v>
      </c>
      <c r="N13" s="20">
        <v>3151013.1197929103</v>
      </c>
      <c r="O13" s="20">
        <v>3619976.2375207315</v>
      </c>
      <c r="P13" s="20">
        <v>4123540.2954587294</v>
      </c>
    </row>
    <row r="14" spans="1:16">
      <c r="A14" s="5" t="str">
        <v>WM Fee (1000 HKD/ton)</v>
      </c>
      <c r="B14" s="14">
        <v>0.11549753157346368</v>
      </c>
      <c r="C14" s="14">
        <v>0.11473374855789895</v>
      </c>
      <c r="D14" s="14">
        <v>0.13090740082008234</v>
      </c>
      <c r="E14" s="14">
        <v>0.14617528247849362</v>
      </c>
      <c r="F14" s="14">
        <v>0.13619747460716036</v>
      </c>
      <c r="G14" s="14">
        <v>0.1081419211817254</v>
      </c>
      <c r="H14" s="14">
        <v>8.6913181793825789E-2</v>
      </c>
      <c r="I14" s="14">
        <v>8.6291430276508443E-2</v>
      </c>
      <c r="J14" s="14">
        <v>8.3394451962110955E-2</v>
      </c>
      <c r="K14" s="14">
        <v>8.2514636186228049E-2</v>
      </c>
      <c r="L14" s="14">
        <v>7.9294047846423299E-2</v>
      </c>
      <c r="M14" s="20">
        <v>7.6979000000000131E-2</v>
      </c>
      <c r="N14" s="20">
        <v>7.5077000000000282E-2</v>
      </c>
      <c r="O14" s="20">
        <v>7.317499999999999E-2</v>
      </c>
      <c r="P14" s="20">
        <v>7.1273000000000142E-2</v>
      </c>
    </row>
    <row r="15" spans="1:16">
      <c r="A15" s="5" t="str">
        <v>WM Revenue (1000 HKD)</v>
      </c>
      <c r="B15" s="32">
        <v>47445</v>
      </c>
      <c r="C15" s="32">
        <v>121727</v>
      </c>
      <c r="D15" s="32">
        <v>128436</v>
      </c>
      <c r="E15" s="32">
        <v>192979</v>
      </c>
      <c r="F15" s="32">
        <v>204917</v>
      </c>
      <c r="G15" s="32">
        <v>256204</v>
      </c>
      <c r="H15" s="32">
        <v>306562</v>
      </c>
      <c r="I15" s="32">
        <v>434365</v>
      </c>
      <c r="J15" s="32">
        <v>493028</v>
      </c>
      <c r="K15" s="32">
        <v>591960</v>
      </c>
      <c r="L15" s="32">
        <v>878067</v>
      </c>
      <c r="M15" s="36">
        <v>914848.04150375328</v>
      </c>
      <c r="N15" s="36">
        <v>1052900.2986457762</v>
      </c>
      <c r="O15" s="36">
        <v>1199936.45867171</v>
      </c>
      <c r="P15" s="36">
        <v>1355446.1698709808</v>
      </c>
    </row>
    <row r="16" spans="1:16">
      <c r="A16" s="5" t="str">
        <v>Energy + WM Revenue (1000 HKD)</v>
      </c>
      <c r="B16" s="14">
        <v>154470</v>
      </c>
      <c r="C16" s="14">
        <v>387134</v>
      </c>
      <c r="D16" s="14">
        <v>390173</v>
      </c>
      <c r="E16" s="14">
        <v>542128</v>
      </c>
      <c r="F16" s="14">
        <v>581128</v>
      </c>
      <c r="G16" s="14">
        <v>775590</v>
      </c>
      <c r="H16" s="14">
        <v>1079171</v>
      </c>
      <c r="I16" s="14">
        <v>1563691</v>
      </c>
      <c r="J16" s="14">
        <v>1756910</v>
      </c>
      <c r="K16" s="14">
        <v>2062249</v>
      </c>
      <c r="L16" s="14">
        <v>2997264</v>
      </c>
      <c r="M16" s="20">
        <v>3631746.9902097872</v>
      </c>
      <c r="N16" s="20">
        <v>4203913.4184386861</v>
      </c>
      <c r="O16" s="20">
        <v>4819912.6961924415</v>
      </c>
      <c r="P16" s="20">
        <v>5478986.4653297104</v>
      </c>
    </row>
    <row r="17" spans="1:16">
      <c r="A17" s="5" t="str">
        <v>Energy + WM Revenue Gross Margin</v>
      </c>
      <c r="B17" s="14">
        <v>0.61499999999999999</v>
      </c>
      <c r="C17" s="14">
        <v>0.53400000000000003</v>
      </c>
      <c r="D17" s="14">
        <v>0.51900000000000002</v>
      </c>
      <c r="E17" s="14">
        <v>0.54800000000000004</v>
      </c>
      <c r="F17" s="14">
        <v>0.55400000000000005</v>
      </c>
      <c r="G17" s="14">
        <v>0.53400000000000003</v>
      </c>
      <c r="H17" s="14">
        <v>0.51400000000000001</v>
      </c>
      <c r="I17" s="14">
        <v>0.47899999999999998</v>
      </c>
      <c r="J17" s="14">
        <v>0.47599999999999998</v>
      </c>
      <c r="K17" s="14">
        <v>0.47099999999999997</v>
      </c>
      <c r="L17" s="14">
        <v>0.499</v>
      </c>
      <c r="M17" s="20">
        <v>0.5</v>
      </c>
      <c r="N17" s="20">
        <v>0.5</v>
      </c>
      <c r="O17" s="20">
        <v>0.5</v>
      </c>
      <c r="P17" s="20">
        <v>0.5</v>
      </c>
    </row>
    <row r="18" spans="1:16">
      <c r="A18" s="5" t="str">
        <v>WM + Energy Gross Profit (1000 HKD)</v>
      </c>
      <c r="B18" s="14">
        <v>94999.05</v>
      </c>
      <c r="C18" s="14">
        <v>206729.55600000001</v>
      </c>
      <c r="D18" s="14">
        <v>202499.78700000001</v>
      </c>
      <c r="E18" s="14">
        <v>297086.14400000003</v>
      </c>
      <c r="F18" s="14">
        <v>321944.91200000001</v>
      </c>
      <c r="G18" s="14">
        <v>414165.06</v>
      </c>
      <c r="H18" s="14">
        <v>554693.89399999997</v>
      </c>
      <c r="I18" s="14">
        <v>749007.98899999994</v>
      </c>
      <c r="J18" s="14">
        <v>836289.15999999992</v>
      </c>
      <c r="K18" s="14">
        <v>971319.27899999998</v>
      </c>
      <c r="L18" s="14">
        <v>1495634.736</v>
      </c>
      <c r="M18" s="20">
        <v>1815873.4951048936</v>
      </c>
      <c r="N18" s="20">
        <v>2101956.709219343</v>
      </c>
      <c r="O18" s="20">
        <v>2409956.3480962208</v>
      </c>
      <c r="P18" s="20">
        <v>2739493.2326648552</v>
      </c>
    </row>
    <row r="19" spans="1:16">
      <c r="A19" s="5" t="str">
        <v>BOT Revenue (1000 HKD)</v>
      </c>
      <c r="B19" s="48">
        <v>0</v>
      </c>
      <c r="C19" s="48">
        <v>0</v>
      </c>
      <c r="D19" s="48">
        <v>0</v>
      </c>
      <c r="E19" s="48">
        <v>252021</v>
      </c>
      <c r="F19" s="48">
        <v>603408</v>
      </c>
      <c r="G19" s="48">
        <v>877962</v>
      </c>
      <c r="H19" s="48">
        <v>1318360</v>
      </c>
      <c r="I19" s="48">
        <v>1762113</v>
      </c>
      <c r="J19" s="48">
        <v>2089531</v>
      </c>
      <c r="K19" s="48">
        <v>2803959</v>
      </c>
      <c r="L19" s="48">
        <v>3630158</v>
      </c>
      <c r="M19" s="49">
        <v>894409.22711160686</v>
      </c>
      <c r="N19" s="49">
        <v>2838975.4890952115</v>
      </c>
      <c r="O19" s="49">
        <v>3147505.9511568397</v>
      </c>
      <c r="P19" s="49">
        <v>3471296.2672454105</v>
      </c>
    </row>
    <row r="20" spans="1:16">
      <c r="A20" s="5" t="str">
        <v>Total Cost of Goods Sold (1000 HKD)</v>
      </c>
      <c r="B20" s="14">
        <v>59474</v>
      </c>
      <c r="C20" s="14">
        <v>180367</v>
      </c>
      <c r="D20" s="14">
        <v>187537</v>
      </c>
      <c r="E20" s="14">
        <v>451646</v>
      </c>
      <c r="F20" s="14">
        <v>745212</v>
      </c>
      <c r="G20" s="14">
        <v>1064263</v>
      </c>
      <c r="H20" s="14">
        <v>1578867</v>
      </c>
      <c r="I20" s="14">
        <v>2228802</v>
      </c>
      <c r="J20" s="14">
        <v>2686690</v>
      </c>
      <c r="K20" s="14">
        <v>3442782</v>
      </c>
      <c r="L20" s="14">
        <v>4684292</v>
      </c>
      <c r="M20" s="20">
        <v>2753047.4475988732</v>
      </c>
      <c r="N20" s="20">
        <v>4686407.1675772872</v>
      </c>
      <c r="O20" s="20">
        <v>5294371.9246268068</v>
      </c>
      <c r="P20" s="20">
        <v>5939636.7771974541</v>
      </c>
    </row>
    <row r="21" spans="1:16">
      <c r="A21" s="5" t="str">
        <v>Construction Cost (1000 HKD)</v>
      </c>
      <c r="B21" s="7">
        <v>0</v>
      </c>
      <c r="C21" s="7">
        <v>0</v>
      </c>
      <c r="D21" s="7">
        <v>0</v>
      </c>
      <c r="E21" s="7">
        <v>206469</v>
      </c>
      <c r="F21" s="7">
        <v>486106</v>
      </c>
      <c r="G21" s="7">
        <v>703131</v>
      </c>
      <c r="H21" s="7">
        <v>1054877</v>
      </c>
      <c r="I21" s="7">
        <v>1413675</v>
      </c>
      <c r="J21" s="7">
        <v>1678408</v>
      </c>
      <c r="K21" s="7">
        <v>2254396</v>
      </c>
      <c r="L21" s="7">
        <v>3052412</v>
      </c>
      <c r="M21" s="21">
        <v>723716.54871356022</v>
      </c>
      <c r="N21" s="21">
        <v>2328938.8221027004</v>
      </c>
      <c r="O21" s="21">
        <v>2583627.9933604421</v>
      </c>
      <c r="P21" s="21">
        <v>2850914.0393308653</v>
      </c>
    </row>
    <row r="22" spans="1:16">
      <c r="A22" s="5" t="str">
        <v>Cost of Goods Sold Ex. Constuction (1000 HKD) by Regression</v>
      </c>
      <c r="B22" s="48">
        <v>59474</v>
      </c>
      <c r="C22" s="48">
        <v>180367</v>
      </c>
      <c r="D22" s="48">
        <v>187537</v>
      </c>
      <c r="E22" s="48">
        <v>245177</v>
      </c>
      <c r="F22" s="48">
        <v>259106</v>
      </c>
      <c r="G22" s="48">
        <v>361132</v>
      </c>
      <c r="H22" s="48">
        <v>523990</v>
      </c>
      <c r="I22" s="48">
        <v>815127</v>
      </c>
      <c r="J22" s="48">
        <v>1008282</v>
      </c>
      <c r="K22" s="48">
        <v>1188386</v>
      </c>
      <c r="L22" s="48">
        <v>1631880</v>
      </c>
      <c r="M22" s="49">
        <v>2029330.898885313</v>
      </c>
      <c r="N22" s="49">
        <v>2357468.3454745864</v>
      </c>
      <c r="O22" s="49">
        <v>2710743.9312663651</v>
      </c>
      <c r="P22" s="49">
        <v>3088722.7378665889</v>
      </c>
    </row>
    <row r="23" spans="1:16">
      <c r="A23" s="5" t="str">
        <v>BOT Gross Margin (%)</v>
      </c>
      <c r="B23" s="14">
        <v>0</v>
      </c>
      <c r="C23" s="14">
        <v>0</v>
      </c>
      <c r="D23" s="14">
        <v>0</v>
      </c>
      <c r="E23" s="14">
        <v>0.18074684252502768</v>
      </c>
      <c r="F23" s="14">
        <v>0.19439914618301382</v>
      </c>
      <c r="G23" s="14">
        <v>0.19913276428820381</v>
      </c>
      <c r="H23" s="14">
        <v>0.19985512303164538</v>
      </c>
      <c r="I23" s="14">
        <v>0.19778981257161146</v>
      </c>
      <c r="J23" s="14">
        <v>0.19675372128960997</v>
      </c>
      <c r="K23" s="14">
        <v>0.19599573317584174</v>
      </c>
      <c r="L23" s="14">
        <v>0.15915175041967869</v>
      </c>
      <c r="M23" s="20">
        <v>0.15</v>
      </c>
      <c r="N23" s="20">
        <v>0.15</v>
      </c>
      <c r="O23" s="20">
        <v>0.15</v>
      </c>
      <c r="P23" s="20">
        <v>0.15</v>
      </c>
    </row>
    <row r="24" spans="1:16">
      <c r="A24" s="5" t="str">
        <v>BOT Gross Profit</v>
      </c>
      <c r="B24" s="7">
        <v>0</v>
      </c>
      <c r="C24" s="7">
        <v>0</v>
      </c>
      <c r="D24" s="7">
        <v>0</v>
      </c>
      <c r="E24" s="7">
        <v>45552</v>
      </c>
      <c r="F24" s="7">
        <v>117302</v>
      </c>
      <c r="G24" s="7">
        <v>174831</v>
      </c>
      <c r="H24" s="7">
        <v>263481</v>
      </c>
      <c r="I24" s="7">
        <v>348528</v>
      </c>
      <c r="J24" s="7">
        <v>411123</v>
      </c>
      <c r="K24" s="7">
        <v>549564</v>
      </c>
      <c r="L24" s="7">
        <v>577746</v>
      </c>
      <c r="M24" s="21">
        <v>134161.38406674101</v>
      </c>
      <c r="N24" s="21">
        <v>425846.32336428174</v>
      </c>
      <c r="O24" s="21">
        <v>472125.89267352596</v>
      </c>
      <c r="P24" s="21">
        <v>520694.44008681155</v>
      </c>
    </row>
    <row r="25" spans="1:16">
      <c r="A25" s="5" t="str">
        <v>Other Service Revenue (1000HKD)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105775</v>
      </c>
      <c r="K25" s="14">
        <v>121698</v>
      </c>
      <c r="L25" s="14">
        <v>167149</v>
      </c>
      <c r="M25" s="20">
        <v>200578.8</v>
      </c>
      <c r="N25" s="20">
        <v>240694.55999999997</v>
      </c>
      <c r="O25" s="20">
        <v>288833.47199999995</v>
      </c>
      <c r="P25" s="20">
        <v>346600.16639999993</v>
      </c>
    </row>
    <row r="26" spans="1:16">
      <c r="A26" s="5" t="str">
        <v>Other Gross Profit Margin (%)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0.17478610257622312</v>
      </c>
      <c r="K26" s="48">
        <v>0.19711909809528505</v>
      </c>
      <c r="L26" s="48">
        <v>0.21534678640015795</v>
      </c>
      <c r="M26" s="49">
        <v>0.2</v>
      </c>
      <c r="N26" s="49">
        <v>0.2</v>
      </c>
      <c r="O26" s="49">
        <v>0.2</v>
      </c>
      <c r="P26" s="49">
        <v>0.2</v>
      </c>
    </row>
    <row r="27" spans="1:16">
      <c r="A27" s="5" t="str">
        <v>Other Gross Profit (1000 HKD)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18488</v>
      </c>
      <c r="K27" s="14">
        <v>23989</v>
      </c>
      <c r="L27" s="14">
        <v>35995</v>
      </c>
      <c r="M27" s="20">
        <v>40115.760000000002</v>
      </c>
      <c r="N27" s="20">
        <v>48138.911999999997</v>
      </c>
      <c r="O27" s="20">
        <v>57766.694399999993</v>
      </c>
      <c r="P27" s="20">
        <v>69320.033279999989</v>
      </c>
    </row>
    <row r="28" spans="1:16">
      <c r="A28" s="5" t="str">
        <v>Total Revenue (1000 HKD)</v>
      </c>
      <c r="B28" s="32">
        <v>154470</v>
      </c>
      <c r="C28" s="32">
        <v>387134</v>
      </c>
      <c r="D28" s="32">
        <v>390173</v>
      </c>
      <c r="E28" s="32">
        <v>794149</v>
      </c>
      <c r="F28" s="32">
        <v>1184536</v>
      </c>
      <c r="G28" s="32">
        <v>1653552</v>
      </c>
      <c r="H28" s="32">
        <v>2397531</v>
      </c>
      <c r="I28" s="32">
        <v>3325804</v>
      </c>
      <c r="J28" s="32">
        <v>3952216</v>
      </c>
      <c r="K28" s="32">
        <v>4987906</v>
      </c>
      <c r="L28" s="32">
        <v>6794571</v>
      </c>
      <c r="M28" s="36">
        <v>4726735.0173213938</v>
      </c>
      <c r="N28" s="36">
        <v>7283583.4675338967</v>
      </c>
      <c r="O28" s="36">
        <v>8256252.1193492813</v>
      </c>
      <c r="P28" s="36">
        <v>9296882.8989751209</v>
      </c>
    </row>
    <row r="29" spans="1:16">
      <c r="A29" s="5" t="str">
        <v>Total Gross Profit (1000 HKD) by Assuming Profit Margin</v>
      </c>
      <c r="B29" s="48">
        <v>94999.05</v>
      </c>
      <c r="C29" s="48">
        <v>206729.55600000001</v>
      </c>
      <c r="D29" s="48">
        <v>202499.78700000001</v>
      </c>
      <c r="E29" s="48">
        <v>342638.14400000003</v>
      </c>
      <c r="F29" s="48">
        <v>439246.91200000001</v>
      </c>
      <c r="G29" s="48">
        <v>588996.06000000006</v>
      </c>
      <c r="H29" s="48">
        <v>818174.89399999997</v>
      </c>
      <c r="I29" s="48">
        <v>1097535.9890000001</v>
      </c>
      <c r="J29" s="48">
        <v>1265900.1599999999</v>
      </c>
      <c r="K29" s="48">
        <v>1544872.2790000001</v>
      </c>
      <c r="L29" s="48">
        <v>2109375.736</v>
      </c>
      <c r="M29" s="49">
        <v>1990150.6391716346</v>
      </c>
      <c r="N29" s="49">
        <v>2575941.9445836246</v>
      </c>
      <c r="O29" s="49">
        <v>2939848.9351697466</v>
      </c>
      <c r="P29" s="49">
        <v>3329507.7060316666</v>
      </c>
    </row>
    <row r="30" spans="1:16">
      <c r="A30" s="5" t="str">
        <v>Total Gross Profit Margin (%)</v>
      </c>
      <c r="B30" s="14">
        <v>0.61499999999999999</v>
      </c>
      <c r="C30" s="14">
        <v>0.53400000000000003</v>
      </c>
      <c r="D30" s="14">
        <v>0.51900000000000002</v>
      </c>
      <c r="E30" s="14">
        <v>0.43145322099505262</v>
      </c>
      <c r="F30" s="14">
        <v>0.37081769739374743</v>
      </c>
      <c r="G30" s="14">
        <v>0.35620050654590846</v>
      </c>
      <c r="H30" s="14">
        <v>0.34125727425422236</v>
      </c>
      <c r="I30" s="14">
        <v>0.33000621473784986</v>
      </c>
      <c r="J30" s="14">
        <v>0.3203013600471229</v>
      </c>
      <c r="K30" s="14">
        <v>0.30972361528064085</v>
      </c>
      <c r="L30" s="14">
        <v>0.31045017205648451</v>
      </c>
      <c r="M30" s="20">
        <v>0.42104129634485804</v>
      </c>
      <c r="N30" s="20">
        <v>0.35366409351464423</v>
      </c>
      <c r="O30" s="20">
        <v>0.3560754798511957</v>
      </c>
      <c r="P30" s="20">
        <v>0.35813161703894414</v>
      </c>
    </row>
    <row r="31" spans="1:16">
      <c r="A31" s="5" t="str">
        <v>Revenue Ex. BOT (1000 HKD)</v>
      </c>
      <c r="B31" s="7">
        <v>154470</v>
      </c>
      <c r="C31" s="7">
        <v>387134</v>
      </c>
      <c r="D31" s="7">
        <v>390173</v>
      </c>
      <c r="E31" s="7">
        <v>542128</v>
      </c>
      <c r="F31" s="7">
        <v>581128</v>
      </c>
      <c r="G31" s="7">
        <v>775590</v>
      </c>
      <c r="H31" s="7">
        <v>1079171</v>
      </c>
      <c r="I31" s="7">
        <v>1563691</v>
      </c>
      <c r="J31" s="7">
        <v>1862685</v>
      </c>
      <c r="K31" s="7">
        <v>2183947</v>
      </c>
      <c r="L31" s="7">
        <v>3164413</v>
      </c>
      <c r="M31" s="21">
        <v>3832325.790209787</v>
      </c>
      <c r="N31" s="21">
        <v>4444607.9784386856</v>
      </c>
      <c r="O31" s="21">
        <v>5108746.1681924416</v>
      </c>
      <c r="P31" s="21">
        <v>5825586.6317297099</v>
      </c>
    </row>
    <row r="32" spans="1:16">
      <c r="A32" s="5" t="str">
        <v>Gross Profit Ex. BOT (1000 HKD)</v>
      </c>
      <c r="B32" s="2">
        <v>94999.05</v>
      </c>
      <c r="C32" s="2">
        <v>206729.55600000001</v>
      </c>
      <c r="D32" s="2">
        <v>202499.78700000001</v>
      </c>
      <c r="E32" s="2">
        <v>297086.14400000003</v>
      </c>
      <c r="F32" s="2">
        <v>321944.91200000001</v>
      </c>
      <c r="G32" s="2">
        <v>414165.06</v>
      </c>
      <c r="H32" s="2">
        <v>554693.89399999997</v>
      </c>
      <c r="I32" s="2">
        <v>749007.98899999994</v>
      </c>
      <c r="J32" s="2">
        <v>854777.15999999992</v>
      </c>
      <c r="K32" s="2">
        <v>995308.27899999998</v>
      </c>
      <c r="L32" s="2">
        <v>1531629.736</v>
      </c>
      <c r="M32" s="24">
        <v>1855989.2551048936</v>
      </c>
      <c r="N32" s="24">
        <v>2150095.621219343</v>
      </c>
      <c r="O32" s="24">
        <v>2467723.0424962207</v>
      </c>
      <c r="P32" s="24">
        <v>2808813.2659448553</v>
      </c>
    </row>
    <row r="33" spans="1:27">
      <c r="A33" s="5" t="str">
        <v>Gross Profit Margin Ex. BOT (%)</v>
      </c>
      <c r="B33" s="14">
        <v>0.61499999999999999</v>
      </c>
      <c r="C33" s="14">
        <v>0.53400000000000003</v>
      </c>
      <c r="D33" s="14">
        <v>0.51900000000000002</v>
      </c>
      <c r="E33" s="14">
        <v>0.54800000000000004</v>
      </c>
      <c r="F33" s="14">
        <v>0.55400000000000005</v>
      </c>
      <c r="G33" s="14">
        <v>0.53400000000000003</v>
      </c>
      <c r="H33" s="14">
        <v>0.51400000000000001</v>
      </c>
      <c r="I33" s="14">
        <v>0.47899999999999998</v>
      </c>
      <c r="J33" s="14">
        <v>0.45889517551276782</v>
      </c>
      <c r="K33" s="14">
        <v>0.45573829355749018</v>
      </c>
      <c r="L33" s="14">
        <v>0.48401701547806814</v>
      </c>
      <c r="M33" s="20">
        <v>0.48429840172938277</v>
      </c>
      <c r="N33" s="20">
        <v>0.48375371498447306</v>
      </c>
      <c r="O33" s="20">
        <v>0.483038882976905</v>
      </c>
      <c r="P33" s="20">
        <v>0.48215114519906704</v>
      </c>
    </row>
    <row r="34" spans="1:27">
      <c r="A34" s="5" t="str">
        <v>Operating Expense (1000 HKD)</v>
      </c>
      <c r="B34" s="2">
        <v>16467</v>
      </c>
      <c r="C34" s="2">
        <v>35147</v>
      </c>
      <c r="D34" s="2">
        <v>38584</v>
      </c>
      <c r="E34" s="2">
        <v>63542</v>
      </c>
      <c r="F34" s="2">
        <v>111646</v>
      </c>
      <c r="G34" s="2">
        <v>122904</v>
      </c>
      <c r="H34" s="2">
        <v>164701</v>
      </c>
      <c r="I34" s="2">
        <v>228299</v>
      </c>
      <c r="J34" s="2">
        <v>241915</v>
      </c>
      <c r="K34" s="2">
        <v>325363</v>
      </c>
      <c r="L34" s="2">
        <v>517952</v>
      </c>
      <c r="M34" s="24">
        <v>541906.92201535427</v>
      </c>
      <c r="N34" s="24">
        <v>638843.83952147118</v>
      </c>
      <c r="O34" s="24">
        <v>746381.62938610825</v>
      </c>
      <c r="P34" s="24">
        <v>865044.60860431462</v>
      </c>
    </row>
    <row r="35" spans="1:27">
      <c r="A35" s="5" t="str">
        <v>Operating Income (1000 HKD)</v>
      </c>
      <c r="B35" s="14">
        <v>79101.05</v>
      </c>
      <c r="C35" s="14">
        <v>184472.55600000001</v>
      </c>
      <c r="D35" s="14">
        <v>177229.78700000001</v>
      </c>
      <c r="E35" s="14">
        <v>330944.14400000003</v>
      </c>
      <c r="F35" s="14">
        <v>381083.91200000001</v>
      </c>
      <c r="G35" s="14">
        <v>547059.06000000006</v>
      </c>
      <c r="H35" s="14">
        <v>748663.89399999997</v>
      </c>
      <c r="I35" s="14">
        <v>990696.98900000006</v>
      </c>
      <c r="J35" s="14">
        <v>1171470.1599999999</v>
      </c>
      <c r="K35" s="14">
        <v>1479104.2790000001</v>
      </c>
      <c r="L35" s="14">
        <v>1861616.736</v>
      </c>
      <c r="M35" s="20">
        <v>1632311.3515366446</v>
      </c>
      <c r="N35" s="20">
        <v>2218200.6949765324</v>
      </c>
      <c r="O35" s="20">
        <v>2511483.643703063</v>
      </c>
      <c r="P35" s="20">
        <v>2821972.4140643566</v>
      </c>
    </row>
    <row r="36" spans="1:27">
      <c r="A36" s="5" t="str">
        <v>Adjusted Operating Income (1000 HKD)</v>
      </c>
      <c r="B36" s="2">
        <v>138003</v>
      </c>
      <c r="C36" s="2">
        <v>351987</v>
      </c>
      <c r="D36" s="2">
        <v>351589</v>
      </c>
      <c r="E36" s="2">
        <v>478586</v>
      </c>
      <c r="F36" s="2">
        <v>469482</v>
      </c>
      <c r="G36" s="2">
        <v>652686</v>
      </c>
      <c r="H36" s="2">
        <v>914470</v>
      </c>
      <c r="I36" s="2">
        <v>1335392</v>
      </c>
      <c r="J36" s="2">
        <v>1620770</v>
      </c>
      <c r="K36" s="2">
        <v>1858584</v>
      </c>
      <c r="L36" s="2">
        <v>2646461</v>
      </c>
      <c r="M36" s="24">
        <v>3290418.8681944329</v>
      </c>
      <c r="N36" s="24">
        <v>3805764.1389172142</v>
      </c>
      <c r="O36" s="24">
        <v>4362364.5388063332</v>
      </c>
      <c r="P36" s="24">
        <v>4960542.0231253952</v>
      </c>
    </row>
    <row r="37" spans="1:27">
      <c r="A37" s="5" t="str">
        <v>Other Income (1000 HKD)</v>
      </c>
      <c r="B37" s="14">
        <v>569</v>
      </c>
      <c r="C37" s="14">
        <v>12890</v>
      </c>
      <c r="D37" s="14">
        <v>13314</v>
      </c>
      <c r="E37" s="14">
        <v>51848</v>
      </c>
      <c r="F37" s="14">
        <v>53483</v>
      </c>
      <c r="G37" s="14">
        <v>80967</v>
      </c>
      <c r="H37" s="14">
        <v>95190</v>
      </c>
      <c r="I37" s="14">
        <v>121460</v>
      </c>
      <c r="J37" s="14">
        <v>147485</v>
      </c>
      <c r="K37" s="14">
        <v>259595</v>
      </c>
      <c r="L37" s="14">
        <v>270193</v>
      </c>
      <c r="M37" s="20">
        <v>184067.63438036421</v>
      </c>
      <c r="N37" s="20">
        <v>281102.58991437888</v>
      </c>
      <c r="O37" s="20">
        <v>318016.33791942458</v>
      </c>
      <c r="P37" s="20">
        <v>357509.31663700478</v>
      </c>
    </row>
    <row r="38" spans="1:27">
      <c r="A38" s="5" t="str">
        <v>Net Interest Expense (1000 HKD)</v>
      </c>
      <c r="B38" s="14">
        <v>25020</v>
      </c>
      <c r="C38" s="14">
        <v>32575</v>
      </c>
      <c r="D38" s="14">
        <v>25861</v>
      </c>
      <c r="E38" s="14">
        <v>61809</v>
      </c>
      <c r="F38" s="14">
        <v>51374</v>
      </c>
      <c r="G38" s="14">
        <v>84905</v>
      </c>
      <c r="H38" s="14">
        <v>105572</v>
      </c>
      <c r="I38" s="14">
        <v>169990</v>
      </c>
      <c r="J38" s="14">
        <v>204183</v>
      </c>
      <c r="K38" s="14">
        <v>340642</v>
      </c>
      <c r="L38" s="14">
        <v>411608</v>
      </c>
      <c r="M38" s="20">
        <v>428834.99114760465</v>
      </c>
      <c r="N38" s="20">
        <v>506671.27011818963</v>
      </c>
      <c r="O38" s="20">
        <v>593019.60496446583</v>
      </c>
      <c r="P38" s="20">
        <v>688301.000242237</v>
      </c>
    </row>
    <row r="39" spans="1:27">
      <c r="A39" s="5" t="str">
        <v>Pretax Income (1000 HKD)</v>
      </c>
      <c r="B39" s="14">
        <v>54081.05</v>
      </c>
      <c r="C39" s="14">
        <v>151897.55600000001</v>
      </c>
      <c r="D39" s="14">
        <v>151368.78700000001</v>
      </c>
      <c r="E39" s="14">
        <v>269135.14400000003</v>
      </c>
      <c r="F39" s="14">
        <v>329709.91200000001</v>
      </c>
      <c r="G39" s="14">
        <v>462154.06000000006</v>
      </c>
      <c r="H39" s="14">
        <v>643091.89399999997</v>
      </c>
      <c r="I39" s="14">
        <v>852710.98900000006</v>
      </c>
      <c r="J39" s="14">
        <v>1022057.1599999999</v>
      </c>
      <c r="K39" s="14">
        <v>1256657.2790000001</v>
      </c>
      <c r="L39" s="14">
        <v>1546506.736</v>
      </c>
      <c r="M39" s="20">
        <v>1308476.3603890399</v>
      </c>
      <c r="N39" s="20">
        <v>1816529.4248583429</v>
      </c>
      <c r="O39" s="20">
        <v>2023464.0387385972</v>
      </c>
      <c r="P39" s="20">
        <v>2238671.4138221196</v>
      </c>
    </row>
    <row r="40" spans="1:27">
      <c r="A40" s="5" t="str">
        <v>Tax Expense (1000 HKD) (11.5% of Op. Income)</v>
      </c>
      <c r="B40" s="2">
        <v>11246.75</v>
      </c>
      <c r="C40" s="2">
        <v>26395.5</v>
      </c>
      <c r="D40" s="2">
        <v>18174.25</v>
      </c>
      <c r="E40" s="2">
        <v>38060.5</v>
      </c>
      <c r="F40" s="2">
        <v>40961.25</v>
      </c>
      <c r="G40" s="2">
        <v>62774.525805133999</v>
      </c>
      <c r="H40" s="2">
        <v>80923.415963181003</v>
      </c>
      <c r="I40" s="2">
        <v>98458.974999999991</v>
      </c>
      <c r="J40" s="2">
        <v>129605.25000000001</v>
      </c>
      <c r="K40" s="2">
        <v>199960.25</v>
      </c>
      <c r="L40" s="2">
        <v>227784.25</v>
      </c>
      <c r="M40" s="24">
        <v>176644.30865252038</v>
      </c>
      <c r="N40" s="24">
        <v>245231.47235587629</v>
      </c>
      <c r="O40" s="24">
        <v>273167.64522971062</v>
      </c>
      <c r="P40" s="24">
        <v>302220.64086598618</v>
      </c>
    </row>
    <row r="41" spans="1:27">
      <c r="A41" s="5" t="str">
        <v>Minority Interest (1000 HKD)</v>
      </c>
      <c r="B41" s="2">
        <v>3780</v>
      </c>
      <c r="C41" s="2">
        <v>0</v>
      </c>
      <c r="D41" s="2">
        <v>0</v>
      </c>
      <c r="E41" s="2">
        <v>17321</v>
      </c>
      <c r="F41" s="2">
        <v>16894</v>
      </c>
      <c r="G41" s="2">
        <v>0</v>
      </c>
      <c r="H41" s="2">
        <v>0</v>
      </c>
      <c r="I41" s="2">
        <v>-9</v>
      </c>
      <c r="J41" s="2">
        <v>-571</v>
      </c>
      <c r="K41" s="2">
        <v>3393</v>
      </c>
      <c r="L41" s="2">
        <v>-2828</v>
      </c>
      <c r="M41" s="24">
        <v>0</v>
      </c>
      <c r="N41" s="24">
        <v>0</v>
      </c>
      <c r="O41" s="24">
        <v>0</v>
      </c>
      <c r="P41" s="24">
        <v>0</v>
      </c>
    </row>
    <row r="42" spans="1:27">
      <c r="A42" s="5" t="str">
        <v>Share of Net Profit of Joint Venture (1000 HKD)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32004</v>
      </c>
      <c r="J42" s="2">
        <v>54770</v>
      </c>
      <c r="K42" s="2">
        <v>118195</v>
      </c>
      <c r="L42" s="2">
        <v>96498</v>
      </c>
      <c r="M42" s="24">
        <v>105000</v>
      </c>
      <c r="N42" s="24">
        <v>105000</v>
      </c>
      <c r="O42" s="24">
        <v>105000</v>
      </c>
      <c r="P42" s="24">
        <v>105000</v>
      </c>
    </row>
    <row r="43" spans="1:27">
      <c r="A43" s="5" t="str">
        <v>Net Profit (1000 HKD)</v>
      </c>
      <c r="B43" s="2">
        <v>46614.3</v>
      </c>
      <c r="C43" s="2">
        <v>125502.05600000001</v>
      </c>
      <c r="D43" s="2">
        <v>133194.53700000001</v>
      </c>
      <c r="E43" s="2">
        <v>248395.64400000003</v>
      </c>
      <c r="F43" s="2">
        <v>305642.66200000001</v>
      </c>
      <c r="G43" s="2">
        <v>399379.53419486608</v>
      </c>
      <c r="H43" s="2">
        <v>562168.47803681903</v>
      </c>
      <c r="I43" s="2">
        <v>754243.01400000008</v>
      </c>
      <c r="J43" s="2">
        <v>891880.90999999992</v>
      </c>
      <c r="K43" s="2">
        <v>1060090.0290000001</v>
      </c>
      <c r="L43" s="2">
        <v>1315894.486</v>
      </c>
      <c r="M43" s="24">
        <v>1131832.0517365194</v>
      </c>
      <c r="N43" s="24">
        <v>1571297.9525024665</v>
      </c>
      <c r="O43" s="24">
        <v>1750296.3935088865</v>
      </c>
      <c r="P43" s="24">
        <v>1936450.7729561334</v>
      </c>
    </row>
    <row r="44" spans="1:27">
      <c r="A44" s="5" t="str">
        <v>Shares Outstanding (K)</v>
      </c>
      <c r="B44" s="2">
        <v>0</v>
      </c>
      <c r="C44" s="2">
        <v>0</v>
      </c>
      <c r="D44" s="2">
        <v>0</v>
      </c>
      <c r="E44" s="14">
        <v>2000000</v>
      </c>
      <c r="F44" s="14">
        <v>2000000</v>
      </c>
      <c r="G44" s="14">
        <v>2034235.294</v>
      </c>
      <c r="H44" s="14">
        <v>2455332.1689999998</v>
      </c>
      <c r="I44" s="14">
        <v>2454932.1690000002</v>
      </c>
      <c r="J44" s="14">
        <v>2440579.1690000002</v>
      </c>
      <c r="K44" s="14">
        <v>2439541.1690000002</v>
      </c>
      <c r="L44" s="14">
        <v>2439541.1690000002</v>
      </c>
      <c r="M44" s="20">
        <v>2439541.1690000002</v>
      </c>
      <c r="N44" s="20">
        <v>2439541.1690000002</v>
      </c>
      <c r="O44" s="20">
        <v>2439541.1690000002</v>
      </c>
      <c r="P44" s="20">
        <v>2439541.1690000002</v>
      </c>
    </row>
    <row r="45" spans="1:27">
      <c r="A45" s="5" t="str">
        <v>EPS (HKD)</v>
      </c>
      <c r="B45" s="2">
        <v>0</v>
      </c>
      <c r="C45" s="2">
        <v>0</v>
      </c>
      <c r="D45" s="2">
        <v>0</v>
      </c>
      <c r="E45" s="50">
        <v>0.12419782200000001</v>
      </c>
      <c r="F45" s="50">
        <v>0.152821331</v>
      </c>
      <c r="G45" s="50">
        <v>0.19632907529076923</v>
      </c>
      <c r="H45" s="50">
        <v>0.22895821800998001</v>
      </c>
      <c r="I45" s="50">
        <v>0.30723578578842597</v>
      </c>
      <c r="J45" s="50">
        <v>0.36543822111103164</v>
      </c>
      <c r="K45" s="50">
        <v>0.43454484083765016</v>
      </c>
      <c r="L45" s="50">
        <v>0.53940245105164686</v>
      </c>
      <c r="M45" s="51">
        <v>0.46395283921380681</v>
      </c>
      <c r="N45" s="51">
        <v>0.6440956899885244</v>
      </c>
      <c r="O45" s="51">
        <v>0.71746950440945245</v>
      </c>
      <c r="P45" s="51">
        <v>0.79377663208279026</v>
      </c>
    </row>
    <row r="46" spans="1:27">
      <c r="A46" s="130" t="s">
        <v>124</v>
      </c>
      <c r="B46" s="131"/>
      <c r="C46" s="131"/>
      <c r="D46" s="131"/>
      <c r="E46" s="131">
        <v>2.37</v>
      </c>
      <c r="F46" s="131">
        <v>3.37</v>
      </c>
      <c r="G46" s="131">
        <v>3.83</v>
      </c>
      <c r="H46" s="131">
        <v>4.6100000000000003</v>
      </c>
      <c r="I46" s="131">
        <v>4.12</v>
      </c>
      <c r="J46" s="131">
        <v>3.6</v>
      </c>
      <c r="K46" s="131">
        <v>3.34</v>
      </c>
      <c r="L46" s="131">
        <v>4.12</v>
      </c>
      <c r="M46" s="131"/>
      <c r="N46" s="131"/>
      <c r="O46" s="131"/>
      <c r="P46" s="131"/>
    </row>
    <row r="47" spans="1:27">
      <c r="A47"/>
      <c r="B47"/>
      <c r="C47"/>
      <c r="D47"/>
      <c r="E47"/>
      <c r="F47"/>
      <c r="G47"/>
      <c r="H47"/>
      <c r="I47"/>
      <c r="J47"/>
    </row>
    <row r="48" spans="1:27">
      <c r="A48" s="52" t="s">
        <v>125</v>
      </c>
      <c r="B48" s="53">
        <v>2017</v>
      </c>
      <c r="C48" s="53">
        <v>2018</v>
      </c>
      <c r="D48" s="53">
        <v>2019</v>
      </c>
      <c r="E48" s="53">
        <v>2020</v>
      </c>
      <c r="F48" s="53">
        <v>2021</v>
      </c>
      <c r="G48" s="54" t="s">
        <v>126</v>
      </c>
      <c r="H48" s="54" t="s">
        <v>127</v>
      </c>
      <c r="I48" s="54" t="s">
        <v>128</v>
      </c>
      <c r="J48" s="54" t="s">
        <v>117</v>
      </c>
      <c r="R48" s="52" t="s">
        <v>129</v>
      </c>
      <c r="S48" s="53">
        <v>2017</v>
      </c>
      <c r="T48" s="53">
        <v>2018</v>
      </c>
      <c r="U48" s="53">
        <v>2019</v>
      </c>
      <c r="V48" s="53">
        <v>2020</v>
      </c>
      <c r="W48" s="53">
        <v>2021</v>
      </c>
      <c r="X48" s="54" t="s">
        <v>126</v>
      </c>
      <c r="Y48" s="54" t="s">
        <v>127</v>
      </c>
      <c r="Z48" s="54" t="s">
        <v>128</v>
      </c>
      <c r="AA48" s="54" t="s">
        <v>117</v>
      </c>
    </row>
    <row r="49" spans="1:27">
      <c r="A49" s="55"/>
      <c r="B49" s="56"/>
      <c r="C49" s="56"/>
      <c r="D49" s="56"/>
      <c r="E49" s="56"/>
      <c r="F49" s="56"/>
      <c r="G49" s="57"/>
      <c r="H49" s="57"/>
      <c r="I49" s="57"/>
      <c r="J49" s="57"/>
      <c r="R49" s="55"/>
      <c r="S49" s="56"/>
      <c r="T49" s="56"/>
      <c r="U49" s="56"/>
      <c r="V49" s="56"/>
      <c r="W49" s="56"/>
      <c r="X49" s="57"/>
      <c r="Y49" s="57"/>
      <c r="Z49" s="57"/>
      <c r="AA49" s="57"/>
    </row>
    <row r="50" spans="1:27">
      <c r="A50" s="55" t="s">
        <v>130</v>
      </c>
      <c r="B50" s="58">
        <v>2397531</v>
      </c>
      <c r="C50" s="58">
        <v>3325804</v>
      </c>
      <c r="D50" s="58">
        <v>3952216</v>
      </c>
      <c r="E50" s="58">
        <v>4987906</v>
      </c>
      <c r="F50" s="58">
        <v>6794571</v>
      </c>
      <c r="G50" s="59">
        <v>4726735.0173213938</v>
      </c>
      <c r="H50" s="59">
        <v>7283583.4675338967</v>
      </c>
      <c r="I50" s="59">
        <v>8256252.1193492813</v>
      </c>
      <c r="J50" s="59">
        <v>9296882.8989751209</v>
      </c>
      <c r="R50" s="55" t="s">
        <v>130</v>
      </c>
      <c r="S50" s="58">
        <f>B50/1000</f>
        <v>2397.5309999999999</v>
      </c>
      <c r="T50" s="58">
        <f t="shared" ref="T50:AA50" si="0">C50/1000</f>
        <v>3325.8040000000001</v>
      </c>
      <c r="U50" s="58">
        <f t="shared" si="0"/>
        <v>3952.2159999999999</v>
      </c>
      <c r="V50" s="58">
        <f t="shared" si="0"/>
        <v>4987.9059999999999</v>
      </c>
      <c r="W50" s="58">
        <f t="shared" si="0"/>
        <v>6794.5709999999999</v>
      </c>
      <c r="X50" s="58">
        <f t="shared" si="0"/>
        <v>4726.7350173213936</v>
      </c>
      <c r="Y50" s="58">
        <f t="shared" si="0"/>
        <v>7283.5834675338965</v>
      </c>
      <c r="Z50" s="58">
        <f t="shared" si="0"/>
        <v>8256.2521193492812</v>
      </c>
      <c r="AA50" s="58">
        <f t="shared" si="0"/>
        <v>9296.88289897512</v>
      </c>
    </row>
    <row r="51" spans="1:27">
      <c r="A51" s="52" t="s">
        <v>131</v>
      </c>
      <c r="B51" s="60">
        <v>-1579356.1060000001</v>
      </c>
      <c r="C51" s="60">
        <v>-2228268.0109999999</v>
      </c>
      <c r="D51" s="60">
        <v>-2686315.84</v>
      </c>
      <c r="E51" s="60">
        <v>-3443033.7209999999</v>
      </c>
      <c r="F51" s="60">
        <v>-4685195.2640000004</v>
      </c>
      <c r="G51" s="60">
        <v>-2736584.378149759</v>
      </c>
      <c r="H51" s="60">
        <v>-4707641.5229502721</v>
      </c>
      <c r="I51" s="60">
        <v>-5316403.1841795351</v>
      </c>
      <c r="J51" s="60">
        <v>-5967375.1929434538</v>
      </c>
      <c r="K51" s="24" t="s">
        <v>132</v>
      </c>
      <c r="R51" s="52" t="s">
        <v>131</v>
      </c>
      <c r="S51" s="58">
        <f t="shared" ref="S51:S64" si="1">B51/1000</f>
        <v>-1579.3561060000002</v>
      </c>
      <c r="T51" s="58">
        <f t="shared" ref="T51:T66" si="2">C51/1000</f>
        <v>-2228.2680110000001</v>
      </c>
      <c r="U51" s="58">
        <f t="shared" ref="U51:U66" si="3">D51/1000</f>
        <v>-2686.3158399999998</v>
      </c>
      <c r="V51" s="58">
        <f t="shared" ref="V51:V66" si="4">E51/1000</f>
        <v>-3443.0337209999998</v>
      </c>
      <c r="W51" s="58">
        <f t="shared" ref="W51:W66" si="5">F51/1000</f>
        <v>-4685.1952640000009</v>
      </c>
      <c r="X51" s="58">
        <f t="shared" ref="X51:X66" si="6">G51/1000</f>
        <v>-2736.5843781497592</v>
      </c>
      <c r="Y51" s="58">
        <f t="shared" ref="Y51:Y66" si="7">H51/1000</f>
        <v>-4707.6415229502718</v>
      </c>
      <c r="Z51" s="58">
        <f t="shared" ref="Z51:Z66" si="8">I51/1000</f>
        <v>-5316.4031841795349</v>
      </c>
      <c r="AA51" s="58">
        <f t="shared" ref="AA51:AA66" si="9">J51/1000</f>
        <v>-5967.3751929434538</v>
      </c>
    </row>
    <row r="52" spans="1:27">
      <c r="A52" s="55"/>
      <c r="B52" s="58"/>
      <c r="C52" s="58"/>
      <c r="D52" s="58"/>
      <c r="E52" s="58"/>
      <c r="F52" s="58"/>
      <c r="G52" s="58"/>
      <c r="H52" s="58"/>
      <c r="I52" s="58"/>
      <c r="J52" s="58"/>
      <c r="R52" s="55"/>
      <c r="S52" s="58"/>
      <c r="T52" s="58"/>
      <c r="U52" s="58"/>
      <c r="V52" s="58"/>
      <c r="W52" s="58"/>
      <c r="X52" s="58"/>
      <c r="Y52" s="58"/>
      <c r="Z52" s="58"/>
      <c r="AA52" s="58"/>
    </row>
    <row r="53" spans="1:27">
      <c r="A53" s="55" t="s">
        <v>133</v>
      </c>
      <c r="B53" s="58">
        <v>818174.89399999997</v>
      </c>
      <c r="C53" s="58">
        <v>1097535.9890000001</v>
      </c>
      <c r="D53" s="58">
        <v>1265900.1599999999</v>
      </c>
      <c r="E53" s="58">
        <v>1544872.2790000001</v>
      </c>
      <c r="F53" s="58">
        <v>2109375.736</v>
      </c>
      <c r="G53" s="59">
        <v>1990150.6391716346</v>
      </c>
      <c r="H53" s="59">
        <v>2575941.9445836246</v>
      </c>
      <c r="I53" s="59">
        <v>2939848.9351697466</v>
      </c>
      <c r="J53" s="59">
        <v>3329507.7060316666</v>
      </c>
      <c r="R53" s="55" t="s">
        <v>133</v>
      </c>
      <c r="S53" s="58">
        <f t="shared" si="1"/>
        <v>818.17489399999999</v>
      </c>
      <c r="T53" s="58">
        <f t="shared" si="2"/>
        <v>1097.535989</v>
      </c>
      <c r="U53" s="58">
        <f t="shared" si="3"/>
        <v>1265.9001599999999</v>
      </c>
      <c r="V53" s="58">
        <f t="shared" si="4"/>
        <v>1544.8722790000002</v>
      </c>
      <c r="W53" s="58">
        <f t="shared" si="5"/>
        <v>2109.375736</v>
      </c>
      <c r="X53" s="58">
        <f t="shared" si="6"/>
        <v>1990.1506391716346</v>
      </c>
      <c r="Y53" s="58">
        <f t="shared" si="7"/>
        <v>2575.9419445836247</v>
      </c>
      <c r="Z53" s="58">
        <f t="shared" si="8"/>
        <v>2939.8489351697467</v>
      </c>
      <c r="AA53" s="58">
        <f t="shared" si="9"/>
        <v>3329.5077060316667</v>
      </c>
    </row>
    <row r="54" spans="1:27">
      <c r="A54" s="55" t="s">
        <v>134</v>
      </c>
      <c r="B54" s="61">
        <v>-164701</v>
      </c>
      <c r="C54" s="61">
        <v>-228299</v>
      </c>
      <c r="D54" s="61">
        <v>-241915</v>
      </c>
      <c r="E54" s="61">
        <v>-325363</v>
      </c>
      <c r="F54" s="61">
        <v>-517952</v>
      </c>
      <c r="G54" s="61">
        <v>-541906.92201535427</v>
      </c>
      <c r="H54" s="61">
        <v>-638843.83952147118</v>
      </c>
      <c r="I54" s="61">
        <v>-746381.62938610825</v>
      </c>
      <c r="J54" s="61">
        <v>-865044.60860431462</v>
      </c>
      <c r="R54" s="55" t="s">
        <v>134</v>
      </c>
      <c r="S54" s="58">
        <f t="shared" si="1"/>
        <v>-164.70099999999999</v>
      </c>
      <c r="T54" s="58">
        <f t="shared" si="2"/>
        <v>-228.29900000000001</v>
      </c>
      <c r="U54" s="58">
        <f t="shared" si="3"/>
        <v>-241.91499999999999</v>
      </c>
      <c r="V54" s="58">
        <f t="shared" si="4"/>
        <v>-325.363</v>
      </c>
      <c r="W54" s="58">
        <f t="shared" si="5"/>
        <v>-517.952</v>
      </c>
      <c r="X54" s="58">
        <f t="shared" si="6"/>
        <v>-541.90692201535433</v>
      </c>
      <c r="Y54" s="58">
        <f t="shared" si="7"/>
        <v>-638.84383952147118</v>
      </c>
      <c r="Z54" s="58">
        <f t="shared" si="8"/>
        <v>-746.38162938610822</v>
      </c>
      <c r="AA54" s="58">
        <f t="shared" si="9"/>
        <v>-865.04460860431459</v>
      </c>
    </row>
    <row r="55" spans="1:27">
      <c r="A55" s="52" t="s">
        <v>135</v>
      </c>
      <c r="B55" s="62">
        <v>95190</v>
      </c>
      <c r="C55" s="62">
        <v>121460</v>
      </c>
      <c r="D55" s="62">
        <v>147485</v>
      </c>
      <c r="E55" s="62">
        <v>259595</v>
      </c>
      <c r="F55" s="62">
        <v>270193</v>
      </c>
      <c r="G55" s="63">
        <v>184067.63438036421</v>
      </c>
      <c r="H55" s="63">
        <v>281102.58991437888</v>
      </c>
      <c r="I55" s="63">
        <v>318016.33791942458</v>
      </c>
      <c r="J55" s="63">
        <v>357509.31663700478</v>
      </c>
      <c r="R55" s="52" t="s">
        <v>135</v>
      </c>
      <c r="S55" s="58">
        <f t="shared" si="1"/>
        <v>95.19</v>
      </c>
      <c r="T55" s="58">
        <f t="shared" si="2"/>
        <v>121.46</v>
      </c>
      <c r="U55" s="58">
        <f t="shared" si="3"/>
        <v>147.48500000000001</v>
      </c>
      <c r="V55" s="58">
        <f t="shared" si="4"/>
        <v>259.59500000000003</v>
      </c>
      <c r="W55" s="58">
        <f t="shared" si="5"/>
        <v>270.19299999999998</v>
      </c>
      <c r="X55" s="58">
        <f t="shared" si="6"/>
        <v>184.06763438036421</v>
      </c>
      <c r="Y55" s="58">
        <f t="shared" si="7"/>
        <v>281.10258991437888</v>
      </c>
      <c r="Z55" s="58">
        <f t="shared" si="8"/>
        <v>318.01633791942459</v>
      </c>
      <c r="AA55" s="58">
        <f t="shared" si="9"/>
        <v>357.50931663700476</v>
      </c>
    </row>
    <row r="56" spans="1:27">
      <c r="A56" s="55"/>
      <c r="B56" s="58"/>
      <c r="C56" s="58"/>
      <c r="D56" s="58"/>
      <c r="E56" s="58"/>
      <c r="F56" s="58"/>
      <c r="G56" s="58"/>
      <c r="H56" s="58"/>
      <c r="I56" s="58"/>
      <c r="J56" s="58"/>
      <c r="R56" s="55"/>
      <c r="S56" s="58"/>
      <c r="T56" s="58"/>
      <c r="U56" s="58"/>
      <c r="V56" s="58"/>
      <c r="W56" s="58"/>
      <c r="X56" s="58"/>
      <c r="Y56" s="58"/>
      <c r="Z56" s="58"/>
      <c r="AA56" s="58"/>
    </row>
    <row r="57" spans="1:27">
      <c r="A57" s="55" t="s">
        <v>136</v>
      </c>
      <c r="B57" s="58">
        <v>748663.89399999997</v>
      </c>
      <c r="C57" s="58">
        <v>990696.98900000006</v>
      </c>
      <c r="D57" s="58">
        <v>1171470.1599999999</v>
      </c>
      <c r="E57" s="58">
        <v>1479104.2790000001</v>
      </c>
      <c r="F57" s="58">
        <v>1861616.736</v>
      </c>
      <c r="G57" s="59">
        <v>1632311.3515366446</v>
      </c>
      <c r="H57" s="59">
        <v>2218200.6949765324</v>
      </c>
      <c r="I57" s="59">
        <v>2511483.643703063</v>
      </c>
      <c r="J57" s="59">
        <v>2821972.4140643566</v>
      </c>
      <c r="R57" s="55" t="s">
        <v>136</v>
      </c>
      <c r="S57" s="58">
        <f t="shared" si="1"/>
        <v>748.66389400000003</v>
      </c>
      <c r="T57" s="58">
        <f t="shared" si="2"/>
        <v>990.69698900000003</v>
      </c>
      <c r="U57" s="58">
        <f t="shared" si="3"/>
        <v>1171.4701599999999</v>
      </c>
      <c r="V57" s="58">
        <f t="shared" si="4"/>
        <v>1479.1042790000001</v>
      </c>
      <c r="W57" s="58">
        <f t="shared" si="5"/>
        <v>1861.6167359999999</v>
      </c>
      <c r="X57" s="58">
        <f t="shared" si="6"/>
        <v>1632.3113515366447</v>
      </c>
      <c r="Y57" s="58">
        <f t="shared" si="7"/>
        <v>2218.2006949765323</v>
      </c>
      <c r="Z57" s="58">
        <f t="shared" si="8"/>
        <v>2511.4836437030631</v>
      </c>
      <c r="AA57" s="58">
        <f t="shared" si="9"/>
        <v>2821.9724140643566</v>
      </c>
    </row>
    <row r="58" spans="1:27">
      <c r="A58" s="55" t="s">
        <v>137</v>
      </c>
      <c r="B58" s="58">
        <v>-105572</v>
      </c>
      <c r="C58" s="58">
        <v>-169990</v>
      </c>
      <c r="D58" s="58">
        <v>-204183</v>
      </c>
      <c r="E58" s="58">
        <v>-340642</v>
      </c>
      <c r="F58" s="58">
        <v>-411608</v>
      </c>
      <c r="G58" s="59">
        <v>-428834.99114760465</v>
      </c>
      <c r="H58" s="59">
        <v>-506671.27011818963</v>
      </c>
      <c r="I58" s="59">
        <v>-593019.60496446583</v>
      </c>
      <c r="J58" s="59">
        <v>-688301.000242237</v>
      </c>
      <c r="R58" s="55" t="s">
        <v>137</v>
      </c>
      <c r="S58" s="58">
        <f t="shared" si="1"/>
        <v>-105.572</v>
      </c>
      <c r="T58" s="58">
        <f t="shared" si="2"/>
        <v>-169.99</v>
      </c>
      <c r="U58" s="58">
        <f t="shared" si="3"/>
        <v>-204.18299999999999</v>
      </c>
      <c r="V58" s="58">
        <f t="shared" si="4"/>
        <v>-340.642</v>
      </c>
      <c r="W58" s="58">
        <f t="shared" si="5"/>
        <v>-411.608</v>
      </c>
      <c r="X58" s="58">
        <f t="shared" si="6"/>
        <v>-428.83499114760468</v>
      </c>
      <c r="Y58" s="58">
        <f t="shared" si="7"/>
        <v>-506.67127011818963</v>
      </c>
      <c r="Z58" s="58">
        <f t="shared" si="8"/>
        <v>-593.01960496446588</v>
      </c>
      <c r="AA58" s="58">
        <f t="shared" si="9"/>
        <v>-688.30100024223702</v>
      </c>
    </row>
    <row r="59" spans="1:27">
      <c r="A59" s="55" t="s">
        <v>138</v>
      </c>
      <c r="B59" s="58">
        <v>0</v>
      </c>
      <c r="C59" s="58">
        <v>32004</v>
      </c>
      <c r="D59" s="58">
        <v>54770</v>
      </c>
      <c r="E59" s="58">
        <v>118195</v>
      </c>
      <c r="F59" s="58">
        <v>96498</v>
      </c>
      <c r="G59" s="59">
        <v>105000</v>
      </c>
      <c r="H59" s="59">
        <v>105000</v>
      </c>
      <c r="I59" s="59">
        <v>105000</v>
      </c>
      <c r="J59" s="59">
        <v>105000</v>
      </c>
      <c r="R59" s="55" t="s">
        <v>138</v>
      </c>
      <c r="S59" s="58">
        <f t="shared" si="1"/>
        <v>0</v>
      </c>
      <c r="T59" s="58">
        <f t="shared" si="2"/>
        <v>32.003999999999998</v>
      </c>
      <c r="U59" s="58">
        <f t="shared" si="3"/>
        <v>54.77</v>
      </c>
      <c r="V59" s="58">
        <f t="shared" si="4"/>
        <v>118.19499999999999</v>
      </c>
      <c r="W59" s="58">
        <f t="shared" si="5"/>
        <v>96.498000000000005</v>
      </c>
      <c r="X59" s="58">
        <f t="shared" si="6"/>
        <v>105</v>
      </c>
      <c r="Y59" s="58">
        <f t="shared" si="7"/>
        <v>105</v>
      </c>
      <c r="Z59" s="58">
        <f t="shared" si="8"/>
        <v>105</v>
      </c>
      <c r="AA59" s="58">
        <f t="shared" si="9"/>
        <v>105</v>
      </c>
    </row>
    <row r="60" spans="1:27">
      <c r="A60" s="55"/>
      <c r="B60" s="58"/>
      <c r="C60" s="58"/>
      <c r="D60" s="58"/>
      <c r="E60" s="58"/>
      <c r="F60" s="58"/>
      <c r="G60" s="58"/>
      <c r="H60" s="58"/>
      <c r="I60" s="58"/>
      <c r="J60" s="58"/>
      <c r="R60" s="55"/>
      <c r="S60" s="58"/>
      <c r="T60" s="58"/>
      <c r="U60" s="58"/>
      <c r="V60" s="58"/>
      <c r="W60" s="58"/>
      <c r="X60" s="58"/>
      <c r="Y60" s="58"/>
      <c r="Z60" s="58"/>
      <c r="AA60" s="58"/>
    </row>
    <row r="61" spans="1:27">
      <c r="A61" s="55" t="s">
        <v>139</v>
      </c>
      <c r="B61" s="64">
        <v>643091.89399999997</v>
      </c>
      <c r="C61" s="64">
        <v>852710.98900000006</v>
      </c>
      <c r="D61" s="64">
        <v>1022057.1599999999</v>
      </c>
      <c r="E61" s="64">
        <v>1256657.2790000001</v>
      </c>
      <c r="F61" s="64">
        <v>1546506.736</v>
      </c>
      <c r="G61" s="65">
        <v>1308476.3603890399</v>
      </c>
      <c r="H61" s="65">
        <v>1816529.4248583429</v>
      </c>
      <c r="I61" s="65">
        <v>2023464.0387385972</v>
      </c>
      <c r="J61" s="65">
        <v>2238671.4138221196</v>
      </c>
      <c r="R61" s="55" t="s">
        <v>139</v>
      </c>
      <c r="S61" s="58">
        <f t="shared" si="1"/>
        <v>643.09189400000002</v>
      </c>
      <c r="T61" s="58">
        <f t="shared" si="2"/>
        <v>852.71098900000004</v>
      </c>
      <c r="U61" s="58">
        <f t="shared" si="3"/>
        <v>1022.05716</v>
      </c>
      <c r="V61" s="58">
        <f t="shared" si="4"/>
        <v>1256.657279</v>
      </c>
      <c r="W61" s="58">
        <f t="shared" si="5"/>
        <v>1546.506736</v>
      </c>
      <c r="X61" s="58">
        <f t="shared" si="6"/>
        <v>1308.4763603890399</v>
      </c>
      <c r="Y61" s="58">
        <f t="shared" si="7"/>
        <v>1816.529424858343</v>
      </c>
      <c r="Z61" s="58">
        <f t="shared" si="8"/>
        <v>2023.4640387385971</v>
      </c>
      <c r="AA61" s="58">
        <f t="shared" si="9"/>
        <v>2238.6714138221196</v>
      </c>
    </row>
    <row r="62" spans="1:27">
      <c r="A62" s="52" t="s">
        <v>140</v>
      </c>
      <c r="B62" s="62">
        <v>-80923.415963181003</v>
      </c>
      <c r="C62" s="62">
        <v>-98458.974999999991</v>
      </c>
      <c r="D62" s="62">
        <v>-129605.25000000001</v>
      </c>
      <c r="E62" s="62">
        <v>-199960.25</v>
      </c>
      <c r="F62" s="62">
        <v>-227784.25</v>
      </c>
      <c r="G62" s="63">
        <v>-176644.30865252038</v>
      </c>
      <c r="H62" s="63">
        <v>-245231.47235587629</v>
      </c>
      <c r="I62" s="63">
        <v>-273167.64522971062</v>
      </c>
      <c r="J62" s="63">
        <v>-302220.64086598618</v>
      </c>
      <c r="R62" s="52" t="s">
        <v>140</v>
      </c>
      <c r="S62" s="58">
        <f t="shared" si="1"/>
        <v>-80.923415963181</v>
      </c>
      <c r="T62" s="58">
        <f t="shared" si="2"/>
        <v>-98.458974999999995</v>
      </c>
      <c r="U62" s="58">
        <f t="shared" si="3"/>
        <v>-129.60525000000001</v>
      </c>
      <c r="V62" s="58">
        <f t="shared" si="4"/>
        <v>-199.96025</v>
      </c>
      <c r="W62" s="58">
        <f t="shared" si="5"/>
        <v>-227.78424999999999</v>
      </c>
      <c r="X62" s="58">
        <f t="shared" si="6"/>
        <v>-176.64430865252038</v>
      </c>
      <c r="Y62" s="58">
        <f t="shared" si="7"/>
        <v>-245.23147235587629</v>
      </c>
      <c r="Z62" s="58">
        <f t="shared" si="8"/>
        <v>-273.16764522971062</v>
      </c>
      <c r="AA62" s="58">
        <f t="shared" si="9"/>
        <v>-302.22064086598618</v>
      </c>
    </row>
    <row r="63" spans="1:27">
      <c r="A63" s="55"/>
      <c r="B63" s="58"/>
      <c r="C63" s="58"/>
      <c r="D63" s="58"/>
      <c r="E63" s="58"/>
      <c r="F63" s="58"/>
      <c r="G63" s="58"/>
      <c r="H63" s="58"/>
      <c r="I63" s="58"/>
      <c r="J63" s="58"/>
      <c r="R63" s="55"/>
      <c r="S63" s="58"/>
      <c r="T63" s="58"/>
      <c r="U63" s="58"/>
      <c r="V63" s="58"/>
      <c r="W63" s="58"/>
      <c r="X63" s="58"/>
      <c r="Y63" s="58"/>
      <c r="Z63" s="58"/>
      <c r="AA63" s="58"/>
    </row>
    <row r="64" spans="1:27">
      <c r="A64" s="52" t="s">
        <v>141</v>
      </c>
      <c r="B64" s="62">
        <v>0</v>
      </c>
      <c r="C64" s="62">
        <v>-9</v>
      </c>
      <c r="D64" s="62">
        <v>-571</v>
      </c>
      <c r="E64" s="62">
        <v>3393</v>
      </c>
      <c r="F64" s="62">
        <v>-2828</v>
      </c>
      <c r="G64" s="63">
        <v>0</v>
      </c>
      <c r="H64" s="63">
        <v>0</v>
      </c>
      <c r="I64" s="63">
        <v>0</v>
      </c>
      <c r="J64" s="63">
        <v>0</v>
      </c>
      <c r="R64" s="52" t="s">
        <v>141</v>
      </c>
      <c r="S64" s="58">
        <f t="shared" si="1"/>
        <v>0</v>
      </c>
      <c r="T64" s="58">
        <f t="shared" si="2"/>
        <v>-8.9999999999999993E-3</v>
      </c>
      <c r="U64" s="58">
        <f>D64/1000</f>
        <v>-0.57099999999999995</v>
      </c>
      <c r="V64" s="58">
        <f t="shared" si="4"/>
        <v>3.3929999999999998</v>
      </c>
      <c r="W64" s="58">
        <f t="shared" si="5"/>
        <v>-2.8279999999999998</v>
      </c>
      <c r="X64" s="58">
        <f t="shared" si="6"/>
        <v>0</v>
      </c>
      <c r="Y64" s="58">
        <f t="shared" si="7"/>
        <v>0</v>
      </c>
      <c r="Z64" s="58">
        <f t="shared" si="8"/>
        <v>0</v>
      </c>
      <c r="AA64" s="58">
        <f t="shared" si="9"/>
        <v>0</v>
      </c>
    </row>
    <row r="65" spans="1:27">
      <c r="A65" s="55"/>
      <c r="B65" s="58"/>
      <c r="C65" s="58"/>
      <c r="D65" s="58"/>
      <c r="E65" s="58"/>
      <c r="F65" s="58"/>
      <c r="G65" s="59"/>
      <c r="H65" s="59"/>
      <c r="I65" s="59"/>
      <c r="J65" s="59"/>
      <c r="R65" s="55"/>
      <c r="S65" s="58"/>
      <c r="T65" s="58"/>
      <c r="U65" s="58"/>
      <c r="V65" s="58"/>
      <c r="W65" s="58"/>
      <c r="X65" s="58"/>
      <c r="Y65" s="58"/>
      <c r="Z65" s="58"/>
      <c r="AA65" s="58"/>
    </row>
    <row r="66" spans="1:27">
      <c r="A66" s="55" t="s">
        <v>142</v>
      </c>
      <c r="B66" s="58">
        <v>562168.47803681903</v>
      </c>
      <c r="C66" s="58">
        <v>754243.01400000008</v>
      </c>
      <c r="D66" s="58">
        <v>891880.90999999992</v>
      </c>
      <c r="E66" s="58">
        <v>1060090.0290000001</v>
      </c>
      <c r="F66" s="58">
        <v>1315894.486</v>
      </c>
      <c r="G66" s="59">
        <v>1131832.0517365194</v>
      </c>
      <c r="H66" s="59">
        <v>1571297.9525024665</v>
      </c>
      <c r="I66" s="59">
        <v>1750296.3935088865</v>
      </c>
      <c r="J66" s="59">
        <v>1936450.7729561334</v>
      </c>
      <c r="R66" s="55" t="s">
        <v>142</v>
      </c>
      <c r="S66" s="58">
        <f>B66/1000</f>
        <v>562.16847803681901</v>
      </c>
      <c r="T66" s="58">
        <f t="shared" si="2"/>
        <v>754.24301400000013</v>
      </c>
      <c r="U66" s="58">
        <f t="shared" si="3"/>
        <v>891.88090999999997</v>
      </c>
      <c r="V66" s="58">
        <f t="shared" si="4"/>
        <v>1060.0900290000002</v>
      </c>
      <c r="W66" s="58">
        <f t="shared" si="5"/>
        <v>1315.8944860000001</v>
      </c>
      <c r="X66" s="58">
        <f t="shared" si="6"/>
        <v>1131.8320517365194</v>
      </c>
      <c r="Y66" s="58">
        <f t="shared" si="7"/>
        <v>1571.2979525024666</v>
      </c>
      <c r="Z66" s="58">
        <f t="shared" si="8"/>
        <v>1750.2963935088865</v>
      </c>
      <c r="AA66" s="58">
        <f t="shared" si="9"/>
        <v>1936.4507729561333</v>
      </c>
    </row>
    <row r="67" spans="1:27">
      <c r="A67" s="55" t="s">
        <v>143</v>
      </c>
      <c r="B67" s="66">
        <v>0.22895821800998001</v>
      </c>
      <c r="C67" s="66">
        <v>0.30723578578842597</v>
      </c>
      <c r="D67" s="66">
        <v>0.36543822111103164</v>
      </c>
      <c r="E67" s="66">
        <v>0.43454484083765016</v>
      </c>
      <c r="F67" s="66">
        <v>0.53940245105164686</v>
      </c>
      <c r="G67" s="67">
        <v>0.46395283921380681</v>
      </c>
      <c r="H67" s="67">
        <v>0.6440956899885244</v>
      </c>
      <c r="I67" s="67">
        <v>0.71746950440945245</v>
      </c>
      <c r="J67" s="67">
        <v>0.79377663208279026</v>
      </c>
      <c r="R67" s="55" t="s">
        <v>143</v>
      </c>
      <c r="S67" s="66">
        <v>0.22895821800998001</v>
      </c>
      <c r="T67" s="66">
        <v>0.30723578578842597</v>
      </c>
      <c r="U67" s="66">
        <v>0.36543822111103164</v>
      </c>
      <c r="V67" s="66">
        <v>0.43454484083765016</v>
      </c>
      <c r="W67" s="66">
        <v>0.53940245105164686</v>
      </c>
      <c r="X67" s="67">
        <v>0.46395283921380681</v>
      </c>
      <c r="Y67" s="67">
        <v>0.6440956899885244</v>
      </c>
      <c r="Z67" s="67">
        <v>0.71746950440945245</v>
      </c>
      <c r="AA67" s="67">
        <v>0.79377663208279026</v>
      </c>
    </row>
    <row r="68" spans="1:27">
      <c r="A68" s="55" t="s">
        <v>144</v>
      </c>
      <c r="B68" s="56">
        <v>3.3000000000000002E-2</v>
      </c>
      <c r="C68" s="56">
        <v>4.5999999999999999E-2</v>
      </c>
      <c r="D68" s="56">
        <v>7.2999999999999995E-2</v>
      </c>
      <c r="E68" s="56">
        <v>8.5999999999999993E-2</v>
      </c>
      <c r="F68" s="56">
        <v>0.108</v>
      </c>
      <c r="G68" s="81">
        <f t="shared" ref="G68:J68" si="10">G67*G69</f>
        <v>0.1159882098034517</v>
      </c>
      <c r="H68" s="81">
        <f t="shared" si="10"/>
        <v>0.1610239224971311</v>
      </c>
      <c r="I68" s="81">
        <f t="shared" si="10"/>
        <v>0.21524085132283574</v>
      </c>
      <c r="J68" s="81">
        <f t="shared" si="10"/>
        <v>0.23813298962483706</v>
      </c>
      <c r="R68" s="55" t="s">
        <v>144</v>
      </c>
      <c r="S68" s="152">
        <v>3.3000000000000002E-2</v>
      </c>
      <c r="T68" s="152">
        <v>4.5999999999999999E-2</v>
      </c>
      <c r="U68" s="152">
        <v>7.2999999999999995E-2</v>
      </c>
      <c r="V68" s="152">
        <v>8.5999999999999993E-2</v>
      </c>
      <c r="W68" s="152">
        <v>0.108</v>
      </c>
      <c r="X68" s="152">
        <f t="shared" ref="X68:AA68" si="11">X67*X69</f>
        <v>0.1159882098034517</v>
      </c>
      <c r="Y68" s="152">
        <f t="shared" si="11"/>
        <v>0.1610239224971311</v>
      </c>
      <c r="Z68" s="152">
        <f t="shared" si="11"/>
        <v>0.21524085132283574</v>
      </c>
      <c r="AA68" s="152">
        <f t="shared" si="11"/>
        <v>0.23813298962483706</v>
      </c>
    </row>
    <row r="69" spans="1:27">
      <c r="A69" s="52" t="s">
        <v>145</v>
      </c>
      <c r="B69" s="85">
        <f>B68/B67</f>
        <v>0.14413110080443398</v>
      </c>
      <c r="C69" s="85">
        <f t="shared" ref="C69:F69" si="12">C68/C67</f>
        <v>0.14972214217154156</v>
      </c>
      <c r="D69" s="85">
        <f t="shared" si="12"/>
        <v>0.19976016678841127</v>
      </c>
      <c r="E69" s="85">
        <f t="shared" si="12"/>
        <v>0.19790822929624968</v>
      </c>
      <c r="F69" s="85">
        <f t="shared" si="12"/>
        <v>0.20022155959699039</v>
      </c>
      <c r="G69" s="86">
        <v>0.25</v>
      </c>
      <c r="H69" s="86">
        <v>0.25</v>
      </c>
      <c r="I69" s="86">
        <v>0.3</v>
      </c>
      <c r="J69" s="86">
        <v>0.3</v>
      </c>
      <c r="R69" s="52" t="s">
        <v>145</v>
      </c>
      <c r="S69" s="153">
        <f>S68/S67</f>
        <v>0.14413110080443398</v>
      </c>
      <c r="T69" s="153">
        <f t="shared" ref="T69:W69" si="13">T68/T67</f>
        <v>0.14972214217154156</v>
      </c>
      <c r="U69" s="153">
        <f t="shared" si="13"/>
        <v>0.19976016678841127</v>
      </c>
      <c r="V69" s="153">
        <f t="shared" si="13"/>
        <v>0.19790822929624968</v>
      </c>
      <c r="W69" s="153">
        <f t="shared" si="13"/>
        <v>0.20022155959699039</v>
      </c>
      <c r="X69" s="86">
        <v>0.25</v>
      </c>
      <c r="Y69" s="86">
        <v>0.25</v>
      </c>
      <c r="Z69" s="86">
        <v>0.3</v>
      </c>
      <c r="AA69" s="86">
        <v>0.3</v>
      </c>
    </row>
    <row r="70" spans="1:27">
      <c r="A70" s="55"/>
      <c r="B70" s="82"/>
      <c r="C70" s="82"/>
      <c r="D70" s="82"/>
      <c r="E70" s="82"/>
      <c r="F70" s="82"/>
      <c r="G70" s="83"/>
      <c r="H70" s="83"/>
      <c r="I70" s="83"/>
      <c r="J70" s="83"/>
      <c r="R70" s="55"/>
      <c r="S70" s="82"/>
      <c r="T70" s="82"/>
      <c r="U70" s="82"/>
      <c r="V70" s="82"/>
      <c r="W70" s="82"/>
      <c r="X70" s="83"/>
      <c r="Y70" s="83"/>
      <c r="Z70" s="83"/>
      <c r="AA70" s="83"/>
    </row>
    <row r="71" spans="1:27">
      <c r="A71" s="55" t="s">
        <v>146</v>
      </c>
      <c r="B71" s="116">
        <f>B66-B62-B58</f>
        <v>748663.89400000009</v>
      </c>
      <c r="C71" s="116">
        <f t="shared" ref="C71:J71" si="14">C66-C62-C58</f>
        <v>1022691.9890000001</v>
      </c>
      <c r="D71" s="116">
        <f t="shared" si="14"/>
        <v>1225669.1599999999</v>
      </c>
      <c r="E71" s="116">
        <f t="shared" si="14"/>
        <v>1600692.2790000001</v>
      </c>
      <c r="F71" s="116">
        <f t="shared" si="14"/>
        <v>1955286.736</v>
      </c>
      <c r="G71" s="116">
        <f t="shared" si="14"/>
        <v>1737311.3515366446</v>
      </c>
      <c r="H71" s="116">
        <f t="shared" si="14"/>
        <v>2323200.6949765324</v>
      </c>
      <c r="I71" s="116">
        <f t="shared" si="14"/>
        <v>2616483.643703063</v>
      </c>
      <c r="J71" s="116">
        <f t="shared" si="14"/>
        <v>2926972.4140643566</v>
      </c>
      <c r="R71" s="55" t="s">
        <v>146</v>
      </c>
      <c r="S71" s="116">
        <f>S66-S62-S58</f>
        <v>748.66389400000003</v>
      </c>
      <c r="T71" s="116">
        <f t="shared" ref="T71:AA71" si="15">T66-T62-T58</f>
        <v>1022.6919890000001</v>
      </c>
      <c r="U71" s="116">
        <f t="shared" si="15"/>
        <v>1225.6691599999999</v>
      </c>
      <c r="V71" s="116">
        <f t="shared" si="15"/>
        <v>1600.6922790000003</v>
      </c>
      <c r="W71" s="116">
        <f t="shared" si="15"/>
        <v>1955.286736</v>
      </c>
      <c r="X71" s="116">
        <f t="shared" si="15"/>
        <v>1737.3113515366445</v>
      </c>
      <c r="Y71" s="116">
        <f t="shared" si="15"/>
        <v>2323.2006949765328</v>
      </c>
      <c r="Z71" s="116">
        <f t="shared" si="15"/>
        <v>2616.4836437030631</v>
      </c>
      <c r="AA71" s="116">
        <f t="shared" si="15"/>
        <v>2926.9724140643566</v>
      </c>
    </row>
    <row r="72" spans="1:27">
      <c r="A72" s="5"/>
      <c r="B72"/>
      <c r="C72"/>
      <c r="D72"/>
      <c r="E72"/>
      <c r="F72" s="122"/>
      <c r="G72"/>
      <c r="H72"/>
      <c r="I72"/>
      <c r="J72" s="4">
        <f>-J58/J145</f>
        <v>3.3320287098553183E-2</v>
      </c>
    </row>
    <row r="73" spans="1:27">
      <c r="A73" s="5"/>
      <c r="B73"/>
      <c r="C73"/>
      <c r="D73"/>
      <c r="E73"/>
      <c r="F73"/>
      <c r="G73"/>
      <c r="H73"/>
      <c r="I73"/>
      <c r="J73"/>
    </row>
    <row r="74" spans="1:27">
      <c r="A74" s="68" t="s">
        <v>147</v>
      </c>
      <c r="B74" s="69">
        <v>2017</v>
      </c>
      <c r="C74" s="69">
        <v>2018</v>
      </c>
      <c r="D74" s="69">
        <v>2019</v>
      </c>
      <c r="E74" s="69">
        <v>2020</v>
      </c>
      <c r="F74" s="69">
        <v>2021</v>
      </c>
      <c r="G74" s="69" t="s">
        <v>126</v>
      </c>
      <c r="H74" s="69" t="s">
        <v>127</v>
      </c>
      <c r="I74" s="69" t="s">
        <v>128</v>
      </c>
      <c r="J74" s="69" t="s">
        <v>117</v>
      </c>
      <c r="R74" s="155" t="s">
        <v>148</v>
      </c>
      <c r="S74" s="155">
        <v>2017</v>
      </c>
      <c r="T74" s="155">
        <v>2018</v>
      </c>
      <c r="U74" s="155">
        <v>2019</v>
      </c>
      <c r="V74" s="155">
        <v>2020</v>
      </c>
      <c r="W74" s="155">
        <v>2021</v>
      </c>
      <c r="X74" s="155" t="s">
        <v>149</v>
      </c>
      <c r="Y74" s="155" t="s">
        <v>150</v>
      </c>
      <c r="Z74" s="155" t="s">
        <v>151</v>
      </c>
      <c r="AA74" s="155" t="s">
        <v>152</v>
      </c>
    </row>
    <row r="75" spans="1:27">
      <c r="A75" s="70"/>
      <c r="B75" s="70"/>
      <c r="C75" s="70"/>
      <c r="D75" s="70"/>
      <c r="E75" s="70"/>
      <c r="F75" s="70"/>
      <c r="G75" s="70"/>
      <c r="H75" s="70"/>
      <c r="I75" s="70"/>
      <c r="J75" s="70"/>
      <c r="R75" s="155"/>
      <c r="S75" s="155"/>
      <c r="T75" s="155"/>
      <c r="U75" s="155"/>
      <c r="V75" s="155"/>
      <c r="W75" s="155"/>
      <c r="X75" s="155"/>
      <c r="Y75" s="155"/>
      <c r="Z75" s="155"/>
      <c r="AA75" s="155"/>
    </row>
    <row r="76" spans="1:27">
      <c r="A76" s="71" t="s">
        <v>153</v>
      </c>
      <c r="B76" s="72">
        <v>1079171</v>
      </c>
      <c r="C76" s="72">
        <v>1563691</v>
      </c>
      <c r="D76" s="72">
        <v>1756910</v>
      </c>
      <c r="E76" s="72">
        <v>2062249</v>
      </c>
      <c r="F76" s="72">
        <v>2997264</v>
      </c>
      <c r="G76" s="72">
        <v>3631746.9902097872</v>
      </c>
      <c r="H76" s="72">
        <v>4203913.4184386861</v>
      </c>
      <c r="I76" s="72">
        <v>4819912.6961924415</v>
      </c>
      <c r="J76" s="72">
        <v>5478986.4653297104</v>
      </c>
      <c r="R76" s="155" t="s">
        <v>154</v>
      </c>
      <c r="S76" s="156">
        <v>1079.171</v>
      </c>
      <c r="T76" s="156">
        <v>1563.691</v>
      </c>
      <c r="U76" s="156">
        <v>1756.91</v>
      </c>
      <c r="V76" s="156">
        <v>2062.2489999999998</v>
      </c>
      <c r="W76" s="156">
        <v>2997.2640000000001</v>
      </c>
      <c r="X76" s="156">
        <v>3631.7469902097873</v>
      </c>
      <c r="Y76" s="156">
        <v>4203.9134184386858</v>
      </c>
      <c r="Z76" s="156">
        <v>4819.9126961924412</v>
      </c>
      <c r="AA76" s="156">
        <v>5478.98646532971</v>
      </c>
    </row>
    <row r="77" spans="1:27">
      <c r="A77" s="71" t="s">
        <v>155</v>
      </c>
      <c r="B77" s="73">
        <v>0.51400000000000001</v>
      </c>
      <c r="C77" s="73">
        <v>0.47899999999999998</v>
      </c>
      <c r="D77" s="73">
        <v>0.47599999999999998</v>
      </c>
      <c r="E77" s="73">
        <v>0.47099999999999997</v>
      </c>
      <c r="F77" s="73">
        <v>0.499</v>
      </c>
      <c r="G77" s="73">
        <v>0.5</v>
      </c>
      <c r="H77" s="73">
        <v>0.5</v>
      </c>
      <c r="I77" s="73">
        <v>0.5</v>
      </c>
      <c r="J77" s="73">
        <v>0.5</v>
      </c>
      <c r="R77" s="155" t="s">
        <v>156</v>
      </c>
      <c r="S77" s="157">
        <v>0.51400000000000001</v>
      </c>
      <c r="T77" s="157">
        <v>0.47899999999999998</v>
      </c>
      <c r="U77" s="157">
        <v>0.47599999999999998</v>
      </c>
      <c r="V77" s="157">
        <v>0.47099999999999997</v>
      </c>
      <c r="W77" s="157">
        <v>0.499</v>
      </c>
      <c r="X77" s="157">
        <v>0.5</v>
      </c>
      <c r="Y77" s="157">
        <v>0.5</v>
      </c>
      <c r="Z77" s="157">
        <v>0.5</v>
      </c>
      <c r="AA77" s="157">
        <v>0.5</v>
      </c>
    </row>
    <row r="78" spans="1:27">
      <c r="A78" s="68" t="s">
        <v>157</v>
      </c>
      <c r="B78" s="74">
        <v>554693.89399999997</v>
      </c>
      <c r="C78" s="74">
        <v>749007.98899999994</v>
      </c>
      <c r="D78" s="74">
        <v>836289.15999999992</v>
      </c>
      <c r="E78" s="74">
        <v>971319.27899999998</v>
      </c>
      <c r="F78" s="74">
        <v>1495634.736</v>
      </c>
      <c r="G78" s="74">
        <v>1815873.4951048936</v>
      </c>
      <c r="H78" s="74">
        <v>2101956.709219343</v>
      </c>
      <c r="I78" s="74">
        <v>2409956.3480962208</v>
      </c>
      <c r="J78" s="74">
        <v>2739493.2326648552</v>
      </c>
      <c r="R78" s="155" t="s">
        <v>158</v>
      </c>
      <c r="S78" s="156">
        <v>554.693894</v>
      </c>
      <c r="T78" s="156">
        <v>749.00798899999995</v>
      </c>
      <c r="U78" s="156">
        <v>836.28915999999992</v>
      </c>
      <c r="V78" s="156">
        <v>971.31927899999994</v>
      </c>
      <c r="W78" s="156">
        <v>1495.634736</v>
      </c>
      <c r="X78" s="156">
        <v>1815.8734951048937</v>
      </c>
      <c r="Y78" s="156">
        <v>2101.9567092193429</v>
      </c>
      <c r="Z78" s="156">
        <v>2409.9563480962206</v>
      </c>
      <c r="AA78" s="156">
        <v>2739.493232664855</v>
      </c>
    </row>
    <row r="79" spans="1:27" hidden="1">
      <c r="A79" s="71"/>
      <c r="B79" s="72"/>
      <c r="C79" s="72"/>
      <c r="D79" s="72"/>
      <c r="E79" s="72"/>
      <c r="F79" s="72"/>
      <c r="G79" s="72"/>
      <c r="H79" s="72"/>
      <c r="I79" s="72"/>
      <c r="J79" s="72"/>
      <c r="R79" s="155"/>
      <c r="S79" s="156"/>
      <c r="T79" s="156"/>
      <c r="U79" s="156"/>
      <c r="V79" s="156"/>
      <c r="W79" s="156"/>
      <c r="X79" s="156"/>
      <c r="Y79" s="156"/>
      <c r="Z79" s="156"/>
      <c r="AA79" s="156"/>
    </row>
    <row r="80" spans="1:27">
      <c r="A80" s="71"/>
      <c r="B80" s="72"/>
      <c r="C80" s="72"/>
      <c r="D80" s="72"/>
      <c r="E80" s="72"/>
      <c r="F80" s="72"/>
      <c r="G80" s="72"/>
      <c r="H80" s="72"/>
      <c r="I80" s="72"/>
      <c r="J80" s="72"/>
      <c r="R80" s="155"/>
      <c r="S80" s="156"/>
      <c r="T80" s="156"/>
      <c r="U80" s="156"/>
      <c r="V80" s="156"/>
      <c r="W80" s="156"/>
      <c r="X80" s="156"/>
      <c r="Y80" s="156"/>
      <c r="Z80" s="156"/>
      <c r="AA80" s="156"/>
    </row>
    <row r="81" spans="1:27">
      <c r="A81" s="71" t="s">
        <v>159</v>
      </c>
      <c r="B81" s="72">
        <v>1318360</v>
      </c>
      <c r="C81" s="72">
        <v>1762113</v>
      </c>
      <c r="D81" s="72">
        <v>2089531</v>
      </c>
      <c r="E81" s="72">
        <v>2803959</v>
      </c>
      <c r="F81" s="72">
        <v>3630158</v>
      </c>
      <c r="G81" s="72">
        <v>894409.22711160686</v>
      </c>
      <c r="H81" s="72">
        <v>2838975.4890952115</v>
      </c>
      <c r="I81" s="72">
        <v>3147505.9511568397</v>
      </c>
      <c r="J81" s="72">
        <v>3471296.2672454105</v>
      </c>
      <c r="R81" s="155" t="s">
        <v>160</v>
      </c>
      <c r="S81" s="156">
        <v>1318.36</v>
      </c>
      <c r="T81" s="156">
        <v>1762.1130000000001</v>
      </c>
      <c r="U81" s="156">
        <v>2089.5309999999999</v>
      </c>
      <c r="V81" s="156">
        <v>2803.9589999999998</v>
      </c>
      <c r="W81" s="156">
        <v>3630.1579999999999</v>
      </c>
      <c r="X81" s="156">
        <v>894.40922711160681</v>
      </c>
      <c r="Y81" s="156">
        <v>2838.9754890952113</v>
      </c>
      <c r="Z81" s="156">
        <v>3147.5059511568397</v>
      </c>
      <c r="AA81" s="156">
        <v>3471.2962672454105</v>
      </c>
    </row>
    <row r="82" spans="1:27">
      <c r="A82" s="71" t="s">
        <v>155</v>
      </c>
      <c r="B82" s="73">
        <v>0.19985512303164538</v>
      </c>
      <c r="C82" s="73">
        <v>0.19778981257161146</v>
      </c>
      <c r="D82" s="73">
        <v>0.19675372128960997</v>
      </c>
      <c r="E82" s="73">
        <v>0.19599573317584174</v>
      </c>
      <c r="F82" s="73">
        <v>0.15915175041967869</v>
      </c>
      <c r="G82" s="73">
        <v>0.15</v>
      </c>
      <c r="H82" s="73">
        <v>0.15</v>
      </c>
      <c r="I82" s="73">
        <v>0.15</v>
      </c>
      <c r="J82" s="73">
        <v>0.15</v>
      </c>
      <c r="R82" s="155" t="s">
        <v>156</v>
      </c>
      <c r="S82" s="157">
        <v>0.19985512303164538</v>
      </c>
      <c r="T82" s="157">
        <v>0.19778981257161146</v>
      </c>
      <c r="U82" s="157">
        <v>0.19675372128960997</v>
      </c>
      <c r="V82" s="157">
        <v>0.19599573317584174</v>
      </c>
      <c r="W82" s="157">
        <v>0.15915175041967869</v>
      </c>
      <c r="X82" s="157">
        <v>0.15</v>
      </c>
      <c r="Y82" s="157">
        <v>0.15</v>
      </c>
      <c r="Z82" s="157">
        <v>0.15</v>
      </c>
      <c r="AA82" s="157">
        <v>0.15</v>
      </c>
    </row>
    <row r="83" spans="1:27">
      <c r="A83" s="68" t="s">
        <v>133</v>
      </c>
      <c r="B83" s="74">
        <v>263481</v>
      </c>
      <c r="C83" s="74">
        <v>348528</v>
      </c>
      <c r="D83" s="74">
        <v>411123</v>
      </c>
      <c r="E83" s="74">
        <v>549564</v>
      </c>
      <c r="F83" s="74">
        <v>577746</v>
      </c>
      <c r="G83" s="74">
        <v>134161.38406674101</v>
      </c>
      <c r="H83" s="74">
        <v>425846.32336428174</v>
      </c>
      <c r="I83" s="74">
        <v>472125.89267352596</v>
      </c>
      <c r="J83" s="74">
        <v>520694.44008681155</v>
      </c>
      <c r="R83" s="155" t="s">
        <v>161</v>
      </c>
      <c r="S83" s="156">
        <v>263.48099999999999</v>
      </c>
      <c r="T83" s="156">
        <v>348.52800000000002</v>
      </c>
      <c r="U83" s="156">
        <v>411.12299999999999</v>
      </c>
      <c r="V83" s="156">
        <v>549.56399999999996</v>
      </c>
      <c r="W83" s="156">
        <v>577.74599999999998</v>
      </c>
      <c r="X83" s="156">
        <v>134.16138406674102</v>
      </c>
      <c r="Y83" s="156">
        <v>425.84632336428172</v>
      </c>
      <c r="Z83" s="156">
        <v>472.12589267352598</v>
      </c>
      <c r="AA83" s="156">
        <v>520.6944400868116</v>
      </c>
    </row>
    <row r="84" spans="1:27" hidden="1">
      <c r="A84" s="71"/>
      <c r="B84" s="72"/>
      <c r="C84" s="72"/>
      <c r="D84" s="72"/>
      <c r="E84" s="72"/>
      <c r="F84" s="72"/>
      <c r="G84" s="72"/>
      <c r="H84" s="72"/>
      <c r="I84" s="72"/>
      <c r="J84" s="72"/>
      <c r="R84" s="155"/>
      <c r="S84" s="156"/>
      <c r="T84" s="156"/>
      <c r="U84" s="156"/>
      <c r="V84" s="156"/>
      <c r="W84" s="156"/>
      <c r="X84" s="156"/>
      <c r="Y84" s="156"/>
      <c r="Z84" s="156"/>
      <c r="AA84" s="156"/>
    </row>
    <row r="85" spans="1:27">
      <c r="A85" s="71"/>
      <c r="B85" s="72"/>
      <c r="C85" s="72"/>
      <c r="D85" s="72"/>
      <c r="E85" s="72"/>
      <c r="F85" s="72"/>
      <c r="G85" s="72"/>
      <c r="H85" s="72"/>
      <c r="I85" s="72"/>
      <c r="J85" s="72"/>
      <c r="R85" s="155"/>
      <c r="S85" s="156"/>
      <c r="T85" s="156"/>
      <c r="U85" s="156"/>
      <c r="V85" s="156"/>
      <c r="W85" s="156"/>
      <c r="X85" s="156"/>
      <c r="Y85" s="156"/>
      <c r="Z85" s="156"/>
      <c r="AA85" s="156"/>
    </row>
    <row r="86" spans="1:27">
      <c r="A86" s="71" t="s">
        <v>162</v>
      </c>
      <c r="B86" s="72">
        <v>0</v>
      </c>
      <c r="C86" s="72">
        <v>0</v>
      </c>
      <c r="D86" s="72">
        <v>105775</v>
      </c>
      <c r="E86" s="72">
        <v>121698</v>
      </c>
      <c r="F86" s="72">
        <v>167149</v>
      </c>
      <c r="G86" s="72">
        <v>200578.8</v>
      </c>
      <c r="H86" s="72">
        <v>240694.55999999997</v>
      </c>
      <c r="I86" s="72">
        <v>288833.47199999995</v>
      </c>
      <c r="J86" s="72">
        <v>346600.16639999993</v>
      </c>
      <c r="R86" s="155" t="s">
        <v>163</v>
      </c>
      <c r="S86" s="156">
        <v>0</v>
      </c>
      <c r="T86" s="156">
        <v>0</v>
      </c>
      <c r="U86" s="156">
        <v>105.77500000000001</v>
      </c>
      <c r="V86" s="156">
        <v>121.69799999999999</v>
      </c>
      <c r="W86" s="156">
        <v>167.149</v>
      </c>
      <c r="X86" s="156">
        <v>200.5788</v>
      </c>
      <c r="Y86" s="156">
        <v>240.69455999999997</v>
      </c>
      <c r="Z86" s="156">
        <v>288.83347199999997</v>
      </c>
      <c r="AA86" s="156">
        <v>346.60016639999992</v>
      </c>
    </row>
    <row r="87" spans="1:27">
      <c r="A87" s="71" t="s">
        <v>155</v>
      </c>
      <c r="B87" s="75" t="s">
        <v>164</v>
      </c>
      <c r="C87" s="75" t="s">
        <v>164</v>
      </c>
      <c r="D87" s="73">
        <v>0.17478610257622312</v>
      </c>
      <c r="E87" s="73">
        <v>0.19711909809528505</v>
      </c>
      <c r="F87" s="73">
        <v>0.21534678640015795</v>
      </c>
      <c r="G87" s="73">
        <v>0.2</v>
      </c>
      <c r="H87" s="73">
        <v>0.2</v>
      </c>
      <c r="I87" s="73">
        <v>0.2</v>
      </c>
      <c r="J87" s="73">
        <v>0.2</v>
      </c>
      <c r="R87" s="155" t="s">
        <v>156</v>
      </c>
      <c r="S87" s="158" t="s">
        <v>165</v>
      </c>
      <c r="T87" s="158" t="s">
        <v>165</v>
      </c>
      <c r="U87" s="157">
        <v>0.17478610257622312</v>
      </c>
      <c r="V87" s="157">
        <v>0.19711909809528505</v>
      </c>
      <c r="W87" s="157">
        <v>0.21534678640015795</v>
      </c>
      <c r="X87" s="157">
        <v>0.2</v>
      </c>
      <c r="Y87" s="157">
        <v>0.2</v>
      </c>
      <c r="Z87" s="157">
        <v>0.2</v>
      </c>
      <c r="AA87" s="157">
        <v>0.2</v>
      </c>
    </row>
    <row r="88" spans="1:27">
      <c r="A88" s="68" t="s">
        <v>133</v>
      </c>
      <c r="B88" s="74">
        <v>0</v>
      </c>
      <c r="C88" s="74">
        <v>0</v>
      </c>
      <c r="D88" s="74">
        <v>18488</v>
      </c>
      <c r="E88" s="74">
        <v>23989</v>
      </c>
      <c r="F88" s="74">
        <v>35995</v>
      </c>
      <c r="G88" s="74">
        <v>40115.760000000002</v>
      </c>
      <c r="H88" s="74">
        <v>48138.911999999997</v>
      </c>
      <c r="I88" s="74">
        <v>57766.694399999993</v>
      </c>
      <c r="J88" s="74">
        <v>69320.033279999989</v>
      </c>
      <c r="R88" s="155" t="s">
        <v>161</v>
      </c>
      <c r="S88" s="156">
        <v>0</v>
      </c>
      <c r="T88" s="156">
        <v>0</v>
      </c>
      <c r="U88" s="156">
        <v>18.488</v>
      </c>
      <c r="V88" s="156">
        <v>23.989000000000001</v>
      </c>
      <c r="W88" s="156">
        <v>35.994999999999997</v>
      </c>
      <c r="X88" s="156">
        <v>40.115760000000002</v>
      </c>
      <c r="Y88" s="156">
        <v>48.138911999999998</v>
      </c>
      <c r="Z88" s="156">
        <v>57.766694399999992</v>
      </c>
      <c r="AA88" s="156">
        <v>69.32003327999999</v>
      </c>
    </row>
    <row r="89" spans="1:27" hidden="1">
      <c r="A89" s="71"/>
      <c r="B89" s="72"/>
      <c r="C89" s="72"/>
      <c r="D89" s="72"/>
      <c r="E89" s="72"/>
      <c r="F89" s="72"/>
      <c r="G89" s="72"/>
      <c r="H89" s="72"/>
      <c r="I89" s="72"/>
      <c r="J89" s="72"/>
      <c r="R89" s="155"/>
      <c r="S89" s="156"/>
      <c r="T89" s="156"/>
      <c r="U89" s="156"/>
      <c r="V89" s="156"/>
      <c r="W89" s="156"/>
      <c r="X89" s="156"/>
      <c r="Y89" s="156"/>
      <c r="Z89" s="156"/>
      <c r="AA89" s="156"/>
    </row>
    <row r="90" spans="1:27">
      <c r="A90" s="71"/>
      <c r="B90" s="72"/>
      <c r="C90" s="72"/>
      <c r="D90" s="72"/>
      <c r="E90" s="72"/>
      <c r="F90" s="72"/>
      <c r="G90" s="72"/>
      <c r="H90" s="72"/>
      <c r="I90" s="72"/>
      <c r="J90" s="72"/>
      <c r="R90" s="155"/>
      <c r="S90" s="156"/>
      <c r="T90" s="156"/>
      <c r="U90" s="156"/>
      <c r="V90" s="156"/>
      <c r="W90" s="156"/>
      <c r="X90" s="156"/>
      <c r="Y90" s="156"/>
      <c r="Z90" s="156"/>
      <c r="AA90" s="156"/>
    </row>
    <row r="91" spans="1:27">
      <c r="A91" s="71" t="s">
        <v>166</v>
      </c>
      <c r="B91" s="72">
        <f>B76+B81+B86</f>
        <v>2397531</v>
      </c>
      <c r="C91" s="72">
        <f t="shared" ref="C91:J91" si="16">C76+C81+C86</f>
        <v>3325804</v>
      </c>
      <c r="D91" s="72">
        <f t="shared" si="16"/>
        <v>3952216</v>
      </c>
      <c r="E91" s="72">
        <f t="shared" si="16"/>
        <v>4987906</v>
      </c>
      <c r="F91" s="72">
        <f t="shared" si="16"/>
        <v>6794571</v>
      </c>
      <c r="G91" s="72">
        <f t="shared" si="16"/>
        <v>4726735.0173213938</v>
      </c>
      <c r="H91" s="72">
        <f t="shared" si="16"/>
        <v>7283583.4675338967</v>
      </c>
      <c r="I91" s="72">
        <f t="shared" si="16"/>
        <v>8256252.1193492813</v>
      </c>
      <c r="J91" s="72">
        <f t="shared" si="16"/>
        <v>9296882.8989751209</v>
      </c>
      <c r="R91" s="155" t="s">
        <v>167</v>
      </c>
      <c r="S91" s="156">
        <v>2397.5309999999999</v>
      </c>
      <c r="T91" s="156">
        <v>3325.8040000000001</v>
      </c>
      <c r="U91" s="156">
        <v>3952.2159999999999</v>
      </c>
      <c r="V91" s="156">
        <v>4987.9059999999999</v>
      </c>
      <c r="W91" s="156">
        <v>6794.5709999999999</v>
      </c>
      <c r="X91" s="156">
        <v>4726.7350173213936</v>
      </c>
      <c r="Y91" s="156">
        <v>7283.5834675338965</v>
      </c>
      <c r="Z91" s="156">
        <v>8256.2521193492812</v>
      </c>
      <c r="AA91" s="156">
        <v>9296.88289897512</v>
      </c>
    </row>
    <row r="92" spans="1:27">
      <c r="A92" s="71" t="s">
        <v>168</v>
      </c>
      <c r="B92" s="73">
        <f>B93/B91</f>
        <v>0.34125727425422236</v>
      </c>
      <c r="C92" s="73">
        <f t="shared" ref="C92:J92" si="17">C93/C91</f>
        <v>0.33000621473784986</v>
      </c>
      <c r="D92" s="73">
        <f t="shared" si="17"/>
        <v>0.3203013600471229</v>
      </c>
      <c r="E92" s="73">
        <f t="shared" si="17"/>
        <v>0.30972361528064085</v>
      </c>
      <c r="F92" s="73">
        <f t="shared" si="17"/>
        <v>0.31045017205648451</v>
      </c>
      <c r="G92" s="73">
        <f t="shared" si="17"/>
        <v>0.42104129634485804</v>
      </c>
      <c r="H92" s="73">
        <f t="shared" si="17"/>
        <v>0.35366409351464423</v>
      </c>
      <c r="I92" s="73">
        <f t="shared" si="17"/>
        <v>0.3560754798511957</v>
      </c>
      <c r="J92" s="73">
        <f t="shared" si="17"/>
        <v>0.35813161703894419</v>
      </c>
      <c r="R92" s="155" t="s">
        <v>169</v>
      </c>
      <c r="S92" s="157">
        <v>0.34125727425422236</v>
      </c>
      <c r="T92" s="157">
        <v>0.33000621473784986</v>
      </c>
      <c r="U92" s="157">
        <v>0.3203013600471229</v>
      </c>
      <c r="V92" s="157">
        <v>0.30972361528064085</v>
      </c>
      <c r="W92" s="157">
        <v>0.31045017205648451</v>
      </c>
      <c r="X92" s="157">
        <v>0.42104129634485804</v>
      </c>
      <c r="Y92" s="157">
        <v>0.35366409351464423</v>
      </c>
      <c r="Z92" s="157">
        <v>0.3560754798511957</v>
      </c>
      <c r="AA92" s="157">
        <v>0.35813161703894419</v>
      </c>
    </row>
    <row r="93" spans="1:27">
      <c r="A93" s="68" t="s">
        <v>170</v>
      </c>
      <c r="B93" s="74">
        <f>B78+B83+B88</f>
        <v>818174.89399999997</v>
      </c>
      <c r="C93" s="74">
        <f t="shared" ref="C93:J93" si="18">C78+C83+C88</f>
        <v>1097535.9890000001</v>
      </c>
      <c r="D93" s="74">
        <f t="shared" si="18"/>
        <v>1265900.1599999999</v>
      </c>
      <c r="E93" s="74">
        <f t="shared" si="18"/>
        <v>1544872.2790000001</v>
      </c>
      <c r="F93" s="74">
        <f t="shared" si="18"/>
        <v>2109375.736</v>
      </c>
      <c r="G93" s="74">
        <f t="shared" si="18"/>
        <v>1990150.6391716346</v>
      </c>
      <c r="H93" s="74">
        <f t="shared" si="18"/>
        <v>2575941.9445836246</v>
      </c>
      <c r="I93" s="74">
        <f t="shared" si="18"/>
        <v>2939848.9351697466</v>
      </c>
      <c r="J93" s="74">
        <f t="shared" si="18"/>
        <v>3329507.7060316671</v>
      </c>
      <c r="R93" s="155" t="s">
        <v>171</v>
      </c>
      <c r="S93" s="156">
        <v>818.17489399999999</v>
      </c>
      <c r="T93" s="156">
        <v>1097.535989</v>
      </c>
      <c r="U93" s="156">
        <v>1265.9001599999999</v>
      </c>
      <c r="V93" s="156">
        <v>1544.8722790000002</v>
      </c>
      <c r="W93" s="156">
        <v>2109.375736</v>
      </c>
      <c r="X93" s="156">
        <v>1990.1506391716346</v>
      </c>
      <c r="Y93" s="156">
        <v>2575.9419445836247</v>
      </c>
      <c r="Z93" s="156">
        <v>2939.8489351697467</v>
      </c>
      <c r="AA93" s="156">
        <v>3329.5077060316671</v>
      </c>
    </row>
    <row r="94" spans="1:27">
      <c r="A94" s="76"/>
      <c r="B94" s="77"/>
      <c r="C94" s="77"/>
      <c r="D94" s="77"/>
      <c r="E94" s="77"/>
      <c r="F94" s="77"/>
      <c r="G94" s="77"/>
      <c r="H94" s="77"/>
      <c r="I94" s="77"/>
      <c r="J94" s="77"/>
      <c r="R94" s="155"/>
      <c r="S94" s="156"/>
      <c r="T94" s="156"/>
      <c r="U94" s="156"/>
      <c r="V94" s="156"/>
      <c r="W94" s="156"/>
      <c r="X94" s="156"/>
      <c r="Y94" s="156"/>
      <c r="Z94" s="156"/>
      <c r="AA94" s="156"/>
    </row>
    <row r="95" spans="1:27">
      <c r="A95" s="71" t="s">
        <v>172</v>
      </c>
      <c r="B95" s="77"/>
      <c r="C95" s="77"/>
      <c r="D95" s="77"/>
      <c r="E95" s="77"/>
      <c r="F95" s="77"/>
      <c r="G95" s="77"/>
      <c r="H95" s="77"/>
      <c r="I95" s="77"/>
      <c r="J95" s="77"/>
      <c r="R95" s="155" t="s">
        <v>173</v>
      </c>
      <c r="S95" s="156"/>
      <c r="T95" s="156"/>
      <c r="U95" s="156"/>
      <c r="V95" s="156"/>
      <c r="W95" s="156"/>
      <c r="X95" s="156"/>
      <c r="Y95" s="156"/>
      <c r="Z95" s="156"/>
      <c r="AA95" s="156"/>
    </row>
    <row r="96" spans="1:27">
      <c r="A96" s="71" t="s">
        <v>174</v>
      </c>
      <c r="B96" s="77">
        <f>B76+B86</f>
        <v>1079171</v>
      </c>
      <c r="C96" s="77">
        <f t="shared" ref="C96:J96" si="19">C76+C86</f>
        <v>1563691</v>
      </c>
      <c r="D96" s="77">
        <f t="shared" si="19"/>
        <v>1862685</v>
      </c>
      <c r="E96" s="77">
        <f t="shared" si="19"/>
        <v>2183947</v>
      </c>
      <c r="F96" s="77">
        <f t="shared" si="19"/>
        <v>3164413</v>
      </c>
      <c r="G96" s="77">
        <f t="shared" si="19"/>
        <v>3832325.790209787</v>
      </c>
      <c r="H96" s="77">
        <f t="shared" si="19"/>
        <v>4444607.9784386856</v>
      </c>
      <c r="I96" s="77">
        <f t="shared" si="19"/>
        <v>5108746.1681924416</v>
      </c>
      <c r="J96" s="77">
        <f t="shared" si="19"/>
        <v>5825586.6317297099</v>
      </c>
      <c r="R96" s="155" t="s">
        <v>175</v>
      </c>
      <c r="S96" s="156">
        <v>1079.171</v>
      </c>
      <c r="T96" s="156">
        <v>1563.691</v>
      </c>
      <c r="U96" s="156">
        <v>1862.6849999999999</v>
      </c>
      <c r="V96" s="156">
        <v>2183.9470000000001</v>
      </c>
      <c r="W96" s="156">
        <v>3164.413</v>
      </c>
      <c r="X96" s="156">
        <v>3832.3257902097871</v>
      </c>
      <c r="Y96" s="156">
        <v>4444.6079784386857</v>
      </c>
      <c r="Z96" s="156">
        <v>5108.7461681924415</v>
      </c>
      <c r="AA96" s="156">
        <v>5825.5866317297096</v>
      </c>
    </row>
    <row r="97" spans="1:27">
      <c r="A97" s="71" t="s">
        <v>176</v>
      </c>
      <c r="B97" s="78">
        <f>B98/B96</f>
        <v>0.51400000000000001</v>
      </c>
      <c r="C97" s="78">
        <f t="shared" ref="C97:J97" si="20">C98/C96</f>
        <v>0.47899999999999998</v>
      </c>
      <c r="D97" s="78">
        <f t="shared" si="20"/>
        <v>0.45889517551276782</v>
      </c>
      <c r="E97" s="78">
        <f t="shared" si="20"/>
        <v>0.45573829355749018</v>
      </c>
      <c r="F97" s="78">
        <f t="shared" si="20"/>
        <v>0.48401701547806814</v>
      </c>
      <c r="G97" s="78">
        <f t="shared" si="20"/>
        <v>0.48429840172938277</v>
      </c>
      <c r="H97" s="78">
        <f t="shared" si="20"/>
        <v>0.48375371498447306</v>
      </c>
      <c r="I97" s="78">
        <f t="shared" si="20"/>
        <v>0.483038882976905</v>
      </c>
      <c r="J97" s="78">
        <f t="shared" si="20"/>
        <v>0.48215114519906704</v>
      </c>
      <c r="R97" s="155" t="s">
        <v>177</v>
      </c>
      <c r="S97" s="157">
        <v>0.51400000000000001</v>
      </c>
      <c r="T97" s="157">
        <v>0.47899999999999998</v>
      </c>
      <c r="U97" s="157">
        <v>0.45889517551276782</v>
      </c>
      <c r="V97" s="157">
        <v>0.45573829355749018</v>
      </c>
      <c r="W97" s="157">
        <v>0.48401701547806814</v>
      </c>
      <c r="X97" s="157">
        <v>0.48429840172938277</v>
      </c>
      <c r="Y97" s="157">
        <v>0.48375371498447306</v>
      </c>
      <c r="Z97" s="157">
        <v>0.483038882976905</v>
      </c>
      <c r="AA97" s="157">
        <v>0.48215114519906704</v>
      </c>
    </row>
    <row r="98" spans="1:27">
      <c r="A98" s="79" t="s">
        <v>178</v>
      </c>
      <c r="B98" s="80">
        <f>B78+B88</f>
        <v>554693.89399999997</v>
      </c>
      <c r="C98" s="80">
        <f t="shared" ref="C98:J98" si="21">C78+C88</f>
        <v>749007.98899999994</v>
      </c>
      <c r="D98" s="80">
        <f t="shared" si="21"/>
        <v>854777.15999999992</v>
      </c>
      <c r="E98" s="80">
        <f t="shared" si="21"/>
        <v>995308.27899999998</v>
      </c>
      <c r="F98" s="80">
        <f t="shared" si="21"/>
        <v>1531629.736</v>
      </c>
      <c r="G98" s="80">
        <f t="shared" si="21"/>
        <v>1855989.2551048936</v>
      </c>
      <c r="H98" s="80">
        <f t="shared" si="21"/>
        <v>2150095.621219343</v>
      </c>
      <c r="I98" s="80">
        <f t="shared" si="21"/>
        <v>2467723.0424962207</v>
      </c>
      <c r="J98" s="80">
        <f t="shared" si="21"/>
        <v>2808813.2659448553</v>
      </c>
      <c r="R98" s="155" t="s">
        <v>179</v>
      </c>
      <c r="S98" s="156">
        <v>554.693894</v>
      </c>
      <c r="T98" s="156">
        <v>749.00798899999995</v>
      </c>
      <c r="U98" s="156">
        <v>854.77715999999987</v>
      </c>
      <c r="V98" s="156">
        <v>995.30827899999997</v>
      </c>
      <c r="W98" s="156">
        <v>1531.6297360000001</v>
      </c>
      <c r="X98" s="156">
        <v>1855.9892551048936</v>
      </c>
      <c r="Y98" s="156">
        <v>2150.0956212193432</v>
      </c>
      <c r="Z98" s="156">
        <v>2467.7230424962208</v>
      </c>
      <c r="AA98" s="156">
        <v>2808.8132659448552</v>
      </c>
    </row>
    <row r="99" spans="1:27">
      <c r="K99" s="2"/>
      <c r="L99" s="2"/>
      <c r="M99" s="2"/>
    </row>
    <row r="100" spans="1:27" hidden="1">
      <c r="K100" s="2"/>
      <c r="L100" s="2"/>
      <c r="M100" s="2"/>
    </row>
    <row r="101" spans="1:27" hidden="1">
      <c r="A101"/>
      <c r="B101"/>
      <c r="C101"/>
      <c r="D101"/>
      <c r="E101"/>
      <c r="F101"/>
      <c r="G101"/>
      <c r="H101"/>
      <c r="I101"/>
      <c r="J101"/>
      <c r="K101" s="2"/>
      <c r="L101" s="2"/>
      <c r="M101" s="2"/>
    </row>
    <row r="102" spans="1:27" hidden="1">
      <c r="A102" s="89"/>
      <c r="B102" s="88">
        <v>2011</v>
      </c>
      <c r="C102" s="88">
        <v>2012</v>
      </c>
      <c r="D102" s="88">
        <v>2013</v>
      </c>
      <c r="E102" s="88">
        <v>2014</v>
      </c>
      <c r="F102" s="88">
        <v>2015</v>
      </c>
      <c r="G102" s="88">
        <v>2016</v>
      </c>
      <c r="H102" s="88">
        <v>2017</v>
      </c>
      <c r="I102" s="88">
        <v>2018</v>
      </c>
      <c r="J102" s="88">
        <v>2019</v>
      </c>
      <c r="K102" s="88">
        <v>2020</v>
      </c>
      <c r="L102" s="88">
        <v>2021</v>
      </c>
      <c r="M102" s="88">
        <v>2022</v>
      </c>
      <c r="N102" s="88">
        <v>2023</v>
      </c>
      <c r="O102" s="88">
        <v>2024</v>
      </c>
      <c r="P102" s="88">
        <v>2025</v>
      </c>
    </row>
    <row r="103" spans="1:27" hidden="1">
      <c r="A103" s="1" t="s">
        <v>180</v>
      </c>
      <c r="B103" s="6">
        <v>56298</v>
      </c>
      <c r="C103" s="6">
        <v>44680</v>
      </c>
      <c r="D103" s="6">
        <v>49803</v>
      </c>
      <c r="E103" s="6">
        <v>1328172</v>
      </c>
      <c r="F103" s="6">
        <v>449136</v>
      </c>
      <c r="G103" s="6">
        <v>618953</v>
      </c>
      <c r="H103" s="6">
        <v>1347803</v>
      </c>
      <c r="I103" s="6">
        <v>1317431</v>
      </c>
      <c r="J103" s="6">
        <v>1020327</v>
      </c>
      <c r="K103" s="6">
        <v>1769598</v>
      </c>
      <c r="L103" s="6">
        <v>1704008</v>
      </c>
      <c r="M103" s="6">
        <v>1548798.7134596484</v>
      </c>
      <c r="N103" s="6">
        <v>2299393.1029355191</v>
      </c>
      <c r="O103" s="6">
        <v>2556434.3970009573</v>
      </c>
      <c r="P103" s="6">
        <v>2825020.8881073506</v>
      </c>
    </row>
    <row r="104" spans="1:27" hidden="1">
      <c r="A104" s="1" t="s">
        <v>181</v>
      </c>
      <c r="B104" s="6">
        <v>63009</v>
      </c>
      <c r="C104" s="6">
        <v>78770</v>
      </c>
      <c r="D104" s="6">
        <v>68273</v>
      </c>
      <c r="E104" s="6">
        <v>70967</v>
      </c>
      <c r="F104" s="6">
        <v>86578</v>
      </c>
      <c r="G104" s="6">
        <v>114334</v>
      </c>
      <c r="H104" s="6">
        <v>260190.99999999997</v>
      </c>
      <c r="I104" s="6">
        <v>260322.99999999997</v>
      </c>
      <c r="J104" s="6">
        <v>465916</v>
      </c>
      <c r="K104" s="6">
        <v>699031</v>
      </c>
      <c r="L104" s="6">
        <v>1062020</v>
      </c>
      <c r="M104" s="6">
        <v>1111052.5519708937</v>
      </c>
      <c r="N104" s="6">
        <v>1331460.9957485988</v>
      </c>
      <c r="O104" s="6">
        <v>1575972.9682885022</v>
      </c>
      <c r="P104" s="6">
        <v>1845780.6252305605</v>
      </c>
    </row>
    <row r="105" spans="1:27" hidden="1">
      <c r="A105" s="1" t="s">
        <v>182</v>
      </c>
      <c r="B105" s="6">
        <v>2420</v>
      </c>
      <c r="C105" s="6">
        <v>2532</v>
      </c>
      <c r="D105" s="6">
        <v>1579</v>
      </c>
      <c r="E105" s="6">
        <v>507</v>
      </c>
      <c r="F105" s="6">
        <v>472</v>
      </c>
      <c r="G105" s="6">
        <v>761</v>
      </c>
      <c r="H105" s="6">
        <v>2314</v>
      </c>
      <c r="I105" s="6">
        <v>5725</v>
      </c>
      <c r="J105" s="6">
        <v>6619</v>
      </c>
      <c r="K105" s="6">
        <v>15353</v>
      </c>
      <c r="L105" s="6">
        <v>22321</v>
      </c>
      <c r="M105" s="6">
        <v>23551.433791083498</v>
      </c>
      <c r="N105" s="6">
        <v>28580.17012970104</v>
      </c>
      <c r="O105" s="6">
        <v>34158.841347844471</v>
      </c>
      <c r="P105" s="6">
        <v>40314.647113027349</v>
      </c>
    </row>
    <row r="106" spans="1:27" hidden="1">
      <c r="A106" s="1" t="s">
        <v>183</v>
      </c>
      <c r="B106" s="6">
        <v>8498</v>
      </c>
      <c r="C106" s="6">
        <v>13300</v>
      </c>
      <c r="D106" s="6">
        <v>96441</v>
      </c>
      <c r="E106" s="6">
        <v>39944</v>
      </c>
      <c r="F106" s="6">
        <v>266959</v>
      </c>
      <c r="G106" s="6">
        <v>238215</v>
      </c>
      <c r="H106" s="6">
        <v>361266</v>
      </c>
      <c r="I106" s="6">
        <v>437150</v>
      </c>
      <c r="J106" s="6">
        <v>674402</v>
      </c>
      <c r="K106" s="6">
        <v>885072</v>
      </c>
      <c r="L106" s="6">
        <v>1223395</v>
      </c>
      <c r="M106" s="6">
        <v>1406211.999990046</v>
      </c>
      <c r="N106" s="6">
        <v>1701801.9999936223</v>
      </c>
      <c r="O106" s="6">
        <v>2025827.9999941587</v>
      </c>
      <c r="P106" s="6">
        <v>2378289.9999991059</v>
      </c>
    </row>
    <row r="107" spans="1:27" hidden="1">
      <c r="A107" s="1" t="s">
        <v>184</v>
      </c>
      <c r="B107" s="6">
        <v>130225</v>
      </c>
      <c r="C107" s="6">
        <v>139281.99999999997</v>
      </c>
      <c r="D107" s="6">
        <v>216096</v>
      </c>
      <c r="E107" s="6">
        <v>1439590.0000000002</v>
      </c>
      <c r="F107" s="6">
        <v>803145</v>
      </c>
      <c r="G107" s="6">
        <v>972263</v>
      </c>
      <c r="H107" s="6">
        <v>1971574.0000000002</v>
      </c>
      <c r="I107" s="6">
        <v>2020629</v>
      </c>
      <c r="J107" s="6">
        <v>2167264</v>
      </c>
      <c r="K107" s="6">
        <v>3369054</v>
      </c>
      <c r="L107" s="6">
        <v>4011744</v>
      </c>
      <c r="M107" s="6">
        <v>4089614.6992116719</v>
      </c>
      <c r="N107" s="6">
        <v>5361236.268807441</v>
      </c>
      <c r="O107" s="6">
        <v>6192394.206631463</v>
      </c>
      <c r="P107" s="6">
        <v>7089406.160450045</v>
      </c>
    </row>
    <row r="108" spans="1:27" hidden="1">
      <c r="A108" s="1" t="s">
        <v>185</v>
      </c>
      <c r="B108" s="6">
        <v>699633</v>
      </c>
      <c r="C108" s="6">
        <v>659700</v>
      </c>
      <c r="D108" s="6">
        <v>643124</v>
      </c>
      <c r="E108" s="6">
        <v>697359</v>
      </c>
      <c r="F108" s="6">
        <v>1118631</v>
      </c>
      <c r="G108" s="6">
        <v>1342152</v>
      </c>
      <c r="H108" s="6">
        <v>1665727</v>
      </c>
      <c r="I108" s="6">
        <v>1527891</v>
      </c>
      <c r="J108" s="6">
        <v>1444649</v>
      </c>
      <c r="K108" s="6">
        <v>1478705</v>
      </c>
      <c r="L108" s="6">
        <v>1729372</v>
      </c>
      <c r="M108" s="6">
        <v>1889440.0000000023</v>
      </c>
      <c r="N108" s="6">
        <v>2007959.9999999919</v>
      </c>
      <c r="O108" s="6">
        <v>2126479.9999999814</v>
      </c>
      <c r="P108" s="6">
        <v>2245000</v>
      </c>
    </row>
    <row r="109" spans="1:27" hidden="1">
      <c r="A109" s="1" t="s">
        <v>22</v>
      </c>
      <c r="B109" s="6">
        <v>0</v>
      </c>
      <c r="C109" s="6">
        <v>0</v>
      </c>
      <c r="D109" s="6">
        <v>0</v>
      </c>
      <c r="E109" s="6">
        <v>252021000</v>
      </c>
      <c r="F109" s="6">
        <v>855429000</v>
      </c>
      <c r="G109" s="6">
        <v>1733391000</v>
      </c>
      <c r="H109" s="6">
        <v>3051751000</v>
      </c>
      <c r="I109" s="6">
        <v>4813864000</v>
      </c>
      <c r="J109" s="6">
        <v>6903395000</v>
      </c>
      <c r="K109" s="6">
        <v>9707354000</v>
      </c>
      <c r="L109" s="6">
        <v>13337512000</v>
      </c>
      <c r="M109" s="6">
        <v>14231921227.111609</v>
      </c>
      <c r="N109" s="6">
        <v>17070896716.20682</v>
      </c>
      <c r="O109" s="6">
        <v>20218402667.363659</v>
      </c>
      <c r="P109" s="6">
        <v>23689698934.60907</v>
      </c>
    </row>
    <row r="110" spans="1:27" hidden="1">
      <c r="A110" s="1" t="s">
        <v>186</v>
      </c>
      <c r="B110" s="6">
        <v>184053</v>
      </c>
      <c r="C110" s="6">
        <v>189718</v>
      </c>
      <c r="D110" s="6">
        <v>208198</v>
      </c>
      <c r="E110" s="6">
        <v>1503703</v>
      </c>
      <c r="F110" s="6">
        <v>2546141</v>
      </c>
      <c r="G110" s="6">
        <v>3746489</v>
      </c>
      <c r="H110" s="6">
        <v>5621636</v>
      </c>
      <c r="I110" s="6">
        <v>7369732</v>
      </c>
      <c r="J110" s="6">
        <v>9854854</v>
      </c>
      <c r="K110" s="6">
        <v>14174076</v>
      </c>
      <c r="L110" s="6">
        <v>18698554</v>
      </c>
      <c r="M110" s="6">
        <v>19804626.398563758</v>
      </c>
      <c r="N110" s="6">
        <v>23486777.607920244</v>
      </c>
      <c r="O110" s="6">
        <v>27569092.826570664</v>
      </c>
      <c r="P110" s="6">
        <v>32071364.085187964</v>
      </c>
    </row>
    <row r="111" spans="1:27" hidden="1">
      <c r="A111" s="1" t="s">
        <v>187</v>
      </c>
      <c r="B111" s="6">
        <v>883686</v>
      </c>
      <c r="C111" s="6">
        <v>849418</v>
      </c>
      <c r="D111" s="6">
        <v>851322</v>
      </c>
      <c r="E111" s="6">
        <v>2201062</v>
      </c>
      <c r="F111" s="6">
        <v>3664772</v>
      </c>
      <c r="G111" s="6">
        <v>5088641</v>
      </c>
      <c r="H111" s="6">
        <v>7287363</v>
      </c>
      <c r="I111" s="6">
        <v>8897623</v>
      </c>
      <c r="J111" s="6">
        <v>11299502.999999998</v>
      </c>
      <c r="K111" s="6">
        <v>15652780.999999998</v>
      </c>
      <c r="L111" s="6">
        <v>20427926</v>
      </c>
      <c r="M111" s="6">
        <v>21694066.398563758</v>
      </c>
      <c r="N111" s="6">
        <v>25494737.607920237</v>
      </c>
      <c r="O111" s="6">
        <v>29695572.826570645</v>
      </c>
      <c r="P111" s="6">
        <v>34316364.085187964</v>
      </c>
    </row>
    <row r="112" spans="1:27" hidden="1">
      <c r="A112" s="1" t="s">
        <v>188</v>
      </c>
      <c r="B112" s="6">
        <v>9401</v>
      </c>
      <c r="C112" s="6">
        <v>7314</v>
      </c>
      <c r="D112" s="6">
        <v>18097</v>
      </c>
      <c r="E112" s="6">
        <v>25696</v>
      </c>
      <c r="F112" s="6">
        <v>49642</v>
      </c>
      <c r="G112" s="6">
        <v>64476</v>
      </c>
      <c r="H112" s="6">
        <v>113078</v>
      </c>
      <c r="I112" s="6">
        <v>198730</v>
      </c>
      <c r="J112" s="6">
        <v>154002</v>
      </c>
      <c r="K112" s="6">
        <v>185831</v>
      </c>
      <c r="L112" s="6">
        <v>261313</v>
      </c>
      <c r="M112" s="6">
        <v>309569.36438352842</v>
      </c>
      <c r="N112" s="6">
        <v>364457.48654758796</v>
      </c>
      <c r="O112" s="6">
        <v>425348.08941796195</v>
      </c>
      <c r="P112" s="6">
        <v>492538.05447197944</v>
      </c>
    </row>
    <row r="113" spans="1:27" hidden="1">
      <c r="A113" s="1" t="s">
        <v>189</v>
      </c>
      <c r="B113" s="6">
        <v>95596</v>
      </c>
      <c r="C113" s="6">
        <v>147993</v>
      </c>
      <c r="D113" s="6">
        <v>87760</v>
      </c>
      <c r="E113" s="6">
        <v>252576</v>
      </c>
      <c r="F113" s="6">
        <v>321043</v>
      </c>
      <c r="G113" s="6">
        <v>276837</v>
      </c>
      <c r="H113" s="6">
        <v>362798</v>
      </c>
      <c r="I113" s="6">
        <v>511867</v>
      </c>
      <c r="J113" s="6">
        <v>822231</v>
      </c>
      <c r="K113" s="6">
        <v>823707</v>
      </c>
      <c r="L113" s="6">
        <v>1430895</v>
      </c>
      <c r="M113" s="6">
        <v>683981.35846429435</v>
      </c>
      <c r="N113" s="6">
        <v>1169491.4018539076</v>
      </c>
      <c r="O113" s="6">
        <v>1186270.3664863384</v>
      </c>
      <c r="P113" s="6">
        <v>1240935.086055466</v>
      </c>
    </row>
    <row r="114" spans="1:27" hidden="1">
      <c r="A114" s="5" t="s">
        <v>190</v>
      </c>
      <c r="B114" s="6">
        <v>381453</v>
      </c>
      <c r="C114" s="6">
        <v>237474</v>
      </c>
      <c r="D114" s="6">
        <v>48477</v>
      </c>
      <c r="E114" s="6">
        <v>189241</v>
      </c>
      <c r="F114" s="6">
        <v>414542</v>
      </c>
      <c r="G114" s="6">
        <v>517339.00000000006</v>
      </c>
      <c r="H114" s="6">
        <v>559806</v>
      </c>
      <c r="I114" s="6">
        <v>627739</v>
      </c>
      <c r="J114" s="6">
        <v>1079170</v>
      </c>
      <c r="K114" s="6">
        <v>1297135</v>
      </c>
      <c r="L114" s="6">
        <v>1487863</v>
      </c>
      <c r="M114" s="6">
        <v>1592859.999999986</v>
      </c>
      <c r="N114" s="6">
        <v>1774489.9999999907</v>
      </c>
      <c r="O114" s="6">
        <v>1956119.9999999953</v>
      </c>
      <c r="P114" s="6">
        <v>2137750</v>
      </c>
      <c r="Q114" s="5"/>
    </row>
    <row r="115" spans="1:27" hidden="1">
      <c r="A115" s="5" t="s">
        <v>191</v>
      </c>
      <c r="B115" s="6">
        <v>486450</v>
      </c>
      <c r="C115" s="6">
        <v>392780.99999999994</v>
      </c>
      <c r="D115" s="6">
        <v>154334</v>
      </c>
      <c r="E115" s="6">
        <v>467513.00000000006</v>
      </c>
      <c r="F115" s="6">
        <v>785227</v>
      </c>
      <c r="G115" s="6">
        <v>858652</v>
      </c>
      <c r="H115" s="6">
        <v>1035682</v>
      </c>
      <c r="I115" s="6">
        <v>1338336</v>
      </c>
      <c r="J115" s="6">
        <v>2055403.0000000002</v>
      </c>
      <c r="K115" s="6">
        <v>2306673</v>
      </c>
      <c r="L115" s="6">
        <v>3180071</v>
      </c>
      <c r="M115" s="6">
        <v>2586410.7228478086</v>
      </c>
      <c r="N115" s="6">
        <v>3308438.888401486</v>
      </c>
      <c r="O115" s="6">
        <v>3567738.4559042957</v>
      </c>
      <c r="P115" s="6">
        <v>3871223.1405274454</v>
      </c>
      <c r="Q115" s="5"/>
    </row>
    <row r="116" spans="1:27" hidden="1">
      <c r="A116" s="5" t="s">
        <v>192</v>
      </c>
      <c r="B116" s="6">
        <v>399346</v>
      </c>
      <c r="C116" s="6">
        <v>323734</v>
      </c>
      <c r="D116" s="6">
        <v>293807</v>
      </c>
      <c r="E116" s="6">
        <v>776110</v>
      </c>
      <c r="F116" s="6">
        <v>1098852</v>
      </c>
      <c r="G116" s="6">
        <v>2042484</v>
      </c>
      <c r="H116" s="6">
        <v>2797061</v>
      </c>
      <c r="I116" s="6">
        <v>3616936</v>
      </c>
      <c r="J116" s="6">
        <v>4562593</v>
      </c>
      <c r="K116" s="6">
        <v>8357650</v>
      </c>
      <c r="L116" s="6">
        <v>11282224</v>
      </c>
      <c r="M116" s="6">
        <v>11545678.323191058</v>
      </c>
      <c r="N116" s="6">
        <v>13785629.98408718</v>
      </c>
      <c r="O116" s="6">
        <v>16269012.179549925</v>
      </c>
      <c r="P116" s="6">
        <v>19007864.934406556</v>
      </c>
      <c r="Q116" s="5"/>
    </row>
    <row r="117" spans="1:27" hidden="1">
      <c r="A117" s="5" t="s">
        <v>193</v>
      </c>
      <c r="B117" s="6">
        <v>25716</v>
      </c>
      <c r="C117" s="6">
        <v>43332</v>
      </c>
      <c r="D117" s="6">
        <v>30657</v>
      </c>
      <c r="E117" s="6">
        <v>105829</v>
      </c>
      <c r="F117" s="6">
        <v>249437</v>
      </c>
      <c r="G117" s="6">
        <v>436725</v>
      </c>
      <c r="H117" s="6">
        <v>535888</v>
      </c>
      <c r="I117" s="6">
        <v>668423</v>
      </c>
      <c r="J117" s="6">
        <v>826064</v>
      </c>
      <c r="K117" s="6">
        <v>938091</v>
      </c>
      <c r="L117" s="6">
        <v>1091440</v>
      </c>
      <c r="M117" s="6">
        <v>1233420.0000000419</v>
      </c>
      <c r="N117" s="6">
        <v>1372030.0000000279</v>
      </c>
      <c r="O117" s="6">
        <v>1510640.000000014</v>
      </c>
      <c r="P117" s="6">
        <v>1649250</v>
      </c>
      <c r="Q117" s="5"/>
    </row>
    <row r="118" spans="1:27" hidden="1">
      <c r="A118" s="5" t="s">
        <v>194</v>
      </c>
      <c r="B118" s="6">
        <v>425062</v>
      </c>
      <c r="C118" s="6">
        <v>367066</v>
      </c>
      <c r="D118" s="6">
        <v>324464</v>
      </c>
      <c r="E118" s="6">
        <v>881939</v>
      </c>
      <c r="F118" s="6">
        <v>1348289.0000000002</v>
      </c>
      <c r="G118" s="6">
        <v>2479209</v>
      </c>
      <c r="H118" s="6">
        <v>3332949</v>
      </c>
      <c r="I118" s="6">
        <v>4285359</v>
      </c>
      <c r="J118" s="6">
        <v>5388657</v>
      </c>
      <c r="K118" s="6">
        <v>9295741</v>
      </c>
      <c r="L118" s="6">
        <v>12373664</v>
      </c>
      <c r="M118" s="6">
        <v>12779098.323191099</v>
      </c>
      <c r="N118" s="6">
        <v>15157659.984087208</v>
      </c>
      <c r="O118" s="6">
        <v>17779652.17954994</v>
      </c>
      <c r="P118" s="6">
        <v>20657114.934406556</v>
      </c>
      <c r="Q118" s="5"/>
    </row>
    <row r="119" spans="1:27" hidden="1">
      <c r="A119" s="5" t="s">
        <v>195</v>
      </c>
      <c r="B119" s="6">
        <v>0</v>
      </c>
      <c r="C119" s="6">
        <v>0</v>
      </c>
      <c r="D119" s="6">
        <v>85853</v>
      </c>
      <c r="E119" s="6">
        <v>102972</v>
      </c>
      <c r="F119" s="6">
        <v>0</v>
      </c>
      <c r="G119" s="6">
        <v>0</v>
      </c>
      <c r="H119" s="6">
        <v>0</v>
      </c>
      <c r="I119" s="6">
        <v>1110</v>
      </c>
      <c r="J119" s="6">
        <v>199440</v>
      </c>
      <c r="K119" s="6">
        <v>284815</v>
      </c>
      <c r="L119" s="6">
        <v>400405</v>
      </c>
      <c r="M119" s="6">
        <v>400405</v>
      </c>
      <c r="N119" s="6">
        <v>400405</v>
      </c>
      <c r="O119" s="6">
        <v>400405</v>
      </c>
      <c r="P119" s="6">
        <v>400405</v>
      </c>
      <c r="Q119" s="5"/>
    </row>
    <row r="120" spans="1:27" hidden="1">
      <c r="A120" s="5" t="s">
        <v>196</v>
      </c>
      <c r="B120" s="6">
        <v>102399</v>
      </c>
      <c r="C120" s="6">
        <v>228853</v>
      </c>
      <c r="D120" s="6">
        <v>761800</v>
      </c>
      <c r="E120" s="6">
        <v>2417964</v>
      </c>
      <c r="F120" s="6">
        <v>2334401</v>
      </c>
      <c r="G120" s="6">
        <v>2723043</v>
      </c>
      <c r="H120" s="6">
        <v>4890306</v>
      </c>
      <c r="I120" s="6">
        <v>5294557</v>
      </c>
      <c r="J120" s="6">
        <v>6022707</v>
      </c>
      <c r="K120" s="6">
        <v>7419421</v>
      </c>
      <c r="L120" s="6">
        <v>8885935</v>
      </c>
      <c r="M120" s="6">
        <v>10418172.051736519</v>
      </c>
      <c r="N120" s="6">
        <v>12389875.004238985</v>
      </c>
      <c r="O120" s="6">
        <v>14540576.397747872</v>
      </c>
      <c r="P120" s="6">
        <v>16877432.170704003</v>
      </c>
      <c r="Q120" s="5"/>
    </row>
    <row r="121" spans="1:27" hidden="1">
      <c r="A121" s="5" t="s">
        <v>197</v>
      </c>
      <c r="B121" s="6">
        <v>102399</v>
      </c>
      <c r="C121" s="6">
        <v>228853.00000000012</v>
      </c>
      <c r="D121" s="6">
        <v>588620.00000000012</v>
      </c>
      <c r="E121" s="6">
        <v>2291200.0000000005</v>
      </c>
      <c r="F121" s="6">
        <v>2334400.9999999995</v>
      </c>
      <c r="G121" s="6">
        <v>2723042.9999999995</v>
      </c>
      <c r="H121" s="6">
        <v>4890305.9999999991</v>
      </c>
      <c r="I121" s="6">
        <v>5294557.0000000009</v>
      </c>
      <c r="J121" s="6">
        <v>6022706.9999999991</v>
      </c>
      <c r="K121" s="6">
        <v>7419421</v>
      </c>
      <c r="L121" s="6">
        <v>8885934.9999999981</v>
      </c>
      <c r="M121" s="6">
        <v>10418172.051736519</v>
      </c>
      <c r="N121" s="6">
        <v>12389875.004238987</v>
      </c>
      <c r="O121" s="6">
        <v>14540576.397747871</v>
      </c>
      <c r="P121" s="6">
        <v>16877432.170704007</v>
      </c>
      <c r="Q121" s="5"/>
    </row>
    <row r="122" spans="1:27" hidden="1">
      <c r="A122" s="5" t="s">
        <v>198</v>
      </c>
      <c r="B122" s="6">
        <v>28964</v>
      </c>
      <c r="C122" s="6">
        <v>44204</v>
      </c>
      <c r="D122" s="6">
        <v>45926</v>
      </c>
      <c r="E122" s="6">
        <v>105014</v>
      </c>
      <c r="F122" s="6">
        <v>118786</v>
      </c>
      <c r="G122" s="6">
        <v>151091</v>
      </c>
      <c r="H122" s="6">
        <v>188191</v>
      </c>
      <c r="I122" s="6">
        <v>283685</v>
      </c>
      <c r="J122" s="6">
        <v>330941</v>
      </c>
      <c r="K122" s="6">
        <v>453275</v>
      </c>
      <c r="L122" s="6">
        <v>645572</v>
      </c>
      <c r="M122" s="6">
        <v>0</v>
      </c>
      <c r="N122" s="6">
        <v>0</v>
      </c>
      <c r="O122" s="6">
        <v>0</v>
      </c>
      <c r="P122" s="6">
        <v>0</v>
      </c>
      <c r="Q122" s="5"/>
    </row>
    <row r="123" spans="1:27" s="2" customFormat="1" ht="15" hidden="1">
      <c r="A123" s="5"/>
      <c r="Q123" s="5"/>
    </row>
    <row r="124" spans="1:27" hidden="1">
      <c r="K124" s="2"/>
      <c r="L124" s="2"/>
      <c r="M124" s="2"/>
    </row>
    <row r="125" spans="1:27">
      <c r="K125" s="2"/>
      <c r="L125" s="2"/>
      <c r="M125" s="2"/>
    </row>
    <row r="126" spans="1:27">
      <c r="A126" s="90" t="s">
        <v>199</v>
      </c>
      <c r="B126" s="91">
        <v>2017</v>
      </c>
      <c r="C126" s="91">
        <v>2018</v>
      </c>
      <c r="D126" s="91">
        <v>2019</v>
      </c>
      <c r="E126" s="91">
        <v>2020</v>
      </c>
      <c r="F126" s="91">
        <v>2021</v>
      </c>
      <c r="G126" s="91" t="s">
        <v>126</v>
      </c>
      <c r="H126" s="91" t="s">
        <v>127</v>
      </c>
      <c r="I126" s="91" t="s">
        <v>128</v>
      </c>
      <c r="J126" s="91" t="s">
        <v>117</v>
      </c>
      <c r="K126" s="2"/>
      <c r="L126" s="2"/>
      <c r="M126" s="2"/>
      <c r="R126" s="92" t="s">
        <v>200</v>
      </c>
      <c r="S126" s="92">
        <f t="shared" ref="S126:AA126" si="22">B126</f>
        <v>2017</v>
      </c>
      <c r="T126" s="92">
        <f t="shared" si="22"/>
        <v>2018</v>
      </c>
      <c r="U126" s="92">
        <f t="shared" si="22"/>
        <v>2019</v>
      </c>
      <c r="V126" s="92">
        <f t="shared" si="22"/>
        <v>2020</v>
      </c>
      <c r="W126" s="92">
        <f t="shared" si="22"/>
        <v>2021</v>
      </c>
      <c r="X126" s="161" t="str">
        <f t="shared" si="22"/>
        <v>2022E</v>
      </c>
      <c r="Y126" s="161" t="str">
        <f t="shared" si="22"/>
        <v>2023E</v>
      </c>
      <c r="Z126" s="161" t="str">
        <f t="shared" si="22"/>
        <v>2024E</v>
      </c>
      <c r="AA126" s="161" t="str">
        <f t="shared" si="22"/>
        <v>2025E</v>
      </c>
    </row>
    <row r="127" spans="1:27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2"/>
      <c r="L127" s="2"/>
      <c r="M127" s="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</row>
    <row r="128" spans="1:27">
      <c r="A128" s="96" t="s">
        <v>201</v>
      </c>
      <c r="B128" s="93">
        <v>1347803</v>
      </c>
      <c r="C128" s="93">
        <v>1317431</v>
      </c>
      <c r="D128" s="93">
        <v>1020327</v>
      </c>
      <c r="E128" s="93">
        <v>1769598</v>
      </c>
      <c r="F128" s="93">
        <v>1704008</v>
      </c>
      <c r="G128" s="93">
        <v>1548798.7134596484</v>
      </c>
      <c r="H128" s="93">
        <v>2299393.1029355191</v>
      </c>
      <c r="I128" s="93">
        <v>2556434.3970009573</v>
      </c>
      <c r="J128" s="93">
        <v>2825020.8881073506</v>
      </c>
      <c r="K128" s="2"/>
      <c r="L128" s="2"/>
      <c r="M128" s="2"/>
      <c r="R128" s="92" t="str">
        <f t="shared" ref="R128:R150" si="23">A128</f>
        <v>Cash &amp; Near Cash Items</v>
      </c>
      <c r="S128" s="162">
        <f>B128/1000</f>
        <v>1347.8030000000001</v>
      </c>
      <c r="T128" s="162">
        <f t="shared" ref="T128:AA128" si="24">C128/1000</f>
        <v>1317.431</v>
      </c>
      <c r="U128" s="162">
        <f t="shared" si="24"/>
        <v>1020.327</v>
      </c>
      <c r="V128" s="162">
        <f t="shared" si="24"/>
        <v>1769.598</v>
      </c>
      <c r="W128" s="162">
        <f t="shared" si="24"/>
        <v>1704.008</v>
      </c>
      <c r="X128" s="162">
        <f t="shared" si="24"/>
        <v>1548.7987134596485</v>
      </c>
      <c r="Y128" s="162">
        <f t="shared" si="24"/>
        <v>2299.393102935519</v>
      </c>
      <c r="Z128" s="162">
        <f t="shared" si="24"/>
        <v>2556.4343970009572</v>
      </c>
      <c r="AA128" s="162">
        <f t="shared" si="24"/>
        <v>2825.0208881073504</v>
      </c>
    </row>
    <row r="129" spans="1:27">
      <c r="A129" s="96" t="s">
        <v>202</v>
      </c>
      <c r="B129" s="93">
        <v>260190.99999999997</v>
      </c>
      <c r="C129" s="93">
        <v>260322.99999999997</v>
      </c>
      <c r="D129" s="93">
        <v>465916</v>
      </c>
      <c r="E129" s="93">
        <v>699031</v>
      </c>
      <c r="F129" s="93">
        <v>1062020</v>
      </c>
      <c r="G129" s="93">
        <v>1111052.5519708937</v>
      </c>
      <c r="H129" s="93">
        <v>1331460.9957485988</v>
      </c>
      <c r="I129" s="93">
        <v>1575972.9682885022</v>
      </c>
      <c r="J129" s="93">
        <v>1845780.6252305605</v>
      </c>
      <c r="K129" s="2"/>
      <c r="L129" s="2"/>
      <c r="M129" s="2"/>
      <c r="R129" s="92" t="str">
        <f t="shared" si="23"/>
        <v>Accounts &amp; Notes Receivables</v>
      </c>
      <c r="S129" s="162">
        <f t="shared" ref="S129:S150" si="25">B129/1000</f>
        <v>260.19099999999997</v>
      </c>
      <c r="T129" s="162">
        <f t="shared" ref="T129:T150" si="26">C129/1000</f>
        <v>260.32299999999998</v>
      </c>
      <c r="U129" s="162">
        <f t="shared" ref="U129:U150" si="27">D129/1000</f>
        <v>465.916</v>
      </c>
      <c r="V129" s="162">
        <f t="shared" ref="V129:V150" si="28">E129/1000</f>
        <v>699.03099999999995</v>
      </c>
      <c r="W129" s="162">
        <f t="shared" ref="W129:W150" si="29">F129/1000</f>
        <v>1062.02</v>
      </c>
      <c r="X129" s="162">
        <f t="shared" ref="X129:X150" si="30">G129/1000</f>
        <v>1111.0525519708938</v>
      </c>
      <c r="Y129" s="162">
        <f t="shared" ref="Y129:Y150" si="31">H129/1000</f>
        <v>1331.4609957485989</v>
      </c>
      <c r="Z129" s="162">
        <f t="shared" ref="Z129:Z150" si="32">I129/1000</f>
        <v>1575.9729682885022</v>
      </c>
      <c r="AA129" s="162">
        <f t="shared" ref="AA129:AA150" si="33">J129/1000</f>
        <v>1845.7806252305606</v>
      </c>
    </row>
    <row r="130" spans="1:27">
      <c r="A130" s="96" t="s">
        <v>203</v>
      </c>
      <c r="B130" s="93">
        <v>2314</v>
      </c>
      <c r="C130" s="93">
        <v>5725</v>
      </c>
      <c r="D130" s="93">
        <v>6619</v>
      </c>
      <c r="E130" s="93">
        <v>15353</v>
      </c>
      <c r="F130" s="93">
        <v>22321</v>
      </c>
      <c r="G130" s="93">
        <v>23551.433791083498</v>
      </c>
      <c r="H130" s="93">
        <v>28580.17012970104</v>
      </c>
      <c r="I130" s="93">
        <v>34158.841347844471</v>
      </c>
      <c r="J130" s="93">
        <v>40314.647113027349</v>
      </c>
      <c r="K130" s="2"/>
      <c r="L130" s="2"/>
      <c r="M130" s="2"/>
      <c r="R130" s="92" t="str">
        <f t="shared" si="23"/>
        <v>Inventories</v>
      </c>
      <c r="S130" s="162">
        <f t="shared" si="25"/>
        <v>2.3140000000000001</v>
      </c>
      <c r="T130" s="162">
        <f t="shared" si="26"/>
        <v>5.7249999999999996</v>
      </c>
      <c r="U130" s="162">
        <f t="shared" si="27"/>
        <v>6.6189999999999998</v>
      </c>
      <c r="V130" s="162">
        <f t="shared" si="28"/>
        <v>15.353</v>
      </c>
      <c r="W130" s="162">
        <f t="shared" si="29"/>
        <v>22.321000000000002</v>
      </c>
      <c r="X130" s="162">
        <f t="shared" si="30"/>
        <v>23.551433791083497</v>
      </c>
      <c r="Y130" s="162">
        <f t="shared" si="31"/>
        <v>28.580170129701042</v>
      </c>
      <c r="Z130" s="162">
        <f t="shared" si="32"/>
        <v>34.158841347844472</v>
      </c>
      <c r="AA130" s="162">
        <f t="shared" si="33"/>
        <v>40.314647113027348</v>
      </c>
    </row>
    <row r="131" spans="1:27">
      <c r="A131" s="96" t="s">
        <v>204</v>
      </c>
      <c r="B131" s="93">
        <v>361266</v>
      </c>
      <c r="C131" s="93">
        <v>437150</v>
      </c>
      <c r="D131" s="93">
        <v>674402</v>
      </c>
      <c r="E131" s="93">
        <v>885072</v>
      </c>
      <c r="F131" s="93">
        <v>1223395</v>
      </c>
      <c r="G131" s="93">
        <v>1406211.999990046</v>
      </c>
      <c r="H131" s="93">
        <v>1701801.9999936223</v>
      </c>
      <c r="I131" s="93">
        <v>2025827.9999941587</v>
      </c>
      <c r="J131" s="93">
        <v>2378289.9999991059</v>
      </c>
      <c r="K131" s="2"/>
      <c r="L131" s="2"/>
      <c r="M131" s="2"/>
      <c r="R131" s="92" t="str">
        <f t="shared" si="23"/>
        <v>Other Current Assets</v>
      </c>
      <c r="S131" s="162">
        <f t="shared" si="25"/>
        <v>361.26600000000002</v>
      </c>
      <c r="T131" s="162">
        <f t="shared" si="26"/>
        <v>437.15</v>
      </c>
      <c r="U131" s="162">
        <f t="shared" si="27"/>
        <v>674.40200000000004</v>
      </c>
      <c r="V131" s="162">
        <f t="shared" si="28"/>
        <v>885.072</v>
      </c>
      <c r="W131" s="162">
        <f t="shared" si="29"/>
        <v>1223.395</v>
      </c>
      <c r="X131" s="162">
        <f t="shared" si="30"/>
        <v>1406.211999990046</v>
      </c>
      <c r="Y131" s="162">
        <f t="shared" si="31"/>
        <v>1701.8019999936223</v>
      </c>
      <c r="Z131" s="162">
        <f t="shared" si="32"/>
        <v>2025.8279999941587</v>
      </c>
      <c r="AA131" s="162">
        <f t="shared" si="33"/>
        <v>2378.2899999991059</v>
      </c>
    </row>
    <row r="132" spans="1:27">
      <c r="A132" s="97" t="s">
        <v>205</v>
      </c>
      <c r="B132" s="94">
        <v>1971574.0000000002</v>
      </c>
      <c r="C132" s="94">
        <v>2020629</v>
      </c>
      <c r="D132" s="94">
        <v>2167264</v>
      </c>
      <c r="E132" s="94">
        <v>3369054</v>
      </c>
      <c r="F132" s="94">
        <v>4011744</v>
      </c>
      <c r="G132" s="94">
        <v>4089614.6992116719</v>
      </c>
      <c r="H132" s="94">
        <v>5361236.268807441</v>
      </c>
      <c r="I132" s="94">
        <v>6192394.206631463</v>
      </c>
      <c r="J132" s="94">
        <v>7089406.160450045</v>
      </c>
      <c r="K132" s="2"/>
      <c r="L132" s="2"/>
      <c r="M132" s="2"/>
      <c r="R132" s="92" t="str">
        <f t="shared" si="23"/>
        <v>Total Current Assets</v>
      </c>
      <c r="S132" s="162">
        <f t="shared" si="25"/>
        <v>1971.5740000000003</v>
      </c>
      <c r="T132" s="162">
        <f t="shared" si="26"/>
        <v>2020.6289999999999</v>
      </c>
      <c r="U132" s="162">
        <f t="shared" si="27"/>
        <v>2167.2640000000001</v>
      </c>
      <c r="V132" s="162">
        <f t="shared" si="28"/>
        <v>3369.0540000000001</v>
      </c>
      <c r="W132" s="162">
        <f t="shared" si="29"/>
        <v>4011.7440000000001</v>
      </c>
      <c r="X132" s="162">
        <f t="shared" si="30"/>
        <v>4089.6146992116719</v>
      </c>
      <c r="Y132" s="162">
        <f t="shared" si="31"/>
        <v>5361.2362688074409</v>
      </c>
      <c r="Z132" s="162">
        <f t="shared" si="32"/>
        <v>6192.394206631463</v>
      </c>
      <c r="AA132" s="162">
        <f t="shared" si="33"/>
        <v>7089.4061604500448</v>
      </c>
    </row>
    <row r="133" spans="1:27">
      <c r="A133" s="98"/>
      <c r="B133" s="92"/>
      <c r="C133" s="92"/>
      <c r="D133" s="92"/>
      <c r="E133" s="92"/>
      <c r="F133" s="92"/>
      <c r="G133" s="92"/>
      <c r="H133" s="92"/>
      <c r="I133" s="92"/>
      <c r="J133" s="92"/>
      <c r="K133" s="2"/>
      <c r="L133" s="2"/>
      <c r="M133" s="2"/>
      <c r="R133" s="92"/>
      <c r="S133" s="162"/>
      <c r="T133" s="162"/>
      <c r="U133" s="162"/>
      <c r="V133" s="162"/>
      <c r="W133" s="162"/>
      <c r="X133" s="162"/>
      <c r="Y133" s="162"/>
      <c r="Z133" s="162"/>
      <c r="AA133" s="162"/>
    </row>
    <row r="134" spans="1:27">
      <c r="A134" s="96" t="s">
        <v>206</v>
      </c>
      <c r="B134" s="93">
        <v>1665727</v>
      </c>
      <c r="C134" s="93">
        <v>1527891</v>
      </c>
      <c r="D134" s="93">
        <v>1444649</v>
      </c>
      <c r="E134" s="93">
        <v>1478705</v>
      </c>
      <c r="F134" s="93">
        <v>1729372</v>
      </c>
      <c r="G134" s="93">
        <v>1889440.0000000023</v>
      </c>
      <c r="H134" s="93">
        <v>2007959.9999999919</v>
      </c>
      <c r="I134" s="93">
        <v>2126479.9999999814</v>
      </c>
      <c r="J134" s="93">
        <v>2245000</v>
      </c>
      <c r="K134" s="2"/>
      <c r="L134" s="2"/>
      <c r="M134" s="2"/>
      <c r="R134" s="92" t="str">
        <f t="shared" si="23"/>
        <v>Net Fixed Assets</v>
      </c>
      <c r="S134" s="162">
        <f t="shared" si="25"/>
        <v>1665.7270000000001</v>
      </c>
      <c r="T134" s="162">
        <f t="shared" si="26"/>
        <v>1527.8910000000001</v>
      </c>
      <c r="U134" s="162">
        <f t="shared" si="27"/>
        <v>1444.6489999999999</v>
      </c>
      <c r="V134" s="162">
        <f t="shared" si="28"/>
        <v>1478.7049999999999</v>
      </c>
      <c r="W134" s="162">
        <f t="shared" si="29"/>
        <v>1729.3720000000001</v>
      </c>
      <c r="X134" s="162">
        <f t="shared" si="30"/>
        <v>1889.4400000000023</v>
      </c>
      <c r="Y134" s="162">
        <f t="shared" si="31"/>
        <v>2007.9599999999919</v>
      </c>
      <c r="Z134" s="162">
        <f t="shared" si="32"/>
        <v>2126.4799999999814</v>
      </c>
      <c r="AA134" s="162">
        <f t="shared" si="33"/>
        <v>2245</v>
      </c>
    </row>
    <row r="135" spans="1:27">
      <c r="A135" s="96" t="s">
        <v>207</v>
      </c>
      <c r="B135" s="93">
        <v>5621636</v>
      </c>
      <c r="C135" s="93">
        <v>7369732</v>
      </c>
      <c r="D135" s="93">
        <v>9854854</v>
      </c>
      <c r="E135" s="93">
        <v>14174076</v>
      </c>
      <c r="F135" s="93">
        <v>18698554</v>
      </c>
      <c r="G135" s="93">
        <v>19804626.398563758</v>
      </c>
      <c r="H135" s="93">
        <v>23486777.607920244</v>
      </c>
      <c r="I135" s="93">
        <v>27569092.826570664</v>
      </c>
      <c r="J135" s="93">
        <v>32071364.085187964</v>
      </c>
      <c r="K135" s="2"/>
      <c r="L135" s="2"/>
      <c r="M135" s="2"/>
      <c r="R135" s="92" t="str">
        <f t="shared" si="23"/>
        <v>Other Long-Term Assets</v>
      </c>
      <c r="S135" s="162">
        <f t="shared" si="25"/>
        <v>5621.6360000000004</v>
      </c>
      <c r="T135" s="162">
        <f t="shared" si="26"/>
        <v>7369.732</v>
      </c>
      <c r="U135" s="162">
        <f t="shared" si="27"/>
        <v>9854.8539999999994</v>
      </c>
      <c r="V135" s="162">
        <f t="shared" si="28"/>
        <v>14174.075999999999</v>
      </c>
      <c r="W135" s="162">
        <f t="shared" si="29"/>
        <v>18698.554</v>
      </c>
      <c r="X135" s="162">
        <f t="shared" si="30"/>
        <v>19804.626398563756</v>
      </c>
      <c r="Y135" s="162">
        <f t="shared" si="31"/>
        <v>23486.777607920245</v>
      </c>
      <c r="Z135" s="162">
        <f t="shared" si="32"/>
        <v>27569.092826570664</v>
      </c>
      <c r="AA135" s="162">
        <f t="shared" si="33"/>
        <v>32071.364085187965</v>
      </c>
    </row>
    <row r="136" spans="1:27">
      <c r="A136" s="97" t="s">
        <v>208</v>
      </c>
      <c r="B136" s="94">
        <v>7287363</v>
      </c>
      <c r="C136" s="94">
        <v>8897623</v>
      </c>
      <c r="D136" s="94">
        <v>11299502.999999998</v>
      </c>
      <c r="E136" s="94">
        <v>15652780.999999998</v>
      </c>
      <c r="F136" s="94">
        <v>20427926</v>
      </c>
      <c r="G136" s="94">
        <v>21694066.398563758</v>
      </c>
      <c r="H136" s="94">
        <v>25494737.607920237</v>
      </c>
      <c r="I136" s="94">
        <v>29695572.826570645</v>
      </c>
      <c r="J136" s="94">
        <v>34316364.085187964</v>
      </c>
      <c r="K136" s="2"/>
      <c r="L136" s="2"/>
      <c r="M136" s="2"/>
      <c r="R136" s="92" t="str">
        <f t="shared" si="23"/>
        <v>Total Long-Term Assets</v>
      </c>
      <c r="S136" s="162">
        <f t="shared" si="25"/>
        <v>7287.3630000000003</v>
      </c>
      <c r="T136" s="162">
        <f t="shared" si="26"/>
        <v>8897.6229999999996</v>
      </c>
      <c r="U136" s="162">
        <f t="shared" si="27"/>
        <v>11299.502999999999</v>
      </c>
      <c r="V136" s="162">
        <f t="shared" si="28"/>
        <v>15652.780999999999</v>
      </c>
      <c r="W136" s="162">
        <f t="shared" si="29"/>
        <v>20427.925999999999</v>
      </c>
      <c r="X136" s="162">
        <f t="shared" si="30"/>
        <v>21694.066398563758</v>
      </c>
      <c r="Y136" s="162">
        <f t="shared" si="31"/>
        <v>25494.737607920237</v>
      </c>
      <c r="Z136" s="162">
        <f t="shared" si="32"/>
        <v>29695.572826570646</v>
      </c>
      <c r="AA136" s="162">
        <f t="shared" si="33"/>
        <v>34316.364085187961</v>
      </c>
    </row>
    <row r="137" spans="1:27">
      <c r="A137" s="98"/>
      <c r="B137" s="92"/>
      <c r="C137" s="92"/>
      <c r="D137" s="92"/>
      <c r="E137" s="92"/>
      <c r="F137" s="92"/>
      <c r="G137" s="92"/>
      <c r="H137" s="92"/>
      <c r="I137" s="92"/>
      <c r="J137" s="92"/>
      <c r="K137" s="2"/>
      <c r="L137" s="2"/>
      <c r="M137" s="2"/>
      <c r="R137" s="92"/>
      <c r="S137" s="162"/>
      <c r="T137" s="162"/>
      <c r="U137" s="162"/>
      <c r="V137" s="162"/>
      <c r="W137" s="162"/>
      <c r="X137" s="162"/>
      <c r="Y137" s="162"/>
      <c r="Z137" s="162"/>
      <c r="AA137" s="162"/>
    </row>
    <row r="138" spans="1:27">
      <c r="A138" s="96" t="s">
        <v>209</v>
      </c>
      <c r="B138" s="93">
        <v>113078</v>
      </c>
      <c r="C138" s="93">
        <v>198730</v>
      </c>
      <c r="D138" s="93">
        <v>154002</v>
      </c>
      <c r="E138" s="93">
        <v>185831</v>
      </c>
      <c r="F138" s="93">
        <v>261313</v>
      </c>
      <c r="G138" s="93">
        <v>309569.36438352842</v>
      </c>
      <c r="H138" s="93">
        <v>364457.48654758796</v>
      </c>
      <c r="I138" s="93">
        <v>425348.08941796195</v>
      </c>
      <c r="J138" s="93">
        <v>492538.05447197944</v>
      </c>
      <c r="K138" s="2"/>
      <c r="L138" s="2"/>
      <c r="M138" s="2"/>
      <c r="R138" s="92" t="str">
        <f t="shared" si="23"/>
        <v>Account Payable</v>
      </c>
      <c r="S138" s="162">
        <f t="shared" si="25"/>
        <v>113.078</v>
      </c>
      <c r="T138" s="162">
        <f t="shared" si="26"/>
        <v>198.73</v>
      </c>
      <c r="U138" s="162">
        <f t="shared" si="27"/>
        <v>154.00200000000001</v>
      </c>
      <c r="V138" s="162">
        <f t="shared" si="28"/>
        <v>185.83099999999999</v>
      </c>
      <c r="W138" s="162">
        <f t="shared" si="29"/>
        <v>261.31299999999999</v>
      </c>
      <c r="X138" s="162">
        <f t="shared" si="30"/>
        <v>309.56936438352841</v>
      </c>
      <c r="Y138" s="162">
        <f t="shared" si="31"/>
        <v>364.45748654758796</v>
      </c>
      <c r="Z138" s="162">
        <f t="shared" si="32"/>
        <v>425.34808941796194</v>
      </c>
      <c r="AA138" s="162">
        <f t="shared" si="33"/>
        <v>492.53805447197942</v>
      </c>
    </row>
    <row r="139" spans="1:27">
      <c r="A139" s="96" t="s">
        <v>210</v>
      </c>
      <c r="B139" s="93">
        <v>362798</v>
      </c>
      <c r="C139" s="93">
        <v>511867</v>
      </c>
      <c r="D139" s="93">
        <v>822231</v>
      </c>
      <c r="E139" s="93">
        <v>823707</v>
      </c>
      <c r="F139" s="93">
        <v>1430895</v>
      </c>
      <c r="G139" s="93">
        <v>683981.35846429435</v>
      </c>
      <c r="H139" s="93">
        <v>1169491.4018539076</v>
      </c>
      <c r="I139" s="93">
        <v>1186270.3664863384</v>
      </c>
      <c r="J139" s="93">
        <v>1240935.086055466</v>
      </c>
      <c r="K139" s="2"/>
      <c r="L139" s="2"/>
      <c r="M139" s="2"/>
      <c r="R139" s="92" t="str">
        <f t="shared" si="23"/>
        <v>Short-Term Borrowing</v>
      </c>
      <c r="S139" s="162">
        <f t="shared" si="25"/>
        <v>362.798</v>
      </c>
      <c r="T139" s="162">
        <f t="shared" si="26"/>
        <v>511.86700000000002</v>
      </c>
      <c r="U139" s="162">
        <f t="shared" si="27"/>
        <v>822.23099999999999</v>
      </c>
      <c r="V139" s="162">
        <f t="shared" si="28"/>
        <v>823.70699999999999</v>
      </c>
      <c r="W139" s="162">
        <f t="shared" si="29"/>
        <v>1430.895</v>
      </c>
      <c r="X139" s="162">
        <f t="shared" si="30"/>
        <v>683.98135846429432</v>
      </c>
      <c r="Y139" s="162">
        <f t="shared" si="31"/>
        <v>1169.4914018539075</v>
      </c>
      <c r="Z139" s="162">
        <f t="shared" si="32"/>
        <v>1186.2703664863384</v>
      </c>
      <c r="AA139" s="162">
        <f t="shared" si="33"/>
        <v>1240.9350860554659</v>
      </c>
    </row>
    <row r="140" spans="1:27">
      <c r="A140" s="96" t="s">
        <v>211</v>
      </c>
      <c r="B140" s="93">
        <v>559806</v>
      </c>
      <c r="C140" s="93">
        <v>627739</v>
      </c>
      <c r="D140" s="93">
        <v>1079170</v>
      </c>
      <c r="E140" s="93">
        <v>1297135</v>
      </c>
      <c r="F140" s="93">
        <v>1487863</v>
      </c>
      <c r="G140" s="93">
        <v>1592859.999999986</v>
      </c>
      <c r="H140" s="93">
        <v>1774489.9999999907</v>
      </c>
      <c r="I140" s="93">
        <v>1956119.9999999953</v>
      </c>
      <c r="J140" s="93">
        <v>2137750</v>
      </c>
      <c r="K140" s="2"/>
      <c r="L140" s="2"/>
      <c r="M140" s="2"/>
      <c r="R140" s="92" t="str">
        <f t="shared" si="23"/>
        <v>Other Short-Term Liabilities</v>
      </c>
      <c r="S140" s="162">
        <f t="shared" si="25"/>
        <v>559.80600000000004</v>
      </c>
      <c r="T140" s="162">
        <f t="shared" si="26"/>
        <v>627.73900000000003</v>
      </c>
      <c r="U140" s="162">
        <f t="shared" si="27"/>
        <v>1079.17</v>
      </c>
      <c r="V140" s="162">
        <f t="shared" si="28"/>
        <v>1297.135</v>
      </c>
      <c r="W140" s="162">
        <f t="shared" si="29"/>
        <v>1487.8630000000001</v>
      </c>
      <c r="X140" s="162">
        <f t="shared" si="30"/>
        <v>1592.859999999986</v>
      </c>
      <c r="Y140" s="162">
        <f t="shared" si="31"/>
        <v>1774.4899999999907</v>
      </c>
      <c r="Z140" s="162">
        <f t="shared" si="32"/>
        <v>1956.1199999999953</v>
      </c>
      <c r="AA140" s="162">
        <f t="shared" si="33"/>
        <v>2137.75</v>
      </c>
    </row>
    <row r="141" spans="1:27">
      <c r="A141" s="97" t="s">
        <v>212</v>
      </c>
      <c r="B141" s="94">
        <v>1035682</v>
      </c>
      <c r="C141" s="94">
        <v>1338336</v>
      </c>
      <c r="D141" s="94">
        <v>2055403.0000000002</v>
      </c>
      <c r="E141" s="94">
        <v>2306673</v>
      </c>
      <c r="F141" s="94">
        <v>3180071</v>
      </c>
      <c r="G141" s="94">
        <v>2586410.7228478086</v>
      </c>
      <c r="H141" s="94">
        <v>3308438.888401486</v>
      </c>
      <c r="I141" s="94">
        <v>3567738.4559042957</v>
      </c>
      <c r="J141" s="94">
        <v>3871223.1405274454</v>
      </c>
      <c r="K141" s="2"/>
      <c r="L141" s="2"/>
      <c r="M141" s="2"/>
      <c r="R141" s="92" t="str">
        <f t="shared" si="23"/>
        <v>Total Current Liabilities</v>
      </c>
      <c r="S141" s="162">
        <f t="shared" si="25"/>
        <v>1035.682</v>
      </c>
      <c r="T141" s="162">
        <f t="shared" si="26"/>
        <v>1338.336</v>
      </c>
      <c r="U141" s="162">
        <f t="shared" si="27"/>
        <v>2055.4030000000002</v>
      </c>
      <c r="V141" s="162">
        <f t="shared" si="28"/>
        <v>2306.6729999999998</v>
      </c>
      <c r="W141" s="162">
        <f t="shared" si="29"/>
        <v>3180.0709999999999</v>
      </c>
      <c r="X141" s="162">
        <f t="shared" si="30"/>
        <v>2586.4107228478088</v>
      </c>
      <c r="Y141" s="162">
        <f t="shared" si="31"/>
        <v>3308.4388884014861</v>
      </c>
      <c r="Z141" s="162">
        <f t="shared" si="32"/>
        <v>3567.7384559042957</v>
      </c>
      <c r="AA141" s="162">
        <f t="shared" si="33"/>
        <v>3871.2231405274451</v>
      </c>
    </row>
    <row r="142" spans="1:27">
      <c r="A142" s="98"/>
      <c r="B142" s="92"/>
      <c r="C142" s="92"/>
      <c r="D142" s="92"/>
      <c r="E142" s="92"/>
      <c r="F142" s="92"/>
      <c r="G142" s="92"/>
      <c r="H142" s="92"/>
      <c r="I142" s="92"/>
      <c r="J142" s="92"/>
      <c r="K142" s="2"/>
      <c r="L142" s="2"/>
      <c r="M142" s="2"/>
      <c r="R142" s="92"/>
      <c r="S142" s="162"/>
      <c r="T142" s="162"/>
      <c r="U142" s="162"/>
      <c r="V142" s="162"/>
      <c r="W142" s="162"/>
      <c r="X142" s="162"/>
      <c r="Y142" s="162"/>
      <c r="Z142" s="162"/>
      <c r="AA142" s="162"/>
    </row>
    <row r="143" spans="1:27">
      <c r="A143" s="96" t="s">
        <v>213</v>
      </c>
      <c r="B143" s="93">
        <v>2797061</v>
      </c>
      <c r="C143" s="93">
        <v>3616936</v>
      </c>
      <c r="D143" s="93">
        <v>4562593</v>
      </c>
      <c r="E143" s="93">
        <v>8357650</v>
      </c>
      <c r="F143" s="93">
        <v>11282224</v>
      </c>
      <c r="G143" s="93">
        <v>11545678.323191058</v>
      </c>
      <c r="H143" s="93">
        <v>13785629.98408718</v>
      </c>
      <c r="I143" s="93">
        <v>16269012.179549925</v>
      </c>
      <c r="J143" s="93">
        <v>19007864.934406556</v>
      </c>
      <c r="K143" s="2"/>
      <c r="L143" s="2"/>
      <c r="M143" s="2"/>
      <c r="R143" s="92" t="str">
        <f t="shared" si="23"/>
        <v>Long-Term Borrowing</v>
      </c>
      <c r="S143" s="162">
        <f t="shared" si="25"/>
        <v>2797.0610000000001</v>
      </c>
      <c r="T143" s="162">
        <f t="shared" si="26"/>
        <v>3616.9360000000001</v>
      </c>
      <c r="U143" s="162">
        <f t="shared" si="27"/>
        <v>4562.5929999999998</v>
      </c>
      <c r="V143" s="162">
        <f t="shared" si="28"/>
        <v>8357.65</v>
      </c>
      <c r="W143" s="162">
        <f t="shared" si="29"/>
        <v>11282.224</v>
      </c>
      <c r="X143" s="162">
        <f t="shared" si="30"/>
        <v>11545.678323191058</v>
      </c>
      <c r="Y143" s="162">
        <f t="shared" si="31"/>
        <v>13785.62998408718</v>
      </c>
      <c r="Z143" s="162">
        <f t="shared" si="32"/>
        <v>16269.012179549925</v>
      </c>
      <c r="AA143" s="162">
        <f t="shared" si="33"/>
        <v>19007.864934406556</v>
      </c>
    </row>
    <row r="144" spans="1:27">
      <c r="A144" s="96" t="s">
        <v>214</v>
      </c>
      <c r="B144" s="93">
        <v>535888</v>
      </c>
      <c r="C144" s="93">
        <v>668423</v>
      </c>
      <c r="D144" s="93">
        <v>826064</v>
      </c>
      <c r="E144" s="93">
        <v>938091</v>
      </c>
      <c r="F144" s="93">
        <v>1091440</v>
      </c>
      <c r="G144" s="93">
        <v>1233420.0000000419</v>
      </c>
      <c r="H144" s="93">
        <v>1372030.0000000279</v>
      </c>
      <c r="I144" s="93">
        <v>1510640.000000014</v>
      </c>
      <c r="J144" s="93">
        <v>1649250</v>
      </c>
      <c r="K144" s="2"/>
      <c r="L144" s="2"/>
      <c r="M144" s="2"/>
      <c r="R144" s="92" t="str">
        <f t="shared" si="23"/>
        <v>Other Long-Term Borrowing</v>
      </c>
      <c r="S144" s="162">
        <f t="shared" si="25"/>
        <v>535.88800000000003</v>
      </c>
      <c r="T144" s="162">
        <f t="shared" si="26"/>
        <v>668.423</v>
      </c>
      <c r="U144" s="162">
        <f t="shared" si="27"/>
        <v>826.06399999999996</v>
      </c>
      <c r="V144" s="162">
        <f t="shared" si="28"/>
        <v>938.09100000000001</v>
      </c>
      <c r="W144" s="162">
        <f t="shared" si="29"/>
        <v>1091.44</v>
      </c>
      <c r="X144" s="162">
        <f t="shared" si="30"/>
        <v>1233.4200000000419</v>
      </c>
      <c r="Y144" s="162">
        <f t="shared" si="31"/>
        <v>1372.0300000000279</v>
      </c>
      <c r="Z144" s="162">
        <f t="shared" si="32"/>
        <v>1510.640000000014</v>
      </c>
      <c r="AA144" s="162">
        <f t="shared" si="33"/>
        <v>1649.25</v>
      </c>
    </row>
    <row r="145" spans="1:27">
      <c r="A145" s="97" t="s">
        <v>215</v>
      </c>
      <c r="B145" s="94">
        <v>3332949</v>
      </c>
      <c r="C145" s="94">
        <v>4285359</v>
      </c>
      <c r="D145" s="94">
        <v>5388657</v>
      </c>
      <c r="E145" s="94">
        <v>9295741</v>
      </c>
      <c r="F145" s="94">
        <v>12373664</v>
      </c>
      <c r="G145" s="94">
        <v>12779098.323191099</v>
      </c>
      <c r="H145" s="94">
        <v>15157659.984087208</v>
      </c>
      <c r="I145" s="94">
        <v>17779652.17954994</v>
      </c>
      <c r="J145" s="94">
        <v>20657114.934406556</v>
      </c>
      <c r="K145" s="2"/>
      <c r="L145" s="2"/>
      <c r="M145" s="2"/>
      <c r="R145" s="92" t="str">
        <f t="shared" si="23"/>
        <v>Total Long Term Liabilities</v>
      </c>
      <c r="S145" s="162">
        <f t="shared" si="25"/>
        <v>3332.9490000000001</v>
      </c>
      <c r="T145" s="162">
        <f t="shared" si="26"/>
        <v>4285.3590000000004</v>
      </c>
      <c r="U145" s="162">
        <f t="shared" si="27"/>
        <v>5388.6570000000002</v>
      </c>
      <c r="V145" s="162">
        <f t="shared" si="28"/>
        <v>9295.741</v>
      </c>
      <c r="W145" s="162">
        <f t="shared" si="29"/>
        <v>12373.664000000001</v>
      </c>
      <c r="X145" s="162">
        <f t="shared" si="30"/>
        <v>12779.0983231911</v>
      </c>
      <c r="Y145" s="162">
        <f t="shared" si="31"/>
        <v>15157.659984087208</v>
      </c>
      <c r="Z145" s="162">
        <f t="shared" si="32"/>
        <v>17779.652179549939</v>
      </c>
      <c r="AA145" s="162">
        <f t="shared" si="33"/>
        <v>20657.114934406556</v>
      </c>
    </row>
    <row r="146" spans="1:27">
      <c r="A146" s="98"/>
      <c r="B146" s="92"/>
      <c r="C146" s="92"/>
      <c r="D146" s="92"/>
      <c r="E146" s="92"/>
      <c r="F146" s="92"/>
      <c r="G146" s="92"/>
      <c r="H146" s="92"/>
      <c r="I146" s="92"/>
      <c r="J146" s="92"/>
      <c r="K146" s="2"/>
      <c r="L146" s="2"/>
      <c r="M146" s="2"/>
      <c r="R146" s="92"/>
      <c r="S146" s="162"/>
      <c r="T146" s="162"/>
      <c r="U146" s="162"/>
      <c r="V146" s="162"/>
      <c r="W146" s="162"/>
      <c r="X146" s="162"/>
      <c r="Y146" s="162"/>
      <c r="Z146" s="162"/>
      <c r="AA146" s="162"/>
    </row>
    <row r="147" spans="1:27">
      <c r="A147" s="96" t="s">
        <v>216</v>
      </c>
      <c r="B147" s="93">
        <v>2721859</v>
      </c>
      <c r="C147" s="93">
        <v>2720249</v>
      </c>
      <c r="D147" s="93">
        <v>2668445</v>
      </c>
      <c r="E147" s="93">
        <v>2664946</v>
      </c>
      <c r="F147" s="93">
        <v>2664946</v>
      </c>
      <c r="G147" s="93">
        <v>2664946</v>
      </c>
      <c r="H147" s="93">
        <v>2664946</v>
      </c>
      <c r="I147" s="93">
        <v>2664946</v>
      </c>
      <c r="J147" s="93">
        <v>2664946</v>
      </c>
      <c r="K147" s="2"/>
      <c r="L147" s="2"/>
      <c r="M147" s="2"/>
      <c r="R147" s="92" t="str">
        <f t="shared" si="23"/>
        <v>Share Capital</v>
      </c>
      <c r="S147" s="162">
        <f t="shared" si="25"/>
        <v>2721.8589999999999</v>
      </c>
      <c r="T147" s="162">
        <f t="shared" si="26"/>
        <v>2720.2489999999998</v>
      </c>
      <c r="U147" s="162">
        <f t="shared" si="27"/>
        <v>2668.4450000000002</v>
      </c>
      <c r="V147" s="162">
        <f t="shared" si="28"/>
        <v>2664.9459999999999</v>
      </c>
      <c r="W147" s="162">
        <f t="shared" si="29"/>
        <v>2664.9459999999999</v>
      </c>
      <c r="X147" s="162">
        <f t="shared" si="30"/>
        <v>2664.9459999999999</v>
      </c>
      <c r="Y147" s="162">
        <f t="shared" si="31"/>
        <v>2664.9459999999999</v>
      </c>
      <c r="Z147" s="162">
        <f t="shared" si="32"/>
        <v>2664.9459999999999</v>
      </c>
      <c r="AA147" s="162">
        <f t="shared" si="33"/>
        <v>2664.9459999999999</v>
      </c>
    </row>
    <row r="148" spans="1:27">
      <c r="A148" s="96" t="s">
        <v>217</v>
      </c>
      <c r="B148" s="93">
        <v>2168447</v>
      </c>
      <c r="C148" s="93">
        <v>2573198</v>
      </c>
      <c r="D148" s="93">
        <v>3154822</v>
      </c>
      <c r="E148" s="93">
        <v>4469660</v>
      </c>
      <c r="F148" s="93">
        <v>5820584</v>
      </c>
      <c r="G148" s="95">
        <f>G150-G149-G147</f>
        <v>7352821.0517365187</v>
      </c>
      <c r="H148" s="95">
        <f t="shared" ref="H148:J148" si="34">H150-H149-H147</f>
        <v>9324524.0042389855</v>
      </c>
      <c r="I148" s="95">
        <f t="shared" si="34"/>
        <v>11475225.397747872</v>
      </c>
      <c r="J148" s="95">
        <f t="shared" si="34"/>
        <v>13812081.170704003</v>
      </c>
      <c r="K148" s="2"/>
      <c r="L148" s="2"/>
      <c r="M148" s="2"/>
      <c r="R148" s="92" t="str">
        <f t="shared" si="23"/>
        <v>Retained Earning</v>
      </c>
      <c r="S148" s="162">
        <f t="shared" si="25"/>
        <v>2168.4470000000001</v>
      </c>
      <c r="T148" s="162">
        <f t="shared" si="26"/>
        <v>2573.1979999999999</v>
      </c>
      <c r="U148" s="162">
        <f t="shared" si="27"/>
        <v>3154.8220000000001</v>
      </c>
      <c r="V148" s="162">
        <f t="shared" si="28"/>
        <v>4469.66</v>
      </c>
      <c r="W148" s="162">
        <f t="shared" si="29"/>
        <v>5820.5839999999998</v>
      </c>
      <c r="X148" s="162">
        <f t="shared" si="30"/>
        <v>7352.8210517365187</v>
      </c>
      <c r="Y148" s="162">
        <f t="shared" si="31"/>
        <v>9324.5240042389851</v>
      </c>
      <c r="Z148" s="162">
        <f t="shared" si="32"/>
        <v>11475.225397747872</v>
      </c>
      <c r="AA148" s="162">
        <f t="shared" si="33"/>
        <v>13812.081170704003</v>
      </c>
    </row>
    <row r="149" spans="1:27">
      <c r="A149" s="96" t="s">
        <v>218</v>
      </c>
      <c r="B149" s="93">
        <v>0</v>
      </c>
      <c r="C149" s="93">
        <v>1110</v>
      </c>
      <c r="D149" s="93">
        <v>199440</v>
      </c>
      <c r="E149" s="93">
        <v>284815</v>
      </c>
      <c r="F149" s="93">
        <v>400405</v>
      </c>
      <c r="G149" s="93">
        <v>400405</v>
      </c>
      <c r="H149" s="93">
        <v>400405</v>
      </c>
      <c r="I149" s="93">
        <v>400405</v>
      </c>
      <c r="J149" s="93">
        <v>400405</v>
      </c>
      <c r="K149" s="2"/>
      <c r="L149" s="2"/>
      <c r="M149" s="2"/>
      <c r="R149" s="92" t="str">
        <f t="shared" si="23"/>
        <v>Minority Interest</v>
      </c>
      <c r="S149" s="162">
        <f t="shared" si="25"/>
        <v>0</v>
      </c>
      <c r="T149" s="162">
        <f t="shared" si="26"/>
        <v>1.1100000000000001</v>
      </c>
      <c r="U149" s="162">
        <f t="shared" si="27"/>
        <v>199.44</v>
      </c>
      <c r="V149" s="162">
        <f t="shared" si="28"/>
        <v>284.815</v>
      </c>
      <c r="W149" s="162">
        <f t="shared" si="29"/>
        <v>400.40499999999997</v>
      </c>
      <c r="X149" s="162">
        <f t="shared" si="30"/>
        <v>400.40499999999997</v>
      </c>
      <c r="Y149" s="162">
        <f t="shared" si="31"/>
        <v>400.40499999999997</v>
      </c>
      <c r="Z149" s="162">
        <f t="shared" si="32"/>
        <v>400.40499999999997</v>
      </c>
      <c r="AA149" s="162">
        <f t="shared" si="33"/>
        <v>400.40499999999997</v>
      </c>
    </row>
    <row r="150" spans="1:27">
      <c r="A150" s="101" t="s">
        <v>219</v>
      </c>
      <c r="B150" s="102">
        <v>4890306</v>
      </c>
      <c r="C150" s="102">
        <v>5294557</v>
      </c>
      <c r="D150" s="102">
        <v>6022707</v>
      </c>
      <c r="E150" s="102">
        <v>7419421</v>
      </c>
      <c r="F150" s="102">
        <v>8885935</v>
      </c>
      <c r="G150" s="102">
        <v>10418172.051736519</v>
      </c>
      <c r="H150" s="102">
        <v>12389875.004238985</v>
      </c>
      <c r="I150" s="102">
        <v>14540576.397747872</v>
      </c>
      <c r="J150" s="102">
        <v>16877432.170704003</v>
      </c>
      <c r="K150" s="2"/>
      <c r="L150" s="2"/>
      <c r="M150" s="2"/>
      <c r="R150" s="92" t="str">
        <f t="shared" si="23"/>
        <v>Total Equity</v>
      </c>
      <c r="S150" s="162">
        <f t="shared" si="25"/>
        <v>4890.3059999999996</v>
      </c>
      <c r="T150" s="162">
        <f t="shared" si="26"/>
        <v>5294.5569999999998</v>
      </c>
      <c r="U150" s="162">
        <f t="shared" si="27"/>
        <v>6022.7070000000003</v>
      </c>
      <c r="V150" s="162">
        <f t="shared" si="28"/>
        <v>7419.4210000000003</v>
      </c>
      <c r="W150" s="162">
        <f t="shared" si="29"/>
        <v>8885.9349999999995</v>
      </c>
      <c r="X150" s="162">
        <f t="shared" si="30"/>
        <v>10418.172051736519</v>
      </c>
      <c r="Y150" s="162">
        <f t="shared" si="31"/>
        <v>12389.875004238986</v>
      </c>
      <c r="Z150" s="162">
        <f t="shared" si="32"/>
        <v>14540.576397747873</v>
      </c>
      <c r="AA150" s="162">
        <f t="shared" si="33"/>
        <v>16877.432170704004</v>
      </c>
    </row>
    <row r="151" spans="1:27">
      <c r="A151" s="97" t="s">
        <v>220</v>
      </c>
      <c r="B151" s="100">
        <f>B132+B136-B141-B145</f>
        <v>4890306</v>
      </c>
      <c r="C151" s="100">
        <f t="shared" ref="C151:J151" si="35">C132+C136-C141-C145</f>
        <v>5294557</v>
      </c>
      <c r="D151" s="100">
        <f t="shared" si="35"/>
        <v>6022706.9999999981</v>
      </c>
      <c r="E151" s="100">
        <f t="shared" si="35"/>
        <v>7419421</v>
      </c>
      <c r="F151" s="100">
        <f t="shared" si="35"/>
        <v>8885935</v>
      </c>
      <c r="G151" s="100">
        <f t="shared" si="35"/>
        <v>10418172.051736522</v>
      </c>
      <c r="H151" s="100">
        <f t="shared" si="35"/>
        <v>12389875.004238984</v>
      </c>
      <c r="I151" s="100">
        <f t="shared" si="35"/>
        <v>14540576.397747874</v>
      </c>
      <c r="J151" s="100">
        <f t="shared" si="35"/>
        <v>16877432.170704015</v>
      </c>
      <c r="K151" s="2"/>
      <c r="L151" s="2"/>
      <c r="M151" s="2"/>
      <c r="S151" s="160"/>
      <c r="T151" s="160"/>
      <c r="U151" s="160"/>
      <c r="V151" s="160"/>
      <c r="W151" s="160"/>
      <c r="X151" s="160"/>
      <c r="Y151" s="160"/>
      <c r="Z151" s="160"/>
      <c r="AA151" s="160"/>
    </row>
    <row r="152" spans="1:27">
      <c r="A152" s="101"/>
      <c r="B152" s="95"/>
      <c r="C152" s="95"/>
      <c r="D152" s="95"/>
      <c r="E152" s="95"/>
      <c r="F152" s="95"/>
      <c r="G152" s="95"/>
      <c r="H152" s="95"/>
      <c r="I152" s="95"/>
      <c r="J152" s="95"/>
      <c r="K152" s="2"/>
      <c r="L152" s="2"/>
      <c r="M152" s="2"/>
    </row>
    <row r="153" spans="1:27">
      <c r="A153" s="101" t="s">
        <v>221</v>
      </c>
      <c r="B153" s="159">
        <f>(B145+B141)/B150</f>
        <v>0.89332467129868764</v>
      </c>
      <c r="C153" s="159">
        <f t="shared" ref="C153:J153" si="36">(C145+C141)/C150</f>
        <v>1.0621653520776149</v>
      </c>
      <c r="D153" s="159">
        <f t="shared" si="36"/>
        <v>1.2359990283438991</v>
      </c>
      <c r="E153" s="159">
        <f t="shared" si="36"/>
        <v>1.5637896811624519</v>
      </c>
      <c r="F153" s="159">
        <f t="shared" si="36"/>
        <v>1.7503768596101592</v>
      </c>
      <c r="G153" s="159">
        <f t="shared" si="36"/>
        <v>1.4748757238538557</v>
      </c>
      <c r="H153" s="159">
        <f t="shared" si="36"/>
        <v>1.49041849624559</v>
      </c>
      <c r="I153" s="159">
        <f t="shared" si="36"/>
        <v>1.468125475325768</v>
      </c>
      <c r="J153" s="159">
        <f t="shared" si="36"/>
        <v>1.4533216799123334</v>
      </c>
      <c r="K153" s="2"/>
      <c r="L153" s="2"/>
      <c r="M153" s="2"/>
      <c r="S153" s="154"/>
      <c r="T153" s="154"/>
      <c r="U153" s="154"/>
      <c r="V153" s="154"/>
      <c r="W153" s="154"/>
      <c r="X153" s="154"/>
      <c r="Y153" s="154"/>
      <c r="Z153" s="154"/>
      <c r="AA153" s="154"/>
    </row>
    <row r="154" spans="1:27">
      <c r="K154" s="2"/>
      <c r="L154" s="2"/>
      <c r="M154" s="2"/>
    </row>
    <row r="155" spans="1:27" hidden="1">
      <c r="B155" s="2">
        <f t="shared" ref="B155:J155" si="37">-B62/B66</f>
        <v>0.14394868998307828</v>
      </c>
      <c r="C155" s="2">
        <f t="shared" si="37"/>
        <v>0.13054012191354547</v>
      </c>
      <c r="D155" s="2">
        <f t="shared" si="37"/>
        <v>0.14531676656247752</v>
      </c>
      <c r="E155" s="2">
        <f t="shared" si="37"/>
        <v>0.18862572473078132</v>
      </c>
      <c r="F155" s="2">
        <f t="shared" si="37"/>
        <v>0.17310221482302038</v>
      </c>
      <c r="G155" s="2">
        <f t="shared" si="37"/>
        <v>0.15606936416184972</v>
      </c>
      <c r="H155" s="2">
        <f t="shared" si="37"/>
        <v>0.15606936416184972</v>
      </c>
      <c r="I155" s="2">
        <f t="shared" si="37"/>
        <v>0.15606936416184972</v>
      </c>
      <c r="J155" s="2">
        <f t="shared" si="37"/>
        <v>0.15606936416184974</v>
      </c>
      <c r="K155" s="2"/>
      <c r="L155" s="2"/>
      <c r="M155" s="2"/>
    </row>
    <row r="156" spans="1:27" hidden="1">
      <c r="B156" s="16">
        <f t="shared" ref="B156:J156" si="38">(B141+B145)/B150</f>
        <v>0.89332467129868764</v>
      </c>
      <c r="C156" s="16">
        <f t="shared" si="38"/>
        <v>1.0621653520776149</v>
      </c>
      <c r="D156" s="16">
        <f t="shared" si="38"/>
        <v>1.2359990283438991</v>
      </c>
      <c r="E156" s="16">
        <f t="shared" si="38"/>
        <v>1.5637896811624519</v>
      </c>
      <c r="F156" s="16">
        <f t="shared" si="38"/>
        <v>1.7503768596101592</v>
      </c>
      <c r="G156" s="16">
        <f>(G141+G145)/G150</f>
        <v>1.4748757238538557</v>
      </c>
      <c r="H156" s="16">
        <f t="shared" si="38"/>
        <v>1.49041849624559</v>
      </c>
      <c r="I156" s="16">
        <f t="shared" si="38"/>
        <v>1.468125475325768</v>
      </c>
      <c r="J156" s="16">
        <f t="shared" si="38"/>
        <v>1.4533216799123334</v>
      </c>
      <c r="K156" s="2"/>
      <c r="L156" s="2"/>
      <c r="M156" s="2"/>
    </row>
    <row r="157" spans="1:27" hidden="1">
      <c r="B157" s="11"/>
      <c r="C157" s="11"/>
      <c r="D157" s="11"/>
      <c r="E157" s="11"/>
      <c r="F157" s="11"/>
      <c r="G157" s="11"/>
      <c r="H157" s="11"/>
      <c r="I157" s="11"/>
      <c r="J157" s="11"/>
      <c r="K157" s="2"/>
      <c r="L157" s="2"/>
      <c r="M157" s="2"/>
    </row>
    <row r="158" spans="1:27" hidden="1">
      <c r="A158" s="89"/>
      <c r="B158" s="88">
        <v>2011</v>
      </c>
      <c r="C158" s="88">
        <v>2012</v>
      </c>
      <c r="D158" s="88">
        <v>2013</v>
      </c>
      <c r="E158" s="88">
        <v>2014</v>
      </c>
      <c r="F158" s="88">
        <v>2015</v>
      </c>
      <c r="G158" s="88">
        <v>2016</v>
      </c>
      <c r="H158" s="88">
        <v>2017</v>
      </c>
      <c r="I158" s="88">
        <v>2018</v>
      </c>
      <c r="J158" s="88">
        <v>2019</v>
      </c>
      <c r="K158" s="88">
        <v>2020</v>
      </c>
      <c r="L158" s="88">
        <v>2021</v>
      </c>
      <c r="M158" s="88">
        <v>2022</v>
      </c>
      <c r="N158" s="88">
        <v>2023</v>
      </c>
      <c r="O158" s="88">
        <v>2024</v>
      </c>
      <c r="P158" s="88">
        <v>2025</v>
      </c>
    </row>
    <row r="159" spans="1:27" hidden="1">
      <c r="A159" s="2" t="s">
        <v>222</v>
      </c>
      <c r="B159" s="2">
        <v>46614.3</v>
      </c>
      <c r="C159" s="2">
        <v>125502.05600000001</v>
      </c>
      <c r="D159" s="2">
        <v>133194.53700000001</v>
      </c>
      <c r="E159" s="2">
        <v>248395.64400000003</v>
      </c>
      <c r="F159" s="2">
        <v>305642.66200000001</v>
      </c>
      <c r="G159" s="2">
        <v>399379.53419486608</v>
      </c>
      <c r="H159" s="2">
        <v>562168.47803681903</v>
      </c>
      <c r="I159" s="2">
        <v>754243.01400000008</v>
      </c>
      <c r="J159" s="2">
        <v>891880.90999999992</v>
      </c>
      <c r="K159" s="2">
        <v>1060090.0290000001</v>
      </c>
      <c r="L159" s="2">
        <v>1315894.486</v>
      </c>
      <c r="M159" s="2">
        <v>1131832.0517365194</v>
      </c>
      <c r="N159" s="2">
        <v>1571297.9525024665</v>
      </c>
      <c r="O159" s="2">
        <v>1750296.3935088865</v>
      </c>
      <c r="P159" s="2">
        <v>1936450.7729561334</v>
      </c>
    </row>
    <row r="160" spans="1:27" hidden="1">
      <c r="A160" s="2" t="s">
        <v>198</v>
      </c>
      <c r="B160" s="2">
        <v>28964</v>
      </c>
      <c r="C160" s="2">
        <v>44204</v>
      </c>
      <c r="D160" s="2">
        <v>45926</v>
      </c>
      <c r="E160" s="2">
        <v>105014</v>
      </c>
      <c r="F160" s="2">
        <v>118786</v>
      </c>
      <c r="G160" s="2">
        <v>151091</v>
      </c>
      <c r="H160" s="2">
        <v>188191</v>
      </c>
      <c r="I160" s="2">
        <v>283685</v>
      </c>
      <c r="J160" s="2">
        <v>330941</v>
      </c>
      <c r="K160" s="2">
        <v>453275</v>
      </c>
      <c r="L160" s="2">
        <v>645572</v>
      </c>
      <c r="M160" s="2">
        <v>655345.42409256229</v>
      </c>
      <c r="N160" s="2">
        <v>770380.71091070026</v>
      </c>
      <c r="O160" s="2">
        <v>897917.65205157548</v>
      </c>
      <c r="P160" s="2">
        <v>1038574.5768003594</v>
      </c>
    </row>
    <row r="161" spans="1:16" hidden="1">
      <c r="A161" s="2" t="s">
        <v>223</v>
      </c>
      <c r="B161" s="2">
        <v>16940</v>
      </c>
      <c r="C161" s="2">
        <v>21027</v>
      </c>
      <c r="D161" s="2">
        <v>-11008</v>
      </c>
      <c r="E161" s="2">
        <v>-193159</v>
      </c>
      <c r="F161" s="2">
        <v>-565475</v>
      </c>
      <c r="G161" s="2">
        <v>-837149</v>
      </c>
      <c r="H161" s="2">
        <v>-1267645</v>
      </c>
      <c r="I161" s="2">
        <v>-1719805</v>
      </c>
      <c r="J161" s="2">
        <v>-2046786</v>
      </c>
      <c r="K161" s="2">
        <v>-2882835</v>
      </c>
      <c r="L161" s="2">
        <v>-3678785</v>
      </c>
      <c r="M161" s="2">
        <v>-872538.63165383902</v>
      </c>
      <c r="N161" s="2">
        <v>-2855996.2188771162</v>
      </c>
      <c r="O161" s="2">
        <v>-3170697.2901799767</v>
      </c>
      <c r="P161" s="2">
        <v>-3500963.4125903188</v>
      </c>
    </row>
    <row r="162" spans="1:16" hidden="1">
      <c r="A162" s="2" t="s">
        <v>224</v>
      </c>
      <c r="B162" s="2">
        <v>-33454</v>
      </c>
      <c r="C162" s="2">
        <v>-19295</v>
      </c>
      <c r="D162" s="2">
        <v>28978</v>
      </c>
      <c r="E162" s="2">
        <v>35520</v>
      </c>
      <c r="F162" s="2">
        <v>74985</v>
      </c>
      <c r="G162" s="2">
        <v>146819</v>
      </c>
      <c r="H162" s="2">
        <v>-276294</v>
      </c>
      <c r="I162" s="2">
        <v>362478</v>
      </c>
      <c r="J162" s="2">
        <v>191008</v>
      </c>
      <c r="K162" s="2">
        <v>-740292</v>
      </c>
      <c r="L162" s="2">
        <v>-1081757</v>
      </c>
      <c r="M162" s="2">
        <v>971254.15902743652</v>
      </c>
      <c r="N162" s="2">
        <v>1287544.085628977</v>
      </c>
      <c r="O162" s="2">
        <v>1441584.9642104066</v>
      </c>
      <c r="P162" s="2">
        <v>1514002.0279713999</v>
      </c>
    </row>
    <row r="163" spans="1:16" hidden="1">
      <c r="A163" s="2" t="s">
        <v>225</v>
      </c>
      <c r="B163" s="2">
        <v>51193</v>
      </c>
      <c r="C163" s="2">
        <v>172476</v>
      </c>
      <c r="D163" s="2">
        <v>194865</v>
      </c>
      <c r="E163" s="2">
        <v>138413</v>
      </c>
      <c r="F163" s="2">
        <v>-99703</v>
      </c>
      <c r="G163" s="2">
        <v>-139221</v>
      </c>
      <c r="H163" s="2">
        <v>-791501</v>
      </c>
      <c r="I163" s="2">
        <v>-319278</v>
      </c>
      <c r="J163" s="2">
        <v>-632215</v>
      </c>
      <c r="K163" s="2">
        <v>-2116062</v>
      </c>
      <c r="L163" s="2">
        <v>-2792975</v>
      </c>
      <c r="M163" s="2">
        <v>1885893.0032026789</v>
      </c>
      <c r="N163" s="2">
        <v>773226.53016502748</v>
      </c>
      <c r="O163" s="2">
        <v>919101.71959089185</v>
      </c>
      <c r="P163" s="2">
        <v>988063.96513757389</v>
      </c>
    </row>
    <row r="164" spans="1:16" hidden="1">
      <c r="A164" s="2" t="s">
        <v>226</v>
      </c>
      <c r="B164" s="2">
        <v>-121927</v>
      </c>
      <c r="C164" s="2">
        <v>-34125</v>
      </c>
      <c r="D164" s="2">
        <v>-33487</v>
      </c>
      <c r="E164" s="2">
        <v>-211107</v>
      </c>
      <c r="F164" s="2">
        <v>-367279</v>
      </c>
      <c r="G164" s="2">
        <v>-381261</v>
      </c>
      <c r="H164" s="2">
        <v>-291397</v>
      </c>
      <c r="I164" s="2">
        <v>-66744</v>
      </c>
      <c r="J164" s="2">
        <v>-91626</v>
      </c>
      <c r="K164" s="2">
        <v>-69815</v>
      </c>
      <c r="L164" s="2">
        <v>-366286</v>
      </c>
      <c r="M164" s="2">
        <v>-177173.6</v>
      </c>
      <c r="N164" s="2">
        <v>-177173.6</v>
      </c>
      <c r="O164" s="2">
        <v>-177173.6</v>
      </c>
      <c r="P164" s="2">
        <v>-177173.6</v>
      </c>
    </row>
    <row r="165" spans="1:16" hidden="1">
      <c r="A165" s="2" t="s">
        <v>227</v>
      </c>
      <c r="B165" s="2">
        <v>0</v>
      </c>
      <c r="C165" s="2">
        <v>0</v>
      </c>
      <c r="D165" s="2">
        <v>0</v>
      </c>
      <c r="E165" s="2">
        <v>6875</v>
      </c>
      <c r="F165" s="2">
        <v>1872</v>
      </c>
      <c r="G165" s="2">
        <v>369</v>
      </c>
      <c r="H165" s="2">
        <v>1699</v>
      </c>
      <c r="I165" s="2">
        <v>1024</v>
      </c>
      <c r="J165" s="2">
        <v>194</v>
      </c>
      <c r="K165" s="2">
        <v>516</v>
      </c>
      <c r="L165" s="2">
        <v>1341</v>
      </c>
      <c r="M165" s="2">
        <v>954.8</v>
      </c>
      <c r="N165" s="2">
        <v>954.8</v>
      </c>
      <c r="O165" s="2">
        <v>954.8</v>
      </c>
      <c r="P165" s="2">
        <v>954.8</v>
      </c>
    </row>
    <row r="166" spans="1:16" hidden="1">
      <c r="A166" s="2" t="s">
        <v>228</v>
      </c>
      <c r="B166" s="2">
        <v>26048</v>
      </c>
      <c r="C166" s="2">
        <v>-15834.000000000004</v>
      </c>
      <c r="D166" s="2">
        <v>-176518</v>
      </c>
      <c r="E166" s="2">
        <v>-68729.000000000015</v>
      </c>
      <c r="F166" s="2">
        <v>-297399</v>
      </c>
      <c r="G166" s="2">
        <v>-258856.00000000006</v>
      </c>
      <c r="H166" s="2">
        <v>-300853</v>
      </c>
      <c r="I166" s="2">
        <v>-640486</v>
      </c>
      <c r="J166" s="2">
        <v>-505025.99999999994</v>
      </c>
      <c r="K166" s="2">
        <v>-137614</v>
      </c>
      <c r="L166" s="2">
        <v>-89187.999999999985</v>
      </c>
      <c r="M166" s="2">
        <v>-334633.40000000002</v>
      </c>
      <c r="N166" s="2">
        <v>-334633.40000000002</v>
      </c>
      <c r="O166" s="2">
        <v>-334633.40000000002</v>
      </c>
      <c r="P166" s="2">
        <v>-334633.40000000002</v>
      </c>
    </row>
    <row r="167" spans="1:16" hidden="1">
      <c r="A167" s="2" t="s">
        <v>229</v>
      </c>
      <c r="B167" s="2">
        <v>-95879</v>
      </c>
      <c r="C167" s="2">
        <v>-49959</v>
      </c>
      <c r="D167" s="2">
        <v>-210005</v>
      </c>
      <c r="E167" s="2">
        <v>-272961</v>
      </c>
      <c r="F167" s="2">
        <v>-662806</v>
      </c>
      <c r="G167" s="2">
        <v>-639748</v>
      </c>
      <c r="H167" s="2">
        <v>-590551</v>
      </c>
      <c r="I167" s="2">
        <v>-706206</v>
      </c>
      <c r="J167" s="2">
        <v>-596458</v>
      </c>
      <c r="K167" s="2">
        <v>-206913</v>
      </c>
      <c r="L167" s="2">
        <v>-454133</v>
      </c>
      <c r="M167" s="2">
        <v>-510852.19999999995</v>
      </c>
      <c r="N167" s="2">
        <v>-510852.19999999995</v>
      </c>
      <c r="O167" s="2">
        <v>-510852.19999999995</v>
      </c>
      <c r="P167" s="2">
        <v>-510852.19999999995</v>
      </c>
    </row>
    <row r="168" spans="1:16" hidden="1">
      <c r="A168" s="2" t="s">
        <v>109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-22377</v>
      </c>
      <c r="H168" s="2">
        <v>-71204</v>
      </c>
      <c r="I168" s="2">
        <v>-95758</v>
      </c>
      <c r="J168" s="2">
        <v>-144382</v>
      </c>
      <c r="K168" s="2">
        <v>-190285</v>
      </c>
      <c r="L168" s="2">
        <v>-241515</v>
      </c>
      <c r="M168" s="2">
        <v>-282958.01293412986</v>
      </c>
      <c r="N168" s="2">
        <v>-392824.48812561663</v>
      </c>
      <c r="O168" s="2">
        <v>-525088.91805266589</v>
      </c>
      <c r="P168" s="2">
        <v>-580935.23188683996</v>
      </c>
    </row>
    <row r="169" spans="1:16" hidden="1">
      <c r="A169" s="2" t="s">
        <v>230</v>
      </c>
      <c r="B169" s="2">
        <v>59610</v>
      </c>
      <c r="C169" s="2">
        <v>-23124</v>
      </c>
      <c r="D169" s="2">
        <v>-103340</v>
      </c>
      <c r="E169" s="2">
        <v>-105381.99999999999</v>
      </c>
      <c r="F169" s="2">
        <v>252063</v>
      </c>
      <c r="G169" s="2">
        <v>968647.00000000012</v>
      </c>
      <c r="H169" s="2">
        <v>1108966.9999999998</v>
      </c>
      <c r="I169" s="2">
        <v>1130917</v>
      </c>
      <c r="J169" s="2">
        <v>1206409</v>
      </c>
      <c r="K169" s="2">
        <v>3144235</v>
      </c>
      <c r="L169" s="2">
        <v>3263968</v>
      </c>
      <c r="M169" s="2">
        <v>405434.32319109933</v>
      </c>
      <c r="N169" s="2">
        <v>2378561.660896108</v>
      </c>
      <c r="O169" s="2">
        <v>2621992.1954627316</v>
      </c>
      <c r="P169" s="2">
        <v>2877462.7548566167</v>
      </c>
    </row>
    <row r="170" spans="1:16" hidden="1">
      <c r="A170" s="2" t="s">
        <v>231</v>
      </c>
      <c r="B170" s="2">
        <v>0</v>
      </c>
      <c r="C170" s="2">
        <v>0</v>
      </c>
      <c r="D170" s="2">
        <v>0</v>
      </c>
      <c r="E170" s="2">
        <v>1432481</v>
      </c>
      <c r="F170" s="2">
        <v>0</v>
      </c>
      <c r="G170" s="2">
        <v>111397</v>
      </c>
      <c r="H170" s="2">
        <v>1018013</v>
      </c>
      <c r="I170" s="2">
        <v>-1610</v>
      </c>
      <c r="J170" s="2">
        <v>-92816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hidden="1">
      <c r="A171" s="2" t="s">
        <v>232</v>
      </c>
      <c r="B171" s="2">
        <v>4112</v>
      </c>
      <c r="C171" s="2">
        <v>-111011</v>
      </c>
      <c r="D171" s="2">
        <v>123603</v>
      </c>
      <c r="E171" s="2">
        <v>85818</v>
      </c>
      <c r="F171" s="2">
        <v>-368590</v>
      </c>
      <c r="G171" s="2">
        <v>-108881</v>
      </c>
      <c r="H171" s="2">
        <v>55126</v>
      </c>
      <c r="I171" s="2">
        <v>-38437</v>
      </c>
      <c r="J171" s="2">
        <v>-37642</v>
      </c>
      <c r="K171" s="2">
        <v>118296</v>
      </c>
      <c r="L171" s="2">
        <v>159065</v>
      </c>
      <c r="M171" s="2">
        <v>51281.600000000006</v>
      </c>
      <c r="N171" s="2">
        <v>51281.600000000006</v>
      </c>
      <c r="O171" s="2">
        <v>51281.600000000006</v>
      </c>
      <c r="P171" s="2">
        <v>51281.600000000006</v>
      </c>
    </row>
    <row r="172" spans="1:16" hidden="1">
      <c r="A172" s="2" t="s">
        <v>233</v>
      </c>
      <c r="B172" s="2">
        <v>63722</v>
      </c>
      <c r="C172" s="2">
        <v>-134135</v>
      </c>
      <c r="D172" s="2">
        <v>20263</v>
      </c>
      <c r="E172" s="2">
        <v>1412917</v>
      </c>
      <c r="F172" s="2">
        <v>-116527</v>
      </c>
      <c r="G172" s="2">
        <v>948786</v>
      </c>
      <c r="H172" s="2">
        <v>2110902</v>
      </c>
      <c r="I172" s="2">
        <v>995112</v>
      </c>
      <c r="J172" s="2">
        <v>931569</v>
      </c>
      <c r="K172" s="2">
        <v>3072246</v>
      </c>
      <c r="L172" s="2">
        <v>3181518</v>
      </c>
      <c r="M172" s="2">
        <v>173757.91025696951</v>
      </c>
      <c r="N172" s="2">
        <v>2037018.7727704914</v>
      </c>
      <c r="O172" s="2">
        <v>2148184.8774100654</v>
      </c>
      <c r="P172" s="2">
        <v>2347809.1229697764</v>
      </c>
    </row>
    <row r="173" spans="1:16" hidden="1">
      <c r="A173" s="2" t="s">
        <v>234</v>
      </c>
      <c r="B173" s="2">
        <v>56298</v>
      </c>
      <c r="C173" s="2">
        <v>44680</v>
      </c>
      <c r="D173" s="2">
        <v>49803</v>
      </c>
      <c r="E173" s="2">
        <v>1328172</v>
      </c>
      <c r="F173" s="2">
        <v>449136</v>
      </c>
      <c r="G173" s="2">
        <v>618953</v>
      </c>
      <c r="H173" s="2">
        <v>1347803</v>
      </c>
      <c r="I173" s="2">
        <v>1317431</v>
      </c>
      <c r="J173" s="2">
        <v>1020327</v>
      </c>
      <c r="K173" s="2">
        <v>1769598</v>
      </c>
      <c r="L173" s="2">
        <v>1704008</v>
      </c>
      <c r="M173" s="2">
        <v>1548798.7134596484</v>
      </c>
      <c r="N173" s="2">
        <v>2299393.1029355191</v>
      </c>
      <c r="O173" s="2">
        <v>2556434.3970009573</v>
      </c>
      <c r="P173" s="2">
        <v>2825020.8881073506</v>
      </c>
    </row>
    <row r="174" spans="1:16" hidden="1">
      <c r="A174" s="2" t="s">
        <v>235</v>
      </c>
      <c r="B174" s="2">
        <v>-70734.000000000015</v>
      </c>
      <c r="C174" s="2">
        <v>138351</v>
      </c>
      <c r="D174" s="2">
        <v>161378</v>
      </c>
      <c r="E174" s="2">
        <v>-72693.999999999985</v>
      </c>
      <c r="F174" s="2">
        <v>-466982</v>
      </c>
      <c r="G174" s="2">
        <v>-520482</v>
      </c>
      <c r="H174" s="2">
        <v>-1082898</v>
      </c>
      <c r="I174" s="2">
        <v>-386022.00000000006</v>
      </c>
      <c r="J174" s="2">
        <v>-723841</v>
      </c>
      <c r="K174" s="2">
        <v>-2185877</v>
      </c>
      <c r="L174" s="2">
        <v>-3159261</v>
      </c>
      <c r="M174" s="2">
        <v>1708719.403202679</v>
      </c>
      <c r="N174" s="2">
        <v>596052.9301650275</v>
      </c>
      <c r="O174" s="2">
        <v>741928.11959089187</v>
      </c>
      <c r="P174" s="2">
        <v>810890.36513757391</v>
      </c>
    </row>
    <row r="175" spans="1:16" hidden="1">
      <c r="K175" s="2"/>
      <c r="L175" s="2"/>
      <c r="M175" s="2"/>
    </row>
    <row r="176" spans="1:16" hidden="1">
      <c r="K176" s="2"/>
      <c r="L176" s="2"/>
      <c r="M176" s="2"/>
    </row>
    <row r="177" spans="1:27">
      <c r="K177" s="2"/>
      <c r="L177" s="2"/>
      <c r="M177" s="2"/>
    </row>
    <row r="178" spans="1:27">
      <c r="A178" s="112" t="s">
        <v>236</v>
      </c>
      <c r="B178" s="113">
        <v>2017</v>
      </c>
      <c r="C178" s="113">
        <v>2018</v>
      </c>
      <c r="D178" s="113">
        <v>2019</v>
      </c>
      <c r="E178" s="113">
        <v>2020</v>
      </c>
      <c r="F178" s="113">
        <v>2021</v>
      </c>
      <c r="G178" s="113" t="s">
        <v>126</v>
      </c>
      <c r="H178" s="113" t="s">
        <v>127</v>
      </c>
      <c r="I178" s="113" t="s">
        <v>128</v>
      </c>
      <c r="J178" s="113" t="s">
        <v>117</v>
      </c>
      <c r="K178" s="2"/>
      <c r="L178" s="2"/>
      <c r="M178" s="2"/>
      <c r="R178" s="163" t="s">
        <v>237</v>
      </c>
      <c r="S178" s="164">
        <f t="shared" ref="S178:AA178" si="39">B178</f>
        <v>2017</v>
      </c>
      <c r="T178" s="164">
        <f t="shared" si="39"/>
        <v>2018</v>
      </c>
      <c r="U178" s="164">
        <f t="shared" si="39"/>
        <v>2019</v>
      </c>
      <c r="V178" s="164">
        <f t="shared" si="39"/>
        <v>2020</v>
      </c>
      <c r="W178" s="164">
        <f t="shared" si="39"/>
        <v>2021</v>
      </c>
      <c r="X178" s="164" t="str">
        <f t="shared" si="39"/>
        <v>2022E</v>
      </c>
      <c r="Y178" s="164" t="str">
        <f t="shared" si="39"/>
        <v>2023E</v>
      </c>
      <c r="Z178" s="164" t="str">
        <f t="shared" si="39"/>
        <v>2024E</v>
      </c>
      <c r="AA178" s="164" t="str">
        <f t="shared" si="39"/>
        <v>2025E</v>
      </c>
    </row>
    <row r="179" spans="1:27">
      <c r="A179" s="124"/>
      <c r="B179" s="125"/>
      <c r="C179" s="125"/>
      <c r="D179" s="125"/>
      <c r="E179" s="125"/>
      <c r="F179" s="125"/>
      <c r="G179" s="125"/>
      <c r="H179" s="125"/>
      <c r="I179" s="125"/>
      <c r="J179" s="125"/>
      <c r="K179" s="2"/>
      <c r="L179" s="2"/>
      <c r="M179" s="2"/>
      <c r="R179" s="165"/>
      <c r="S179" s="166"/>
      <c r="T179" s="166"/>
      <c r="U179" s="166"/>
      <c r="V179" s="166"/>
      <c r="W179" s="166"/>
      <c r="X179" s="166"/>
      <c r="Y179" s="166"/>
      <c r="Z179" s="166"/>
      <c r="AA179" s="166"/>
    </row>
    <row r="180" spans="1:27">
      <c r="A180" s="114" t="s">
        <v>238</v>
      </c>
      <c r="B180" s="115">
        <v>562168.47803681903</v>
      </c>
      <c r="C180" s="115">
        <v>754243.01400000008</v>
      </c>
      <c r="D180" s="115">
        <v>891880.90999999992</v>
      </c>
      <c r="E180" s="115">
        <v>1060090.0290000001</v>
      </c>
      <c r="F180" s="115">
        <v>1315894.486</v>
      </c>
      <c r="G180" s="115">
        <v>1131832.0517365194</v>
      </c>
      <c r="H180" s="115">
        <v>1571297.9525024665</v>
      </c>
      <c r="I180" s="115">
        <v>1750296.3935088865</v>
      </c>
      <c r="J180" s="115">
        <v>1936450.7729561334</v>
      </c>
      <c r="K180" s="2"/>
      <c r="L180" s="2"/>
      <c r="M180" s="2"/>
      <c r="R180" s="163" t="str">
        <f t="shared" ref="R180:R199" si="40">A180</f>
        <v xml:space="preserve">Net Income </v>
      </c>
      <c r="S180" s="167">
        <f>B180/1000</f>
        <v>562.16847803681901</v>
      </c>
      <c r="T180" s="167">
        <f t="shared" ref="T180:AA180" si="41">C180/1000</f>
        <v>754.24301400000013</v>
      </c>
      <c r="U180" s="167">
        <f t="shared" si="41"/>
        <v>891.88090999999997</v>
      </c>
      <c r="V180" s="167">
        <f t="shared" si="41"/>
        <v>1060.0900290000002</v>
      </c>
      <c r="W180" s="167">
        <f t="shared" si="41"/>
        <v>1315.8944860000001</v>
      </c>
      <c r="X180" s="167">
        <f t="shared" si="41"/>
        <v>1131.8320517365194</v>
      </c>
      <c r="Y180" s="167">
        <f t="shared" si="41"/>
        <v>1571.2979525024666</v>
      </c>
      <c r="Z180" s="167">
        <f t="shared" si="41"/>
        <v>1750.2963935088865</v>
      </c>
      <c r="AA180" s="167">
        <f t="shared" si="41"/>
        <v>1936.4507729561333</v>
      </c>
    </row>
    <row r="181" spans="1:27">
      <c r="A181" s="114" t="s">
        <v>239</v>
      </c>
      <c r="B181" s="115">
        <v>188191</v>
      </c>
      <c r="C181" s="115">
        <v>283685</v>
      </c>
      <c r="D181" s="115">
        <v>330941</v>
      </c>
      <c r="E181" s="115">
        <v>453275</v>
      </c>
      <c r="F181" s="115">
        <v>645572</v>
      </c>
      <c r="G181" s="115">
        <v>655345.42409256229</v>
      </c>
      <c r="H181" s="115">
        <v>770380.71091070026</v>
      </c>
      <c r="I181" s="115">
        <v>897917.65205157548</v>
      </c>
      <c r="J181" s="115">
        <v>1038574.5768003594</v>
      </c>
      <c r="K181" s="5"/>
      <c r="L181" s="5"/>
      <c r="M181" s="5"/>
      <c r="N181" s="5"/>
      <c r="O181" s="5"/>
      <c r="P181" s="5"/>
      <c r="R181" s="163" t="str">
        <f t="shared" si="40"/>
        <v>Depreciation</v>
      </c>
      <c r="S181" s="167">
        <f t="shared" ref="S181:S199" si="42">B181/1000</f>
        <v>188.191</v>
      </c>
      <c r="T181" s="167">
        <f t="shared" ref="T181:T199" si="43">C181/1000</f>
        <v>283.685</v>
      </c>
      <c r="U181" s="167">
        <f t="shared" ref="U181:U199" si="44">D181/1000</f>
        <v>330.94099999999997</v>
      </c>
      <c r="V181" s="167">
        <f t="shared" ref="V181:V199" si="45">E181/1000</f>
        <v>453.27499999999998</v>
      </c>
      <c r="W181" s="167">
        <f t="shared" ref="W181:W199" si="46">F181/1000</f>
        <v>645.572</v>
      </c>
      <c r="X181" s="167">
        <f t="shared" ref="X181:X199" si="47">G181/1000</f>
        <v>655.34542409256233</v>
      </c>
      <c r="Y181" s="167">
        <f t="shared" ref="Y181:Y199" si="48">H181/1000</f>
        <v>770.38071091070026</v>
      </c>
      <c r="Z181" s="167">
        <f t="shared" ref="Z181:Z199" si="49">I181/1000</f>
        <v>897.91765205157549</v>
      </c>
      <c r="AA181" s="167">
        <f t="shared" ref="AA181:AA199" si="50">J181/1000</f>
        <v>1038.5745768003594</v>
      </c>
    </row>
    <row r="182" spans="1:27">
      <c r="A182" s="114" t="s">
        <v>240</v>
      </c>
      <c r="B182" s="115">
        <v>-1267645</v>
      </c>
      <c r="C182" s="115">
        <v>-1719805</v>
      </c>
      <c r="D182" s="115">
        <v>-2046786</v>
      </c>
      <c r="E182" s="115">
        <v>-2882835</v>
      </c>
      <c r="F182" s="115">
        <v>-3678785</v>
      </c>
      <c r="G182" s="115">
        <v>-872538.63165383902</v>
      </c>
      <c r="H182" s="115">
        <v>-2855996.2188771162</v>
      </c>
      <c r="I182" s="115">
        <v>-3170697.2901799767</v>
      </c>
      <c r="J182" s="115">
        <v>-3500963.4125903188</v>
      </c>
      <c r="R182" s="163" t="str">
        <f t="shared" si="40"/>
        <v xml:space="preserve">Non-Cash Adjustment </v>
      </c>
      <c r="S182" s="167">
        <f t="shared" si="42"/>
        <v>-1267.645</v>
      </c>
      <c r="T182" s="167">
        <f t="shared" si="43"/>
        <v>-1719.8050000000001</v>
      </c>
      <c r="U182" s="167">
        <f t="shared" si="44"/>
        <v>-2046.7860000000001</v>
      </c>
      <c r="V182" s="167">
        <f t="shared" si="45"/>
        <v>-2882.835</v>
      </c>
      <c r="W182" s="167">
        <f t="shared" si="46"/>
        <v>-3678.7849999999999</v>
      </c>
      <c r="X182" s="167">
        <f t="shared" si="47"/>
        <v>-872.53863165383905</v>
      </c>
      <c r="Y182" s="167">
        <f t="shared" si="48"/>
        <v>-2855.996218877116</v>
      </c>
      <c r="Z182" s="167">
        <f t="shared" si="49"/>
        <v>-3170.6972901799768</v>
      </c>
      <c r="AA182" s="167">
        <f t="shared" si="50"/>
        <v>-3500.963412590319</v>
      </c>
    </row>
    <row r="183" spans="1:27">
      <c r="A183" s="114" t="s">
        <v>241</v>
      </c>
      <c r="B183" s="115">
        <v>-276294</v>
      </c>
      <c r="C183" s="115">
        <v>362478</v>
      </c>
      <c r="D183" s="115">
        <v>191008</v>
      </c>
      <c r="E183" s="115">
        <v>-740292</v>
      </c>
      <c r="F183" s="115">
        <v>-1081757</v>
      </c>
      <c r="G183" s="115">
        <v>971254.15902743652</v>
      </c>
      <c r="H183" s="115">
        <v>1287544.085628977</v>
      </c>
      <c r="I183" s="115">
        <v>1441584.9642104066</v>
      </c>
      <c r="J183" s="115">
        <v>1514002.0279713999</v>
      </c>
      <c r="R183" s="163" t="str">
        <f t="shared" si="40"/>
        <v>Change in Non-Cash Capital</v>
      </c>
      <c r="S183" s="167">
        <f t="shared" si="42"/>
        <v>-276.29399999999998</v>
      </c>
      <c r="T183" s="167">
        <f t="shared" si="43"/>
        <v>362.47800000000001</v>
      </c>
      <c r="U183" s="167">
        <f t="shared" si="44"/>
        <v>191.00800000000001</v>
      </c>
      <c r="V183" s="167">
        <f t="shared" si="45"/>
        <v>-740.29200000000003</v>
      </c>
      <c r="W183" s="167">
        <f t="shared" si="46"/>
        <v>-1081.7570000000001</v>
      </c>
      <c r="X183" s="167">
        <f t="shared" si="47"/>
        <v>971.25415902743657</v>
      </c>
      <c r="Y183" s="167">
        <f t="shared" si="48"/>
        <v>1287.544085628977</v>
      </c>
      <c r="Z183" s="167">
        <f t="shared" si="49"/>
        <v>1441.5849642104067</v>
      </c>
      <c r="AA183" s="167">
        <f t="shared" si="50"/>
        <v>1514.0020279713999</v>
      </c>
    </row>
    <row r="184" spans="1:27">
      <c r="A184" s="114" t="s">
        <v>57</v>
      </c>
      <c r="B184" s="115">
        <v>-791501</v>
      </c>
      <c r="C184" s="115">
        <v>-319278</v>
      </c>
      <c r="D184" s="115">
        <v>-632215</v>
      </c>
      <c r="E184" s="115">
        <v>-2116062</v>
      </c>
      <c r="F184" s="115">
        <v>-2792975</v>
      </c>
      <c r="G184" s="115">
        <v>1885893.0032026789</v>
      </c>
      <c r="H184" s="115">
        <v>773226.53016502748</v>
      </c>
      <c r="I184" s="115">
        <v>919101.71959089185</v>
      </c>
      <c r="J184" s="115">
        <v>988063.96513757389</v>
      </c>
      <c r="R184" s="163" t="str">
        <f t="shared" si="40"/>
        <v>Cash from Operating Activities</v>
      </c>
      <c r="S184" s="167">
        <f t="shared" si="42"/>
        <v>-791.50099999999998</v>
      </c>
      <c r="T184" s="167">
        <f t="shared" si="43"/>
        <v>-319.27800000000002</v>
      </c>
      <c r="U184" s="167">
        <f t="shared" si="44"/>
        <v>-632.21500000000003</v>
      </c>
      <c r="V184" s="167">
        <f t="shared" si="45"/>
        <v>-2116.0619999999999</v>
      </c>
      <c r="W184" s="167">
        <f t="shared" si="46"/>
        <v>-2792.9749999999999</v>
      </c>
      <c r="X184" s="167">
        <f t="shared" si="47"/>
        <v>1885.8930032026788</v>
      </c>
      <c r="Y184" s="167">
        <f t="shared" si="48"/>
        <v>773.2265301650275</v>
      </c>
      <c r="Z184" s="167">
        <f t="shared" si="49"/>
        <v>919.10171959089189</v>
      </c>
      <c r="AA184" s="167">
        <f t="shared" si="50"/>
        <v>988.06396513757386</v>
      </c>
    </row>
    <row r="185" spans="1:27">
      <c r="A185" s="114"/>
      <c r="B185" s="115"/>
      <c r="C185" s="115"/>
      <c r="D185" s="115"/>
      <c r="E185" s="115"/>
      <c r="F185" s="115"/>
      <c r="G185" s="115"/>
      <c r="H185" s="115"/>
      <c r="I185" s="115"/>
      <c r="J185" s="115"/>
      <c r="R185" s="163"/>
      <c r="S185" s="167"/>
      <c r="T185" s="167"/>
      <c r="U185" s="167"/>
      <c r="V185" s="167"/>
      <c r="W185" s="167"/>
      <c r="X185" s="167"/>
      <c r="Y185" s="167"/>
      <c r="Z185" s="167"/>
      <c r="AA185" s="167"/>
    </row>
    <row r="186" spans="1:27">
      <c r="A186" s="114" t="s">
        <v>242</v>
      </c>
      <c r="B186" s="115">
        <v>-291397</v>
      </c>
      <c r="C186" s="115">
        <v>-66744</v>
      </c>
      <c r="D186" s="115">
        <v>-91626</v>
      </c>
      <c r="E186" s="115">
        <v>-69815</v>
      </c>
      <c r="F186" s="115">
        <v>-366286</v>
      </c>
      <c r="G186" s="115">
        <v>-177173.6</v>
      </c>
      <c r="H186" s="115">
        <v>-177173.6</v>
      </c>
      <c r="I186" s="115">
        <v>-177173.6</v>
      </c>
      <c r="J186" s="115">
        <v>-177173.6</v>
      </c>
      <c r="R186" s="163" t="str">
        <f t="shared" si="40"/>
        <v xml:space="preserve">Capital Expenditure </v>
      </c>
      <c r="S186" s="167">
        <f t="shared" si="42"/>
        <v>-291.39699999999999</v>
      </c>
      <c r="T186" s="167">
        <f t="shared" si="43"/>
        <v>-66.744</v>
      </c>
      <c r="U186" s="167">
        <f t="shared" si="44"/>
        <v>-91.626000000000005</v>
      </c>
      <c r="V186" s="167">
        <f t="shared" si="45"/>
        <v>-69.814999999999998</v>
      </c>
      <c r="W186" s="167">
        <f t="shared" si="46"/>
        <v>-366.286</v>
      </c>
      <c r="X186" s="167">
        <f t="shared" si="47"/>
        <v>-177.17359999999999</v>
      </c>
      <c r="Y186" s="167">
        <f t="shared" si="48"/>
        <v>-177.17359999999999</v>
      </c>
      <c r="Z186" s="167">
        <f t="shared" si="49"/>
        <v>-177.17359999999999</v>
      </c>
      <c r="AA186" s="167">
        <f t="shared" si="50"/>
        <v>-177.17359999999999</v>
      </c>
    </row>
    <row r="187" spans="1:27">
      <c r="A187" s="114" t="s">
        <v>243</v>
      </c>
      <c r="B187" s="115">
        <v>1699</v>
      </c>
      <c r="C187" s="115">
        <v>1024</v>
      </c>
      <c r="D187" s="115">
        <v>194</v>
      </c>
      <c r="E187" s="115">
        <v>516</v>
      </c>
      <c r="F187" s="115">
        <v>1341</v>
      </c>
      <c r="G187" s="115">
        <v>954.8</v>
      </c>
      <c r="H187" s="115">
        <v>954.8</v>
      </c>
      <c r="I187" s="115">
        <v>954.8</v>
      </c>
      <c r="J187" s="115">
        <v>954.8</v>
      </c>
      <c r="R187" s="163" t="str">
        <f t="shared" si="40"/>
        <v>Disposal of Fixed Assets</v>
      </c>
      <c r="S187" s="167">
        <f t="shared" si="42"/>
        <v>1.6990000000000001</v>
      </c>
      <c r="T187" s="167">
        <f t="shared" si="43"/>
        <v>1.024</v>
      </c>
      <c r="U187" s="167">
        <f t="shared" si="44"/>
        <v>0.19400000000000001</v>
      </c>
      <c r="V187" s="167">
        <f t="shared" si="45"/>
        <v>0.51600000000000001</v>
      </c>
      <c r="W187" s="167">
        <f t="shared" si="46"/>
        <v>1.341</v>
      </c>
      <c r="X187" s="167">
        <f t="shared" si="47"/>
        <v>0.95479999999999998</v>
      </c>
      <c r="Y187" s="167">
        <f t="shared" si="48"/>
        <v>0.95479999999999998</v>
      </c>
      <c r="Z187" s="167">
        <f t="shared" si="49"/>
        <v>0.95479999999999998</v>
      </c>
      <c r="AA187" s="167">
        <f t="shared" si="50"/>
        <v>0.95479999999999998</v>
      </c>
    </row>
    <row r="188" spans="1:27">
      <c r="A188" s="114" t="s">
        <v>244</v>
      </c>
      <c r="B188" s="115">
        <v>-300853</v>
      </c>
      <c r="C188" s="115">
        <v>-640486</v>
      </c>
      <c r="D188" s="115">
        <v>-505025.99999999994</v>
      </c>
      <c r="E188" s="115">
        <v>-137614</v>
      </c>
      <c r="F188" s="115">
        <v>-89187.999999999985</v>
      </c>
      <c r="G188" s="115">
        <v>-334633.40000000002</v>
      </c>
      <c r="H188" s="115">
        <v>-334633.40000000002</v>
      </c>
      <c r="I188" s="115">
        <v>-334633.40000000002</v>
      </c>
      <c r="J188" s="115">
        <v>-334633.40000000002</v>
      </c>
      <c r="R188" s="163" t="str">
        <f t="shared" si="40"/>
        <v>Other Investing Cashflow</v>
      </c>
      <c r="S188" s="167">
        <f t="shared" si="42"/>
        <v>-300.85300000000001</v>
      </c>
      <c r="T188" s="167">
        <f t="shared" si="43"/>
        <v>-640.48599999999999</v>
      </c>
      <c r="U188" s="167">
        <f t="shared" si="44"/>
        <v>-505.02599999999995</v>
      </c>
      <c r="V188" s="167">
        <f t="shared" si="45"/>
        <v>-137.614</v>
      </c>
      <c r="W188" s="167">
        <f t="shared" si="46"/>
        <v>-89.187999999999988</v>
      </c>
      <c r="X188" s="167">
        <f t="shared" si="47"/>
        <v>-334.63340000000005</v>
      </c>
      <c r="Y188" s="167">
        <f t="shared" si="48"/>
        <v>-334.63340000000005</v>
      </c>
      <c r="Z188" s="167">
        <f t="shared" si="49"/>
        <v>-334.63340000000005</v>
      </c>
      <c r="AA188" s="167">
        <f t="shared" si="50"/>
        <v>-334.63340000000005</v>
      </c>
    </row>
    <row r="189" spans="1:27">
      <c r="A189" s="114" t="s">
        <v>245</v>
      </c>
      <c r="B189" s="115">
        <v>-590551</v>
      </c>
      <c r="C189" s="115">
        <v>-706206</v>
      </c>
      <c r="D189" s="115">
        <v>-596458</v>
      </c>
      <c r="E189" s="115">
        <v>-206913</v>
      </c>
      <c r="F189" s="115">
        <v>-454133</v>
      </c>
      <c r="G189" s="115">
        <v>-510852.19999999995</v>
      </c>
      <c r="H189" s="115">
        <v>-510852.19999999995</v>
      </c>
      <c r="I189" s="115">
        <v>-510852.19999999995</v>
      </c>
      <c r="J189" s="115">
        <v>-510852.19999999995</v>
      </c>
      <c r="R189" s="163" t="str">
        <f t="shared" si="40"/>
        <v xml:space="preserve">Cash from Investing Activities </v>
      </c>
      <c r="S189" s="167">
        <f t="shared" si="42"/>
        <v>-590.55100000000004</v>
      </c>
      <c r="T189" s="167">
        <f t="shared" si="43"/>
        <v>-706.20600000000002</v>
      </c>
      <c r="U189" s="167">
        <f t="shared" si="44"/>
        <v>-596.45799999999997</v>
      </c>
      <c r="V189" s="167">
        <f t="shared" si="45"/>
        <v>-206.91300000000001</v>
      </c>
      <c r="W189" s="167">
        <f t="shared" si="46"/>
        <v>-454.13299999999998</v>
      </c>
      <c r="X189" s="167">
        <f t="shared" si="47"/>
        <v>-510.85219999999993</v>
      </c>
      <c r="Y189" s="167">
        <f t="shared" si="48"/>
        <v>-510.85219999999993</v>
      </c>
      <c r="Z189" s="167">
        <f t="shared" si="49"/>
        <v>-510.85219999999993</v>
      </c>
      <c r="AA189" s="167">
        <f t="shared" si="50"/>
        <v>-510.85219999999993</v>
      </c>
    </row>
    <row r="190" spans="1:27">
      <c r="A190" s="114"/>
      <c r="B190" s="115"/>
      <c r="C190" s="115"/>
      <c r="D190" s="115"/>
      <c r="E190" s="115"/>
      <c r="F190" s="115"/>
      <c r="G190" s="115"/>
      <c r="H190" s="115"/>
      <c r="I190" s="115"/>
      <c r="J190" s="115"/>
      <c r="R190" s="163"/>
      <c r="S190" s="167"/>
      <c r="T190" s="167"/>
      <c r="U190" s="167"/>
      <c r="V190" s="167"/>
      <c r="W190" s="167"/>
      <c r="X190" s="167"/>
      <c r="Y190" s="167"/>
      <c r="Z190" s="167"/>
      <c r="AA190" s="167"/>
    </row>
    <row r="191" spans="1:27">
      <c r="A191" s="114" t="s">
        <v>246</v>
      </c>
      <c r="B191" s="115">
        <v>-71204</v>
      </c>
      <c r="C191" s="115">
        <v>-95758</v>
      </c>
      <c r="D191" s="115">
        <v>-144382</v>
      </c>
      <c r="E191" s="115">
        <v>-190285</v>
      </c>
      <c r="F191" s="115">
        <v>-241515</v>
      </c>
      <c r="G191" s="115">
        <v>-282958.01293412986</v>
      </c>
      <c r="H191" s="115">
        <v>-392824.48812561663</v>
      </c>
      <c r="I191" s="115">
        <v>-525088.91805266589</v>
      </c>
      <c r="J191" s="115">
        <v>-580935.23188683996</v>
      </c>
      <c r="R191" s="163" t="str">
        <f t="shared" si="40"/>
        <v xml:space="preserve">Dividend Paid </v>
      </c>
      <c r="S191" s="167">
        <f t="shared" si="42"/>
        <v>-71.203999999999994</v>
      </c>
      <c r="T191" s="167">
        <f t="shared" si="43"/>
        <v>-95.757999999999996</v>
      </c>
      <c r="U191" s="167">
        <f t="shared" si="44"/>
        <v>-144.38200000000001</v>
      </c>
      <c r="V191" s="167">
        <f t="shared" si="45"/>
        <v>-190.285</v>
      </c>
      <c r="W191" s="167">
        <f t="shared" si="46"/>
        <v>-241.51499999999999</v>
      </c>
      <c r="X191" s="167">
        <f t="shared" si="47"/>
        <v>-282.95801293412984</v>
      </c>
      <c r="Y191" s="167">
        <f t="shared" si="48"/>
        <v>-392.82448812561665</v>
      </c>
      <c r="Z191" s="167">
        <f t="shared" si="49"/>
        <v>-525.08891805266592</v>
      </c>
      <c r="AA191" s="167">
        <f t="shared" si="50"/>
        <v>-580.93523188683992</v>
      </c>
    </row>
    <row r="192" spans="1:27">
      <c r="A192" s="114" t="s">
        <v>247</v>
      </c>
      <c r="B192" s="115">
        <v>1108966.9999999998</v>
      </c>
      <c r="C192" s="115">
        <v>1130917</v>
      </c>
      <c r="D192" s="115">
        <v>1206409</v>
      </c>
      <c r="E192" s="115">
        <v>3144235</v>
      </c>
      <c r="F192" s="115">
        <v>3263968</v>
      </c>
      <c r="G192" s="115">
        <v>405434.32319109933</v>
      </c>
      <c r="H192" s="115">
        <v>2378561.660896108</v>
      </c>
      <c r="I192" s="115">
        <v>2621992.1954627316</v>
      </c>
      <c r="J192" s="115">
        <v>2877462.7548566167</v>
      </c>
      <c r="R192" s="163" t="str">
        <f t="shared" si="40"/>
        <v>Net Increase of Long-Term Borrowing</v>
      </c>
      <c r="S192" s="167">
        <f t="shared" si="42"/>
        <v>1108.9669999999999</v>
      </c>
      <c r="T192" s="167">
        <f t="shared" si="43"/>
        <v>1130.9169999999999</v>
      </c>
      <c r="U192" s="167">
        <f t="shared" si="44"/>
        <v>1206.4090000000001</v>
      </c>
      <c r="V192" s="167">
        <f t="shared" si="45"/>
        <v>3144.2350000000001</v>
      </c>
      <c r="W192" s="167">
        <f t="shared" si="46"/>
        <v>3263.9679999999998</v>
      </c>
      <c r="X192" s="167">
        <f t="shared" si="47"/>
        <v>405.43432319109934</v>
      </c>
      <c r="Y192" s="167">
        <f t="shared" si="48"/>
        <v>2378.5616608961082</v>
      </c>
      <c r="Z192" s="167">
        <f t="shared" si="49"/>
        <v>2621.9921954627316</v>
      </c>
      <c r="AA192" s="167">
        <f t="shared" si="50"/>
        <v>2877.4627548566168</v>
      </c>
    </row>
    <row r="193" spans="1:27">
      <c r="A193" s="114" t="s">
        <v>248</v>
      </c>
      <c r="B193" s="115">
        <v>1018013</v>
      </c>
      <c r="C193" s="115">
        <v>-1610</v>
      </c>
      <c r="D193" s="115">
        <v>-92816</v>
      </c>
      <c r="E193" s="115">
        <v>0</v>
      </c>
      <c r="F193" s="115">
        <v>0</v>
      </c>
      <c r="G193" s="115">
        <v>0</v>
      </c>
      <c r="H193" s="115">
        <v>0</v>
      </c>
      <c r="I193" s="115">
        <v>0</v>
      </c>
      <c r="J193" s="115">
        <v>0</v>
      </c>
      <c r="R193" s="163" t="str">
        <f t="shared" si="40"/>
        <v>Net Increase in Capital Stocks</v>
      </c>
      <c r="S193" s="167">
        <f t="shared" si="42"/>
        <v>1018.013</v>
      </c>
      <c r="T193" s="167">
        <f t="shared" si="43"/>
        <v>-1.61</v>
      </c>
      <c r="U193" s="167">
        <f t="shared" si="44"/>
        <v>-92.816000000000003</v>
      </c>
      <c r="V193" s="167">
        <f t="shared" si="45"/>
        <v>0</v>
      </c>
      <c r="W193" s="167">
        <f t="shared" si="46"/>
        <v>0</v>
      </c>
      <c r="X193" s="167">
        <f t="shared" si="47"/>
        <v>0</v>
      </c>
      <c r="Y193" s="167">
        <f t="shared" si="48"/>
        <v>0</v>
      </c>
      <c r="Z193" s="167">
        <f t="shared" si="49"/>
        <v>0</v>
      </c>
      <c r="AA193" s="167">
        <f t="shared" si="50"/>
        <v>0</v>
      </c>
    </row>
    <row r="194" spans="1:27">
      <c r="A194" s="114" t="s">
        <v>249</v>
      </c>
      <c r="B194" s="115">
        <v>55126</v>
      </c>
      <c r="C194" s="115">
        <v>-38437</v>
      </c>
      <c r="D194" s="115">
        <v>-37642</v>
      </c>
      <c r="E194" s="115">
        <v>118296</v>
      </c>
      <c r="F194" s="115">
        <v>159065</v>
      </c>
      <c r="G194" s="115">
        <v>51281.600000000006</v>
      </c>
      <c r="H194" s="115">
        <v>51281.600000000006</v>
      </c>
      <c r="I194" s="115">
        <v>51281.600000000006</v>
      </c>
      <c r="J194" s="115">
        <v>51281.600000000006</v>
      </c>
      <c r="R194" s="163" t="str">
        <f t="shared" si="40"/>
        <v>Other Financing Activities</v>
      </c>
      <c r="S194" s="167">
        <f t="shared" si="42"/>
        <v>55.125999999999998</v>
      </c>
      <c r="T194" s="167">
        <f t="shared" si="43"/>
        <v>-38.436999999999998</v>
      </c>
      <c r="U194" s="167">
        <f t="shared" si="44"/>
        <v>-37.642000000000003</v>
      </c>
      <c r="V194" s="167">
        <f t="shared" si="45"/>
        <v>118.29600000000001</v>
      </c>
      <c r="W194" s="167">
        <f t="shared" si="46"/>
        <v>159.065</v>
      </c>
      <c r="X194" s="167">
        <f t="shared" si="47"/>
        <v>51.281600000000005</v>
      </c>
      <c r="Y194" s="167">
        <f t="shared" si="48"/>
        <v>51.281600000000005</v>
      </c>
      <c r="Z194" s="167">
        <f t="shared" si="49"/>
        <v>51.281600000000005</v>
      </c>
      <c r="AA194" s="167">
        <f t="shared" si="50"/>
        <v>51.281600000000005</v>
      </c>
    </row>
    <row r="195" spans="1:27">
      <c r="A195" s="114" t="s">
        <v>250</v>
      </c>
      <c r="B195" s="115">
        <v>2110902</v>
      </c>
      <c r="C195" s="115">
        <v>995112</v>
      </c>
      <c r="D195" s="115">
        <v>931569</v>
      </c>
      <c r="E195" s="115">
        <v>3072246</v>
      </c>
      <c r="F195" s="115">
        <v>3181518</v>
      </c>
      <c r="G195" s="115">
        <v>173757.91025696951</v>
      </c>
      <c r="H195" s="115">
        <v>2037018.7727704914</v>
      </c>
      <c r="I195" s="115">
        <v>2148184.8774100654</v>
      </c>
      <c r="J195" s="115">
        <v>2347809.1229697764</v>
      </c>
      <c r="R195" s="163" t="str">
        <f t="shared" si="40"/>
        <v xml:space="preserve">Cash From Financing Activities </v>
      </c>
      <c r="S195" s="167">
        <f t="shared" si="42"/>
        <v>2110.902</v>
      </c>
      <c r="T195" s="167">
        <f t="shared" si="43"/>
        <v>995.11199999999997</v>
      </c>
      <c r="U195" s="167">
        <f t="shared" si="44"/>
        <v>931.56899999999996</v>
      </c>
      <c r="V195" s="167">
        <f t="shared" si="45"/>
        <v>3072.2460000000001</v>
      </c>
      <c r="W195" s="167">
        <f t="shared" si="46"/>
        <v>3181.518</v>
      </c>
      <c r="X195" s="167">
        <f t="shared" si="47"/>
        <v>173.75791025696952</v>
      </c>
      <c r="Y195" s="167">
        <f t="shared" si="48"/>
        <v>2037.0187727704915</v>
      </c>
      <c r="Z195" s="167">
        <f t="shared" si="49"/>
        <v>2148.1848774100654</v>
      </c>
      <c r="AA195" s="167">
        <f t="shared" si="50"/>
        <v>2347.8091229697766</v>
      </c>
    </row>
    <row r="196" spans="1:27">
      <c r="A196" s="114"/>
      <c r="B196" s="115"/>
      <c r="C196" s="115"/>
      <c r="D196" s="115"/>
      <c r="E196" s="115"/>
      <c r="F196" s="115"/>
      <c r="G196" s="115"/>
      <c r="H196" s="115"/>
      <c r="I196" s="115"/>
      <c r="J196" s="115"/>
      <c r="R196" s="163"/>
      <c r="S196" s="167"/>
      <c r="T196" s="167"/>
      <c r="U196" s="167"/>
      <c r="V196" s="167"/>
      <c r="W196" s="167"/>
      <c r="X196" s="167"/>
      <c r="Y196" s="167"/>
      <c r="Z196" s="167"/>
      <c r="AA196" s="167"/>
    </row>
    <row r="197" spans="1:27">
      <c r="A197" s="114" t="s">
        <v>251</v>
      </c>
      <c r="B197" s="115">
        <v>1347803</v>
      </c>
      <c r="C197" s="115">
        <v>1317431</v>
      </c>
      <c r="D197" s="115">
        <v>1020327</v>
      </c>
      <c r="E197" s="115">
        <v>1769598</v>
      </c>
      <c r="F197" s="115">
        <v>1704008</v>
      </c>
      <c r="G197" s="115">
        <v>1548798.7134596484</v>
      </c>
      <c r="H197" s="115">
        <v>2299393.1029355191</v>
      </c>
      <c r="I197" s="115">
        <v>2556434.3970009573</v>
      </c>
      <c r="J197" s="115">
        <v>2825020.8881073506</v>
      </c>
      <c r="R197" s="163" t="str">
        <f t="shared" si="40"/>
        <v xml:space="preserve">Net Cash &amp; Cash Equivalent </v>
      </c>
      <c r="S197" s="167">
        <f t="shared" si="42"/>
        <v>1347.8030000000001</v>
      </c>
      <c r="T197" s="167">
        <f t="shared" si="43"/>
        <v>1317.431</v>
      </c>
      <c r="U197" s="167">
        <f t="shared" si="44"/>
        <v>1020.327</v>
      </c>
      <c r="V197" s="167">
        <f t="shared" si="45"/>
        <v>1769.598</v>
      </c>
      <c r="W197" s="167">
        <f t="shared" si="46"/>
        <v>1704.008</v>
      </c>
      <c r="X197" s="167">
        <f t="shared" si="47"/>
        <v>1548.7987134596485</v>
      </c>
      <c r="Y197" s="167">
        <f t="shared" si="48"/>
        <v>2299.393102935519</v>
      </c>
      <c r="Z197" s="167">
        <f t="shared" si="49"/>
        <v>2556.4343970009572</v>
      </c>
      <c r="AA197" s="167">
        <f t="shared" si="50"/>
        <v>2825.0208881073504</v>
      </c>
    </row>
    <row r="198" spans="1:27">
      <c r="A198" s="114"/>
      <c r="B198" s="115"/>
      <c r="C198" s="115"/>
      <c r="D198" s="115"/>
      <c r="E198" s="115"/>
      <c r="F198" s="115"/>
      <c r="G198" s="115"/>
      <c r="H198" s="115"/>
      <c r="I198" s="115"/>
      <c r="J198" s="115"/>
      <c r="R198" s="163"/>
      <c r="S198" s="167"/>
      <c r="T198" s="167"/>
      <c r="U198" s="167"/>
      <c r="V198" s="167"/>
      <c r="W198" s="167"/>
      <c r="X198" s="167"/>
      <c r="Y198" s="167"/>
      <c r="Z198" s="167"/>
      <c r="AA198" s="167"/>
    </row>
    <row r="199" spans="1:27">
      <c r="A199" s="114" t="s">
        <v>252</v>
      </c>
      <c r="B199" s="115">
        <v>-1082898</v>
      </c>
      <c r="C199" s="115">
        <v>-386022.00000000006</v>
      </c>
      <c r="D199" s="115">
        <v>-723841</v>
      </c>
      <c r="E199" s="115">
        <v>-2185877</v>
      </c>
      <c r="F199" s="115">
        <v>-3159261</v>
      </c>
      <c r="G199" s="115">
        <v>1708719.403202679</v>
      </c>
      <c r="H199" s="115">
        <v>596052.9301650275</v>
      </c>
      <c r="I199" s="115">
        <v>741928.11959089187</v>
      </c>
      <c r="J199" s="115">
        <v>810890.36513757391</v>
      </c>
      <c r="R199" s="163" t="str">
        <f t="shared" si="40"/>
        <v>Free Cash Flow (CFO - CAPEX)</v>
      </c>
      <c r="S199" s="167">
        <f t="shared" si="42"/>
        <v>-1082.8979999999999</v>
      </c>
      <c r="T199" s="167">
        <f t="shared" si="43"/>
        <v>-386.02200000000005</v>
      </c>
      <c r="U199" s="167">
        <f t="shared" si="44"/>
        <v>-723.84100000000001</v>
      </c>
      <c r="V199" s="167">
        <f t="shared" si="45"/>
        <v>-2185.877</v>
      </c>
      <c r="W199" s="167">
        <f t="shared" si="46"/>
        <v>-3159.261</v>
      </c>
      <c r="X199" s="167">
        <f t="shared" si="47"/>
        <v>1708.7194032026789</v>
      </c>
      <c r="Y199" s="167">
        <f t="shared" si="48"/>
        <v>596.05293016502753</v>
      </c>
      <c r="Z199" s="167">
        <f t="shared" si="49"/>
        <v>741.92811959089192</v>
      </c>
      <c r="AA199" s="167">
        <f t="shared" si="50"/>
        <v>810.89036513757389</v>
      </c>
    </row>
    <row r="200" spans="1:27">
      <c r="B200" s="111"/>
      <c r="C200" s="111"/>
      <c r="D200" s="111"/>
      <c r="E200" s="111"/>
      <c r="F200" s="111"/>
      <c r="G200" s="111"/>
      <c r="H200" s="111"/>
      <c r="I200" s="111"/>
      <c r="J200" s="111"/>
    </row>
    <row r="201" spans="1:27">
      <c r="A201" s="132" t="s">
        <v>253</v>
      </c>
      <c r="B201" s="132">
        <f t="shared" ref="B201:J201" si="51">IF(H46&lt;&gt;0, H46, "")</f>
        <v>4.6100000000000003</v>
      </c>
      <c r="C201" s="132">
        <f t="shared" si="51"/>
        <v>4.12</v>
      </c>
      <c r="D201" s="132">
        <f t="shared" si="51"/>
        <v>3.6</v>
      </c>
      <c r="E201" s="132">
        <f t="shared" si="51"/>
        <v>3.34</v>
      </c>
      <c r="F201" s="132">
        <f t="shared" si="51"/>
        <v>4.12</v>
      </c>
      <c r="G201" s="132" t="str">
        <f t="shared" si="51"/>
        <v/>
      </c>
      <c r="H201" s="132" t="str">
        <f t="shared" si="51"/>
        <v/>
      </c>
      <c r="I201" s="132" t="str">
        <f t="shared" si="51"/>
        <v/>
      </c>
      <c r="J201" s="132" t="str">
        <f t="shared" si="51"/>
        <v/>
      </c>
      <c r="K201" s="2"/>
    </row>
    <row r="202" spans="1:27">
      <c r="K202" s="2"/>
      <c r="L202" s="2"/>
      <c r="M202" s="2"/>
      <c r="N202" s="2"/>
      <c r="O202" s="2"/>
      <c r="P202" s="2"/>
    </row>
    <row r="203" spans="1:27">
      <c r="K203" s="2"/>
      <c r="L203" s="2"/>
      <c r="M203" s="2"/>
      <c r="N203" s="2"/>
      <c r="O203" s="2"/>
      <c r="P203" s="2"/>
    </row>
    <row r="204" spans="1:27">
      <c r="A204" s="119" t="s">
        <v>254</v>
      </c>
      <c r="B204" s="120">
        <v>2017</v>
      </c>
      <c r="C204" s="120">
        <v>2018</v>
      </c>
      <c r="D204" s="120">
        <v>2019</v>
      </c>
      <c r="E204" s="120">
        <v>2020</v>
      </c>
      <c r="F204" s="120">
        <v>2021</v>
      </c>
      <c r="G204" s="120" t="s">
        <v>126</v>
      </c>
      <c r="H204" s="120" t="s">
        <v>127</v>
      </c>
      <c r="I204" s="120" t="s">
        <v>128</v>
      </c>
      <c r="J204" s="120" t="s">
        <v>117</v>
      </c>
      <c r="K204" s="111"/>
      <c r="L204" s="11"/>
      <c r="M204" s="2"/>
      <c r="N204" s="2"/>
      <c r="O204" s="2"/>
      <c r="P204" s="2"/>
    </row>
    <row r="205" spans="1:27">
      <c r="A205" s="170" t="s">
        <v>255</v>
      </c>
      <c r="B205" s="171"/>
      <c r="C205" s="171"/>
      <c r="D205" s="171"/>
      <c r="E205" s="171"/>
      <c r="F205" s="171"/>
      <c r="G205" s="171"/>
      <c r="H205" s="171"/>
      <c r="I205" s="171"/>
      <c r="J205" s="171"/>
      <c r="K205" s="111"/>
      <c r="L205" s="11"/>
      <c r="M205" s="2"/>
      <c r="N205" s="2"/>
      <c r="O205" s="2"/>
      <c r="P205" s="2"/>
    </row>
    <row r="206" spans="1:27">
      <c r="A206" s="148" t="s">
        <v>256</v>
      </c>
      <c r="B206" s="32">
        <f t="shared" ref="B206:J206" si="52">B71/(B132+B136)</f>
        <v>8.0858514751747435E-2</v>
      </c>
      <c r="C206" s="32">
        <f t="shared" si="52"/>
        <v>9.3668106304928667E-2</v>
      </c>
      <c r="D206" s="32">
        <f t="shared" si="52"/>
        <v>9.1014358531635697E-2</v>
      </c>
      <c r="E206" s="32">
        <f t="shared" si="52"/>
        <v>8.4150255692997028E-2</v>
      </c>
      <c r="F206" s="32">
        <f t="shared" si="52"/>
        <v>8.0004629195075061E-2</v>
      </c>
      <c r="G206" s="168">
        <f t="shared" si="52"/>
        <v>6.7380268354565426E-2</v>
      </c>
      <c r="H206" s="168">
        <f t="shared" si="52"/>
        <v>7.5291763736186804E-2</v>
      </c>
      <c r="I206" s="168">
        <f t="shared" si="52"/>
        <v>7.2906989723948337E-2</v>
      </c>
      <c r="J206" s="168">
        <f t="shared" si="52"/>
        <v>7.0689964145098969E-2</v>
      </c>
      <c r="K206" s="11"/>
      <c r="L206" s="2"/>
      <c r="M206" s="2"/>
      <c r="N206" s="2"/>
      <c r="O206" s="2"/>
      <c r="P206" s="2"/>
    </row>
    <row r="207" spans="1:27">
      <c r="A207" s="148" t="s">
        <v>257</v>
      </c>
      <c r="B207" s="32">
        <f>B66/B150</f>
        <v>0.11495568539817734</v>
      </c>
      <c r="C207" s="32">
        <f t="shared" ref="C207:J207" si="53">C66/C150</f>
        <v>0.14245630257640066</v>
      </c>
      <c r="D207" s="32">
        <f t="shared" si="53"/>
        <v>0.14808638540775765</v>
      </c>
      <c r="E207" s="32">
        <f t="shared" si="53"/>
        <v>0.14288042544020618</v>
      </c>
      <c r="F207" s="32">
        <f t="shared" si="53"/>
        <v>0.14808734094948928</v>
      </c>
      <c r="G207" s="32">
        <f t="shared" si="53"/>
        <v>0.10864017661791867</v>
      </c>
      <c r="H207" s="32">
        <f t="shared" si="53"/>
        <v>0.1268211303152674</v>
      </c>
      <c r="I207" s="32">
        <f t="shared" si="53"/>
        <v>0.12037324694913623</v>
      </c>
      <c r="J207" s="32">
        <f t="shared" si="53"/>
        <v>0.11473610163976496</v>
      </c>
      <c r="K207" s="11"/>
      <c r="L207" s="2"/>
      <c r="M207" s="2"/>
      <c r="N207" s="2"/>
      <c r="O207" s="2"/>
      <c r="P207" s="2"/>
    </row>
    <row r="208" spans="1:27">
      <c r="A208" s="148" t="s">
        <v>258</v>
      </c>
      <c r="B208" s="32">
        <f>B92</f>
        <v>0.34125727425422236</v>
      </c>
      <c r="C208" s="32">
        <f t="shared" ref="C208:J208" si="54">C92</f>
        <v>0.33000621473784986</v>
      </c>
      <c r="D208" s="32">
        <f t="shared" si="54"/>
        <v>0.3203013600471229</v>
      </c>
      <c r="E208" s="32">
        <f t="shared" si="54"/>
        <v>0.30972361528064085</v>
      </c>
      <c r="F208" s="32">
        <f t="shared" si="54"/>
        <v>0.31045017205648451</v>
      </c>
      <c r="G208" s="32">
        <f t="shared" si="54"/>
        <v>0.42104129634485804</v>
      </c>
      <c r="H208" s="32">
        <f t="shared" si="54"/>
        <v>0.35366409351464423</v>
      </c>
      <c r="I208" s="32">
        <f t="shared" si="54"/>
        <v>0.3560754798511957</v>
      </c>
      <c r="J208" s="32">
        <f t="shared" si="54"/>
        <v>0.35813161703894419</v>
      </c>
      <c r="K208" s="2"/>
      <c r="L208" s="2"/>
      <c r="M208" s="2"/>
      <c r="N208" s="2"/>
      <c r="O208" s="2"/>
      <c r="P208" s="2"/>
    </row>
    <row r="209" spans="1:16">
      <c r="A209" s="148" t="s">
        <v>259</v>
      </c>
      <c r="B209" s="32">
        <f>B66/B50</f>
        <v>0.23447808517880228</v>
      </c>
      <c r="C209" s="32">
        <f>C66/C50</f>
        <v>0.22678516653416741</v>
      </c>
      <c r="D209" s="32">
        <f>D66/D50</f>
        <v>0.22566603394146473</v>
      </c>
      <c r="E209" s="32">
        <f>E66/E50</f>
        <v>0.21253207839121269</v>
      </c>
      <c r="F209" s="32">
        <f>F66/F50</f>
        <v>0.1936685165259146</v>
      </c>
      <c r="G209" s="32">
        <f>G66/G50</f>
        <v>0.23945324787381891</v>
      </c>
      <c r="H209" s="32">
        <f>H66/H50</f>
        <v>0.21573144036948649</v>
      </c>
      <c r="I209" s="32">
        <f>I66/I50</f>
        <v>0.21199648075267796</v>
      </c>
      <c r="J209" s="32">
        <f>J66/J50</f>
        <v>0.20829032633826181</v>
      </c>
      <c r="K209" s="2"/>
      <c r="L209" s="2"/>
      <c r="M209" s="2"/>
      <c r="N209" s="2"/>
      <c r="O209" s="2"/>
      <c r="P209" s="2"/>
    </row>
    <row r="210" spans="1:16">
      <c r="A210" s="148"/>
      <c r="B210" s="32"/>
      <c r="C210" s="32"/>
      <c r="D210" s="32"/>
      <c r="E210" s="32"/>
      <c r="F210" s="32"/>
      <c r="G210" s="32"/>
      <c r="H210" s="32"/>
      <c r="I210" s="32"/>
      <c r="J210" s="32"/>
      <c r="K210" s="2"/>
      <c r="L210" s="2"/>
      <c r="M210" s="2"/>
      <c r="N210" s="2"/>
      <c r="O210" s="2"/>
      <c r="P210" s="2"/>
    </row>
    <row r="211" spans="1:16">
      <c r="A211" s="173" t="s">
        <v>260</v>
      </c>
      <c r="B211" s="32"/>
      <c r="C211" s="32"/>
      <c r="D211" s="32"/>
      <c r="E211" s="32"/>
      <c r="F211" s="32"/>
      <c r="G211" s="32"/>
      <c r="H211" s="32"/>
      <c r="I211" s="32"/>
      <c r="J211" s="32"/>
      <c r="K211" s="2"/>
      <c r="L211" s="2"/>
      <c r="M211" s="2"/>
      <c r="N211" s="2"/>
      <c r="O211" s="2"/>
      <c r="P211" s="2"/>
    </row>
    <row r="212" spans="1:16">
      <c r="A212" s="148" t="s">
        <v>221</v>
      </c>
      <c r="B212" s="32">
        <f>B153</f>
        <v>0.89332467129868764</v>
      </c>
      <c r="C212" s="32">
        <f t="shared" ref="C212:J212" si="55">C153</f>
        <v>1.0621653520776149</v>
      </c>
      <c r="D212" s="32">
        <f t="shared" si="55"/>
        <v>1.2359990283438991</v>
      </c>
      <c r="E212" s="32">
        <f t="shared" si="55"/>
        <v>1.5637896811624519</v>
      </c>
      <c r="F212" s="32">
        <f t="shared" si="55"/>
        <v>1.7503768596101592</v>
      </c>
      <c r="G212" s="32">
        <f t="shared" si="55"/>
        <v>1.4748757238538557</v>
      </c>
      <c r="H212" s="32">
        <f t="shared" si="55"/>
        <v>1.49041849624559</v>
      </c>
      <c r="I212" s="32">
        <f t="shared" si="55"/>
        <v>1.468125475325768</v>
      </c>
      <c r="J212" s="32">
        <f t="shared" si="55"/>
        <v>1.4533216799123334</v>
      </c>
      <c r="K212" s="2"/>
      <c r="L212" s="2"/>
      <c r="M212" s="2"/>
      <c r="N212" s="2"/>
      <c r="O212" s="2"/>
      <c r="P212" s="2"/>
    </row>
    <row r="213" spans="1:16">
      <c r="A213" s="148" t="s">
        <v>261</v>
      </c>
      <c r="B213" s="37">
        <f>B132/B141</f>
        <v>1.9036480309593102</v>
      </c>
      <c r="C213" s="37">
        <f>C132/C141</f>
        <v>1.5098069543074384</v>
      </c>
      <c r="D213" s="37">
        <f>D132/D141</f>
        <v>1.0544229039268698</v>
      </c>
      <c r="E213" s="37">
        <f>E132/E141</f>
        <v>1.4605685331210796</v>
      </c>
      <c r="F213" s="37">
        <f>F132/F141</f>
        <v>1.261526550822293</v>
      </c>
      <c r="G213" s="37">
        <f>G132/G141</f>
        <v>1.581193065387827</v>
      </c>
      <c r="H213" s="37">
        <f>H132/H141</f>
        <v>1.620473114254134</v>
      </c>
      <c r="I213" s="37">
        <f>I132/I141</f>
        <v>1.7356637217572917</v>
      </c>
      <c r="J213" s="37">
        <f>J132/J141</f>
        <v>1.8313090987269025</v>
      </c>
      <c r="K213" s="2"/>
      <c r="L213" s="2"/>
      <c r="M213" s="2"/>
      <c r="N213" s="2"/>
      <c r="O213" s="2"/>
      <c r="P213" s="2"/>
    </row>
    <row r="214" spans="1:16">
      <c r="A214" s="148" t="s">
        <v>262</v>
      </c>
      <c r="B214" s="37">
        <f>(B132-B130)/B141</f>
        <v>1.9014137544149654</v>
      </c>
      <c r="C214" s="37">
        <f>(C132-C130)/C141</f>
        <v>1.5055292542380987</v>
      </c>
      <c r="D214" s="37">
        <f>(D132-D130)/D141</f>
        <v>1.0512026108748502</v>
      </c>
      <c r="E214" s="37">
        <f>(E132-E130)/E141</f>
        <v>1.4539126265404763</v>
      </c>
      <c r="F214" s="37">
        <f>(F132-F130)/F141</f>
        <v>1.254507525146451</v>
      </c>
      <c r="G214" s="37">
        <f>(G132-G130)/G141</f>
        <v>1.5720872286454122</v>
      </c>
      <c r="H214" s="37">
        <f>(H132-H130)/H141</f>
        <v>1.6118345475180531</v>
      </c>
      <c r="I214" s="37">
        <f>(I132-I130)/I141</f>
        <v>1.7260893536330493</v>
      </c>
      <c r="J214" s="37">
        <f>(J132-J130)/J141</f>
        <v>1.8208951686459993</v>
      </c>
      <c r="K214" s="2"/>
      <c r="L214" s="2"/>
      <c r="M214" s="2"/>
      <c r="N214" s="2"/>
      <c r="O214" s="2"/>
      <c r="P214" s="2"/>
    </row>
    <row r="215" spans="1:16">
      <c r="A215" s="148"/>
      <c r="B215" s="32"/>
      <c r="C215" s="32"/>
      <c r="D215" s="32"/>
      <c r="E215" s="32"/>
      <c r="F215" s="32"/>
      <c r="G215" s="32"/>
      <c r="H215" s="32"/>
      <c r="I215" s="32"/>
      <c r="J215" s="32"/>
      <c r="K215" s="2"/>
      <c r="L215" s="2"/>
      <c r="M215" s="2"/>
      <c r="N215" s="2"/>
      <c r="O215" s="2"/>
      <c r="P215" s="2"/>
    </row>
    <row r="216" spans="1:16">
      <c r="A216" s="150"/>
      <c r="B216" s="151"/>
      <c r="C216" s="151"/>
      <c r="D216" s="151"/>
      <c r="E216" s="151"/>
      <c r="F216" s="151"/>
      <c r="G216" s="151"/>
      <c r="H216" s="151"/>
      <c r="I216" s="151"/>
      <c r="J216" s="151"/>
      <c r="K216" s="2"/>
      <c r="L216" s="2"/>
      <c r="M216" s="2"/>
      <c r="N216" s="2"/>
      <c r="O216" s="2"/>
      <c r="P216" s="2"/>
    </row>
    <row r="217" spans="1:16">
      <c r="A217" s="172" t="s">
        <v>263</v>
      </c>
      <c r="B217" s="151"/>
      <c r="C217" s="151"/>
      <c r="D217" s="151"/>
      <c r="E217" s="151"/>
      <c r="F217" s="151"/>
      <c r="G217" s="151"/>
      <c r="H217" s="151"/>
      <c r="I217" s="151"/>
      <c r="J217" s="151"/>
      <c r="K217" s="2"/>
      <c r="L217" s="2"/>
      <c r="M217" s="2"/>
      <c r="N217" s="2"/>
      <c r="O217" s="2"/>
      <c r="P217" s="2"/>
    </row>
    <row r="218" spans="1:16" hidden="1">
      <c r="A218" s="148" t="s">
        <v>264</v>
      </c>
      <c r="B218" s="37">
        <f>'Company Historical'!Z8/('Transpose + Statements'!B132+'Transpose + Statements'!B136)</f>
        <v>0.25894236022990547</v>
      </c>
      <c r="C218" s="37">
        <f>'Company Historical'!Z9/(('Transpose + Statements'!C132+'Transpose + Statements'!C136+'Transpose + Statements'!B132+'Transpose + Statements'!B136)/2)</f>
        <v>0.32965979552454011</v>
      </c>
      <c r="D218" s="37">
        <f>'Company Historical'!Z10/(('Transpose + Statements'!D132+'Transpose + Statements'!D136+'Transpose + Statements'!C132+'Transpose + Statements'!C136)/2)</f>
        <v>0.31699208436130394</v>
      </c>
      <c r="E218" s="37">
        <f>'Company Historical'!Z11/(('Transpose + Statements'!E132+'Transpose + Statements'!E136+'Transpose + Statements'!D132+'Transpose + Statements'!D136)/2)</f>
        <v>0.30104077731630313</v>
      </c>
      <c r="F218" s="37">
        <f>'Company Historical'!Z12/(('Transpose + Statements'!F132+'Transpose + Statements'!F136+'Transpose + Statements'!E132+'Transpose + Statements'!E136)/2)</f>
        <v>0.30663535466615804</v>
      </c>
      <c r="G218" s="37">
        <f>'Company Historical'!AA12/(('Transpose + Statements'!G132+'Transpose + Statements'!G136+'Transpose + Statements'!F132+'Transpose + Statements'!F136)/2)</f>
        <v>0.18653840883220091</v>
      </c>
      <c r="H218" s="37">
        <f>'Company Historical'!AB12/(('Transpose + Statements'!H132+'Transpose + Statements'!H136+'Transpose + Statements'!G132+'Transpose + Statements'!G136)/2)</f>
        <v>0.10778356617370191</v>
      </c>
      <c r="I218" s="37">
        <f>'Company Historical'!AC12/(('Transpose + Statements'!I132+'Transpose + Statements'!I136+'Transpose + Statements'!H132+'Transpose + Statements'!H136)/2)</f>
        <v>4.889971966750372E-2</v>
      </c>
      <c r="J218" s="37">
        <f>'Company Historical'!AD12/(('Transpose + Statements'!J132+'Transpose + Statements'!J136+'Transpose + Statements'!I132+'Transpose + Statements'!I136)/2)</f>
        <v>1.3402172497662217E-2</v>
      </c>
      <c r="K218" s="2"/>
      <c r="L218" s="2"/>
      <c r="M218" s="2"/>
      <c r="N218" s="2"/>
      <c r="O218" s="2"/>
      <c r="P218" s="2"/>
    </row>
    <row r="219" spans="1:16">
      <c r="A219" s="148" t="s">
        <v>265</v>
      </c>
      <c r="B219" s="37">
        <f>-B71/B58</f>
        <v>7.0915005304436791</v>
      </c>
      <c r="C219" s="37">
        <f t="shared" ref="C219:J219" si="56">-C71/C58</f>
        <v>6.0161891228895819</v>
      </c>
      <c r="D219" s="37">
        <f t="shared" si="56"/>
        <v>6.0027972945837798</v>
      </c>
      <c r="E219" s="37">
        <f t="shared" si="56"/>
        <v>4.6990455639645141</v>
      </c>
      <c r="F219" s="37">
        <f t="shared" si="56"/>
        <v>4.7503613535208258</v>
      </c>
      <c r="G219" s="37">
        <f t="shared" si="56"/>
        <v>4.0512350610369463</v>
      </c>
      <c r="H219" s="37">
        <f t="shared" si="56"/>
        <v>4.5852228693263122</v>
      </c>
      <c r="I219" s="37">
        <f t="shared" si="56"/>
        <v>4.4121368362852769</v>
      </c>
      <c r="J219" s="37">
        <f t="shared" si="56"/>
        <v>4.2524599165688466</v>
      </c>
      <c r="K219" s="2"/>
      <c r="L219" s="2"/>
      <c r="M219" s="2"/>
      <c r="N219" s="2"/>
      <c r="O219" s="2"/>
      <c r="P219" s="2"/>
    </row>
    <row r="220" spans="1:16">
      <c r="A220" s="148" t="s">
        <v>266</v>
      </c>
      <c r="B220" s="37">
        <f>(B150/H44)</f>
        <v>1.9917085198259383</v>
      </c>
      <c r="C220" s="37">
        <f>(C150/I44)</f>
        <v>2.1567019516293606</v>
      </c>
      <c r="D220" s="37">
        <f>(D150/J44)</f>
        <v>2.4677367882590491</v>
      </c>
      <c r="E220" s="37">
        <f>(E150/K44)</f>
        <v>3.041318217655379</v>
      </c>
      <c r="F220" s="37">
        <f>(F150/L44)</f>
        <v>3.6424615878249189</v>
      </c>
      <c r="G220" s="37">
        <f>(G150/M44)</f>
        <v>4.2705457010209278</v>
      </c>
      <c r="H220" s="37">
        <f>(H150/N44)</f>
        <v>5.0787726649916536</v>
      </c>
      <c r="I220" s="37">
        <f>(I150/O44)</f>
        <v>5.9603734433833084</v>
      </c>
      <c r="J220" s="37">
        <f>(J150/P44)</f>
        <v>6.9182813494482991</v>
      </c>
      <c r="K220" s="2"/>
      <c r="L220" s="2"/>
      <c r="M220" s="2"/>
      <c r="N220" s="2"/>
      <c r="O220" s="2"/>
      <c r="P220" s="2"/>
    </row>
    <row r="221" spans="1:16">
      <c r="A221" s="148"/>
      <c r="B221" s="37"/>
      <c r="C221" s="37"/>
      <c r="D221" s="37"/>
      <c r="E221" s="37"/>
      <c r="F221" s="37"/>
      <c r="G221" s="37"/>
      <c r="H221" s="37"/>
      <c r="I221" s="37"/>
      <c r="J221" s="37"/>
      <c r="K221" s="2"/>
      <c r="L221" s="2"/>
      <c r="M221" s="2"/>
      <c r="N221" s="2"/>
      <c r="O221" s="2"/>
      <c r="P221" s="2"/>
    </row>
    <row r="222" spans="1:16">
      <c r="A222" s="173" t="s">
        <v>267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2"/>
      <c r="L222" s="2"/>
      <c r="M222" s="2"/>
      <c r="N222" s="2"/>
      <c r="O222" s="2"/>
      <c r="P222" s="2"/>
    </row>
    <row r="223" spans="1:16">
      <c r="A223" s="148" t="s">
        <v>268</v>
      </c>
      <c r="B223" s="169">
        <f>B68/H46</f>
        <v>7.1583514099783077E-3</v>
      </c>
      <c r="C223" s="169">
        <f t="shared" ref="B223:J223" si="57">C68/I46</f>
        <v>1.116504854368932E-2</v>
      </c>
      <c r="D223" s="169">
        <f t="shared" si="57"/>
        <v>2.0277777777777777E-2</v>
      </c>
      <c r="E223" s="169">
        <f t="shared" si="57"/>
        <v>2.5748502994011976E-2</v>
      </c>
      <c r="F223" s="169">
        <f>F68/L46</f>
        <v>2.6213592233009706E-2</v>
      </c>
      <c r="G223" s="174">
        <f>G68/3.37</f>
        <v>3.441786641051979E-2</v>
      </c>
      <c r="H223" s="174">
        <f t="shared" ref="H223:J223" si="58">H68/3.37</f>
        <v>4.7781579376003296E-2</v>
      </c>
      <c r="I223" s="174">
        <f t="shared" si="58"/>
        <v>6.3869688819832557E-2</v>
      </c>
      <c r="J223" s="174">
        <f t="shared" si="58"/>
        <v>7.0662608197281027E-2</v>
      </c>
      <c r="K223" s="2"/>
      <c r="L223" s="2"/>
      <c r="M223" s="2"/>
      <c r="N223" s="2"/>
      <c r="O223" s="2"/>
      <c r="P223" s="2"/>
    </row>
    <row r="224" spans="1:16">
      <c r="A224" s="148" t="s">
        <v>145</v>
      </c>
      <c r="B224" s="32">
        <f>B69</f>
        <v>0.14413110080443398</v>
      </c>
      <c r="C224" s="32">
        <f t="shared" ref="C224:J224" si="59">C69</f>
        <v>0.14972214217154156</v>
      </c>
      <c r="D224" s="32">
        <f t="shared" si="59"/>
        <v>0.19976016678841127</v>
      </c>
      <c r="E224" s="32">
        <f t="shared" si="59"/>
        <v>0.19790822929624968</v>
      </c>
      <c r="F224" s="32">
        <f t="shared" si="59"/>
        <v>0.20022155959699039</v>
      </c>
      <c r="G224" s="32">
        <f t="shared" si="59"/>
        <v>0.25</v>
      </c>
      <c r="H224" s="32">
        <f t="shared" si="59"/>
        <v>0.25</v>
      </c>
      <c r="I224" s="32">
        <f t="shared" si="59"/>
        <v>0.3</v>
      </c>
      <c r="J224" s="32">
        <f t="shared" si="59"/>
        <v>0.3</v>
      </c>
      <c r="K224" s="2"/>
      <c r="L224" s="2"/>
      <c r="M224" s="2"/>
      <c r="N224" s="2"/>
      <c r="O224" s="2"/>
      <c r="P224" s="2"/>
    </row>
    <row r="225" spans="1:16">
      <c r="A225" s="148" t="s">
        <v>269</v>
      </c>
      <c r="B225" s="37">
        <f>B184/('Transpose + Statements'!B132+'Transpose + Statements'!B136)</f>
        <v>-8.5485083222836489E-2</v>
      </c>
      <c r="C225" s="37">
        <f>C184/(('Transpose + Statements'!C132+'Transpose + Statements'!C136+'Transpose + Statements'!B132+'Transpose + Statements'!B136)/2)</f>
        <v>-3.1647421253773261E-2</v>
      </c>
      <c r="D225" s="37">
        <f>D184/(('Transpose + Statements'!D132+'Transpose + Statements'!D136+'Transpose + Statements'!C132+'Transpose + Statements'!C136)/2)</f>
        <v>-5.1852737945375399E-2</v>
      </c>
      <c r="E225" s="37">
        <f>E184/(('Transpose + Statements'!E132+'Transpose + Statements'!E136+'Transpose + Statements'!D132+'Transpose + Statements'!D136)/2)</f>
        <v>-0.130264884897171</v>
      </c>
      <c r="F225" s="37">
        <f>F184/(('Transpose + Statements'!F132+'Transpose + Statements'!F136+'Transpose + Statements'!E132+'Transpose + Statements'!E136)/2)</f>
        <v>-0.12852638213978093</v>
      </c>
      <c r="G225" s="37">
        <f>G184/(('Transpose + Statements'!G132+'Transpose + Statements'!G136+'Transpose + Statements'!F132+'Transpose + Statements'!F136)/2)</f>
        <v>7.5100245681782543E-2</v>
      </c>
      <c r="H225" s="37">
        <f>H184/(('Transpose + Statements'!H132+'Transpose + Statements'!H136+'Transpose + Statements'!G132+'Transpose + Statements'!G136)/2)</f>
        <v>2.7303363006469687E-2</v>
      </c>
      <c r="I225" s="37">
        <f>I184/(('Transpose + Statements'!I132+'Transpose + Statements'!I136+'Transpose + Statements'!H132+'Transpose + Statements'!H136)/2)</f>
        <v>2.75411282900184E-2</v>
      </c>
      <c r="J225" s="37">
        <f>J184/(('Transpose + Statements'!J132+'Transpose + Statements'!J136+'Transpose + Statements'!I132+'Transpose + Statements'!I136)/2)</f>
        <v>2.5566468899623659E-2</v>
      </c>
      <c r="K225" s="2"/>
      <c r="L225" s="2"/>
      <c r="M225" s="2"/>
      <c r="N225" s="2"/>
      <c r="O225" s="2"/>
      <c r="P225" s="2"/>
    </row>
    <row r="226" spans="1:16">
      <c r="A226" s="148"/>
      <c r="B226" s="37"/>
      <c r="C226" s="37"/>
      <c r="D226" s="37"/>
      <c r="E226" s="37"/>
      <c r="F226" s="37"/>
      <c r="G226" s="37"/>
      <c r="H226" s="37"/>
      <c r="I226" s="37"/>
      <c r="J226" s="37"/>
      <c r="K226" s="2"/>
      <c r="L226" s="2"/>
      <c r="M226" s="2"/>
      <c r="N226" s="2"/>
      <c r="O226" s="2"/>
      <c r="P226" s="2"/>
    </row>
    <row r="227" spans="1:16">
      <c r="A227" s="172" t="s">
        <v>270</v>
      </c>
      <c r="B227" s="150"/>
      <c r="C227" s="150"/>
      <c r="D227" s="150"/>
      <c r="E227" s="150"/>
      <c r="F227" s="150"/>
      <c r="G227" s="150"/>
      <c r="H227" s="150"/>
      <c r="I227" s="150"/>
      <c r="J227" s="150"/>
      <c r="K227" s="2"/>
      <c r="L227" s="2"/>
      <c r="M227" s="2"/>
      <c r="N227" s="2"/>
      <c r="O227" s="2"/>
      <c r="P227" s="2"/>
    </row>
    <row r="228" spans="1:16">
      <c r="A228" s="148" t="s">
        <v>271</v>
      </c>
      <c r="B228" s="147">
        <f t="shared" ref="B228:J228" si="60">H45</f>
        <v>0.22895821800998001</v>
      </c>
      <c r="C228" s="147">
        <f t="shared" si="60"/>
        <v>0.30723578578842597</v>
      </c>
      <c r="D228" s="147">
        <f t="shared" si="60"/>
        <v>0.36543822111103164</v>
      </c>
      <c r="E228" s="147">
        <f t="shared" si="60"/>
        <v>0.43454484083765016</v>
      </c>
      <c r="F228" s="147">
        <f t="shared" si="60"/>
        <v>0.53940245105164686</v>
      </c>
      <c r="G228" s="147">
        <f t="shared" si="60"/>
        <v>0.46395283921380681</v>
      </c>
      <c r="H228" s="147">
        <f t="shared" si="60"/>
        <v>0.6440956899885244</v>
      </c>
      <c r="I228" s="147">
        <f t="shared" si="60"/>
        <v>0.71746950440945245</v>
      </c>
      <c r="J228" s="147">
        <f t="shared" si="60"/>
        <v>0.79377663208279026</v>
      </c>
      <c r="K228" s="2"/>
      <c r="L228" s="2"/>
      <c r="M228" s="2"/>
      <c r="N228" s="2"/>
      <c r="O228" s="2"/>
      <c r="P228" s="2"/>
    </row>
    <row r="229" spans="1:16">
      <c r="A229" s="148" t="s">
        <v>272</v>
      </c>
      <c r="B229" s="50">
        <f>B201/B228</f>
        <v>20.134678021467899</v>
      </c>
      <c r="C229" s="50">
        <f>C201/C228</f>
        <v>13.409896211885895</v>
      </c>
      <c r="D229" s="50">
        <f>D201/D228</f>
        <v>9.8511863073737072</v>
      </c>
      <c r="E229" s="50">
        <f>E201/E228</f>
        <v>7.6862033238310925</v>
      </c>
      <c r="F229" s="50">
        <f>F201/F228</f>
        <v>7.6380817179592633</v>
      </c>
      <c r="G229" s="50">
        <f>3.39/G67</f>
        <v>7.306777140850218</v>
      </c>
      <c r="H229" s="50">
        <f>3.39/H67</f>
        <v>5.2631931135269641</v>
      </c>
      <c r="I229" s="50">
        <f>3.39/I67</f>
        <v>4.7249394980073776</v>
      </c>
      <c r="J229" s="50">
        <f>3.39/J67</f>
        <v>4.2707228494557468</v>
      </c>
      <c r="K229" s="2"/>
      <c r="L229" s="2"/>
      <c r="M229" s="2"/>
      <c r="N229" s="2"/>
      <c r="O229" s="2"/>
      <c r="P229" s="2"/>
    </row>
    <row r="230" spans="1:16">
      <c r="A230" s="148" t="s">
        <v>273</v>
      </c>
      <c r="B230" s="178">
        <f>B201/(B150/H44)</f>
        <v>2.3145957122294596</v>
      </c>
      <c r="C230" s="178">
        <f>C201/(C150/I44)</f>
        <v>1.9103242322785459</v>
      </c>
      <c r="D230" s="178">
        <f>D201/(D150/J44)</f>
        <v>1.4588265722373679</v>
      </c>
      <c r="E230" s="178">
        <f>E201/(E150/K44)</f>
        <v>1.0982080009289135</v>
      </c>
      <c r="F230" s="178">
        <f>F201/(F150/L44)</f>
        <v>1.1311032115674942</v>
      </c>
      <c r="G230" s="178">
        <f>3.39/(G150/M44)</f>
        <v>0.79380955908973827</v>
      </c>
      <c r="H230" s="178">
        <f>3.39/(H150/N44)</f>
        <v>0.6674840997250211</v>
      </c>
      <c r="I230" s="178">
        <f>3.39/(I150/O44)</f>
        <v>0.56875630901336982</v>
      </c>
      <c r="J230" s="178">
        <f>3.39/(J150/P44)</f>
        <v>0.49000609093042119</v>
      </c>
      <c r="K230" s="2"/>
      <c r="L230" s="2"/>
      <c r="M230" s="2"/>
      <c r="N230" s="2"/>
      <c r="O230" s="2"/>
      <c r="P230" s="2"/>
    </row>
    <row r="231" spans="1:16">
      <c r="A231" s="2" t="s">
        <v>274</v>
      </c>
      <c r="B231" s="50">
        <f>B201/(B50/H44)</f>
        <v>4.7211407481655083</v>
      </c>
      <c r="C231" s="50">
        <f>C201/(C50/I44)</f>
        <v>3.0411655456184432</v>
      </c>
      <c r="D231" s="50">
        <f>D201/(D50/J44)</f>
        <v>2.2230781436034874</v>
      </c>
      <c r="E231" s="50">
        <f>E201/(E50/K44)</f>
        <v>1.6335647673512692</v>
      </c>
      <c r="F231" s="50">
        <f>F201/(F50/L44)</f>
        <v>1.4792559554208795</v>
      </c>
      <c r="G231" s="50">
        <f>3.39/(G50/M44)</f>
        <v>1.749631517866761</v>
      </c>
      <c r="H231" s="50">
        <f>3.39/(H50/N44)</f>
        <v>1.1354362313239343</v>
      </c>
      <c r="I231" s="50">
        <f>3.39/(I50/O44)</f>
        <v>1.0016705453468888</v>
      </c>
      <c r="J231" s="50">
        <f>3.39/(J50/P44)</f>
        <v>0.88955025601340876</v>
      </c>
      <c r="K231" s="2"/>
      <c r="L231" s="2"/>
      <c r="M231" s="2"/>
      <c r="N231" s="2"/>
      <c r="O231" s="2"/>
      <c r="P231" s="2"/>
    </row>
    <row r="232" spans="1:16">
      <c r="K232" s="2"/>
      <c r="L232" s="2"/>
      <c r="M232" s="2"/>
      <c r="N232" s="2"/>
      <c r="O232" s="2"/>
      <c r="P232" s="2"/>
    </row>
    <row r="233" spans="1:16">
      <c r="K233" s="2"/>
      <c r="L233" s="2"/>
      <c r="M233" s="2"/>
      <c r="N233" s="2"/>
      <c r="O233" s="2"/>
      <c r="P233" s="2"/>
    </row>
    <row r="234" spans="1:16">
      <c r="K234" s="2"/>
      <c r="L234" s="2"/>
      <c r="M234" s="2"/>
      <c r="N234" s="2"/>
      <c r="O234" s="2"/>
      <c r="P234" s="2"/>
    </row>
    <row r="235" spans="1:16">
      <c r="K235" s="2"/>
      <c r="L235" s="2"/>
      <c r="M235" s="2"/>
      <c r="N235" s="2"/>
      <c r="O235" s="2"/>
      <c r="P235" s="2"/>
    </row>
    <row r="236" spans="1:16">
      <c r="K236" s="2"/>
      <c r="L236" s="2"/>
      <c r="M236" s="2"/>
      <c r="N236" s="2"/>
      <c r="O236" s="2"/>
      <c r="P236" s="2"/>
    </row>
    <row r="237" spans="1:16">
      <c r="K237" s="2"/>
      <c r="L237" s="2"/>
      <c r="M237" s="2"/>
      <c r="N237" s="2"/>
      <c r="O237" s="2"/>
      <c r="P237" s="2"/>
    </row>
    <row r="238" spans="1:16">
      <c r="K238" s="2"/>
      <c r="L238" s="2"/>
      <c r="M238" s="2"/>
      <c r="N238" s="2"/>
      <c r="O238" s="2"/>
      <c r="P238" s="2"/>
    </row>
    <row r="239" spans="1:16">
      <c r="K239" s="2"/>
      <c r="L239" s="2"/>
      <c r="M239" s="2"/>
      <c r="N239" s="2"/>
      <c r="O239" s="2"/>
      <c r="P239" s="2"/>
    </row>
    <row r="240" spans="1:16">
      <c r="K240" s="2"/>
      <c r="L240" s="2"/>
      <c r="M240" s="2"/>
      <c r="N240" s="2"/>
      <c r="O240" s="2"/>
      <c r="P240" s="2"/>
    </row>
    <row r="241" spans="11:16">
      <c r="K241" s="2"/>
      <c r="L241" s="2"/>
      <c r="M241" s="2"/>
      <c r="N241" s="2"/>
      <c r="O241" s="2"/>
      <c r="P241" s="2"/>
    </row>
    <row r="242" spans="11:16">
      <c r="K242" s="2"/>
      <c r="L242" s="2"/>
      <c r="M242" s="2"/>
      <c r="N242" s="2"/>
      <c r="O242" s="2"/>
      <c r="P242" s="2"/>
    </row>
    <row r="243" spans="11:16">
      <c r="K243" s="2"/>
      <c r="L243" s="2"/>
      <c r="M243" s="2"/>
      <c r="N243" s="2"/>
      <c r="O243" s="2"/>
      <c r="P243" s="2"/>
    </row>
    <row r="244" spans="11:16">
      <c r="K244" s="2"/>
      <c r="L244" s="2"/>
      <c r="M244" s="2"/>
      <c r="N244" s="2"/>
      <c r="O244" s="2"/>
      <c r="P244" s="2"/>
    </row>
    <row r="245" spans="11:16">
      <c r="K245" s="2"/>
      <c r="L245" s="2"/>
      <c r="M245" s="2"/>
      <c r="N245" s="2"/>
      <c r="O245" s="2"/>
      <c r="P245" s="2"/>
    </row>
    <row r="246" spans="11:16">
      <c r="K246" s="2"/>
      <c r="L246" s="2"/>
      <c r="M246" s="2"/>
      <c r="N246" s="2"/>
      <c r="O246" s="2"/>
      <c r="P246" s="2"/>
    </row>
    <row r="247" spans="11:16">
      <c r="K247" s="2"/>
      <c r="L247" s="2"/>
      <c r="M247" s="2"/>
      <c r="N247" s="2"/>
      <c r="O247" s="2"/>
      <c r="P247" s="2"/>
    </row>
    <row r="248" spans="11:16">
      <c r="K248" s="2"/>
      <c r="L248" s="2"/>
      <c r="M248" s="2"/>
      <c r="N248" s="2"/>
      <c r="O248" s="2"/>
      <c r="P248" s="2"/>
    </row>
    <row r="249" spans="11:16">
      <c r="K249" s="2"/>
      <c r="L249" s="2"/>
      <c r="M249" s="2"/>
      <c r="N249" s="2"/>
      <c r="O249" s="2"/>
      <c r="P249" s="2"/>
    </row>
    <row r="250" spans="11:16">
      <c r="K250" s="2"/>
      <c r="L250" s="2"/>
      <c r="M250" s="2"/>
      <c r="N250" s="2"/>
      <c r="O250" s="2"/>
      <c r="P250" s="2"/>
    </row>
    <row r="251" spans="11:16">
      <c r="K251" s="2"/>
      <c r="L251" s="2"/>
      <c r="M251" s="2"/>
      <c r="N251" s="2"/>
      <c r="O251" s="2"/>
      <c r="P251" s="2"/>
    </row>
    <row r="252" spans="11:16">
      <c r="K252" s="2"/>
      <c r="L252" s="2"/>
      <c r="M252" s="2"/>
      <c r="N252" s="2"/>
      <c r="O252" s="2"/>
      <c r="P252" s="2"/>
    </row>
    <row r="253" spans="11:16">
      <c r="K253" s="2"/>
      <c r="L253" s="2"/>
      <c r="M253" s="2"/>
      <c r="N253" s="2"/>
      <c r="O253" s="2"/>
      <c r="P253" s="2"/>
    </row>
    <row r="254" spans="11:16">
      <c r="K254" s="2"/>
      <c r="L254" s="2"/>
      <c r="M254" s="2"/>
      <c r="N254" s="2"/>
      <c r="O254" s="2"/>
      <c r="P254" s="2"/>
    </row>
    <row r="255" spans="11:16">
      <c r="K255" s="2"/>
      <c r="L255" s="2"/>
      <c r="M255" s="2"/>
      <c r="N255" s="2"/>
      <c r="O255" s="2"/>
      <c r="P255" s="2"/>
    </row>
    <row r="256" spans="11:16">
      <c r="K256" s="2"/>
      <c r="L256" s="2"/>
      <c r="M256" s="2"/>
      <c r="N256" s="2"/>
      <c r="O256" s="2"/>
      <c r="P256" s="2"/>
    </row>
    <row r="257" spans="11:16">
      <c r="K257" s="2"/>
      <c r="L257" s="2"/>
      <c r="M257" s="2"/>
      <c r="N257" s="2"/>
      <c r="O257" s="2"/>
      <c r="P257" s="2"/>
    </row>
    <row r="258" spans="11:16">
      <c r="K258" s="2"/>
      <c r="L258" s="2"/>
      <c r="M258" s="2"/>
      <c r="N258" s="2"/>
      <c r="O258" s="2"/>
      <c r="P258" s="2"/>
    </row>
    <row r="259" spans="11:16">
      <c r="K259" s="2"/>
      <c r="L259" s="2"/>
      <c r="M259" s="2"/>
      <c r="N259" s="2"/>
      <c r="O259" s="2"/>
      <c r="P259" s="2"/>
    </row>
    <row r="260" spans="11:16">
      <c r="K260" s="2"/>
      <c r="L260" s="2"/>
      <c r="M260" s="2"/>
      <c r="N260" s="2"/>
      <c r="O260" s="2"/>
      <c r="P260" s="2"/>
    </row>
    <row r="261" spans="11:16">
      <c r="K261" s="2"/>
      <c r="L261" s="2"/>
      <c r="M261" s="2"/>
      <c r="N261" s="2"/>
      <c r="O261" s="2"/>
      <c r="P261" s="2"/>
    </row>
    <row r="262" spans="11:16">
      <c r="K262" s="2"/>
      <c r="L262" s="2"/>
      <c r="M262" s="2"/>
      <c r="N262" s="2"/>
      <c r="O262" s="2"/>
      <c r="P262" s="2"/>
    </row>
    <row r="263" spans="11:16">
      <c r="K263" s="2"/>
      <c r="L263" s="2"/>
      <c r="M263" s="2"/>
      <c r="N263" s="2"/>
      <c r="O263" s="2"/>
      <c r="P263" s="2"/>
    </row>
    <row r="264" spans="11:16">
      <c r="K264" s="2"/>
      <c r="L264" s="2"/>
      <c r="M264" s="2"/>
      <c r="N264" s="2"/>
      <c r="O264" s="2"/>
      <c r="P264" s="2"/>
    </row>
    <row r="265" spans="11:16">
      <c r="K265" s="2"/>
      <c r="L265" s="2"/>
      <c r="M265" s="2"/>
      <c r="N265" s="2"/>
      <c r="O265" s="2"/>
      <c r="P265" s="2"/>
    </row>
    <row r="266" spans="11:16">
      <c r="K266" s="2"/>
      <c r="L266" s="2"/>
      <c r="M266" s="2"/>
      <c r="N266" s="2"/>
      <c r="O266" s="2"/>
      <c r="P266" s="2"/>
    </row>
    <row r="267" spans="11:16">
      <c r="K267" s="2"/>
      <c r="L267" s="2"/>
      <c r="M267" s="2"/>
      <c r="N267" s="2"/>
      <c r="O267" s="2"/>
      <c r="P267" s="2"/>
    </row>
    <row r="268" spans="11:16">
      <c r="K268" s="2"/>
      <c r="L268" s="2"/>
      <c r="M268" s="2"/>
      <c r="N268" s="2"/>
      <c r="O268" s="2"/>
      <c r="P268" s="2"/>
    </row>
    <row r="269" spans="11:16">
      <c r="K269" s="2"/>
      <c r="L269" s="2"/>
      <c r="M269" s="2"/>
      <c r="N269" s="2"/>
      <c r="O269" s="2"/>
      <c r="P269" s="2"/>
    </row>
    <row r="270" spans="11:16">
      <c r="K270" s="2"/>
      <c r="L270" s="2"/>
      <c r="M270" s="2"/>
      <c r="N270" s="2"/>
      <c r="O270" s="2"/>
      <c r="P270" s="2"/>
    </row>
    <row r="271" spans="11:16">
      <c r="K271" s="2"/>
      <c r="L271" s="2"/>
      <c r="M271" s="2"/>
      <c r="N271" s="2"/>
      <c r="O271" s="2"/>
      <c r="P271" s="2"/>
    </row>
    <row r="272" spans="11:16">
      <c r="K272" s="2"/>
      <c r="L272" s="2"/>
      <c r="M272" s="2"/>
    </row>
    <row r="273" spans="11:13">
      <c r="K273" s="2"/>
      <c r="L273" s="2"/>
      <c r="M273" s="2"/>
    </row>
    <row r="274" spans="11:13">
      <c r="K274" s="2"/>
      <c r="L274" s="2"/>
      <c r="M274" s="2"/>
    </row>
    <row r="275" spans="11:13">
      <c r="K275" s="2"/>
      <c r="L275" s="2"/>
      <c r="M275" s="2"/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92 C92:J92 B97:J97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73C9-3836-4F63-82E4-26619DF2D396}">
  <dimension ref="A1:L31"/>
  <sheetViews>
    <sheetView workbookViewId="0">
      <selection activeCell="E14" sqref="A1:E14"/>
    </sheetView>
  </sheetViews>
  <sheetFormatPr defaultRowHeight="15"/>
  <cols>
    <col min="1" max="1" width="24" style="2" bestFit="1" customWidth="1"/>
    <col min="2" max="2" width="17.28515625" style="2" customWidth="1"/>
    <col min="3" max="3" width="20.28515625" style="2" customWidth="1"/>
    <col min="4" max="4" width="20.5703125" style="2" customWidth="1"/>
    <col min="5" max="5" width="18.28515625" style="2" customWidth="1"/>
    <col min="6" max="11" width="9.140625" style="2"/>
    <col min="12" max="12" width="15" style="2" bestFit="1" customWidth="1"/>
    <col min="13" max="16384" width="9.140625" style="2"/>
  </cols>
  <sheetData>
    <row r="1" spans="1:12">
      <c r="A1" s="149" t="s">
        <v>275</v>
      </c>
      <c r="B1" s="133" t="s">
        <v>126</v>
      </c>
      <c r="C1" s="133" t="s">
        <v>127</v>
      </c>
      <c r="D1" s="133" t="s">
        <v>128</v>
      </c>
      <c r="E1" s="133" t="s">
        <v>117</v>
      </c>
      <c r="H1" s="104"/>
      <c r="I1" s="104"/>
      <c r="J1" s="104"/>
      <c r="K1" s="104"/>
      <c r="L1" s="104"/>
    </row>
    <row r="2" spans="1:12">
      <c r="A2" s="134"/>
      <c r="B2" s="146"/>
      <c r="C2" s="146"/>
      <c r="D2" s="146"/>
      <c r="E2" s="146"/>
      <c r="H2" s="104"/>
      <c r="I2" s="104"/>
      <c r="J2" s="104"/>
      <c r="K2" s="104"/>
      <c r="L2" s="104"/>
    </row>
    <row r="3" spans="1:12">
      <c r="A3" s="134" t="s">
        <v>276</v>
      </c>
      <c r="B3" s="135">
        <v>0.1159882098034517</v>
      </c>
      <c r="C3" s="135">
        <v>0.1610239224971311</v>
      </c>
      <c r="D3" s="135">
        <v>0.21524085132283574</v>
      </c>
      <c r="E3" s="135">
        <v>0.23813298962483706</v>
      </c>
    </row>
    <row r="4" spans="1:12">
      <c r="A4" s="136" t="s">
        <v>277</v>
      </c>
      <c r="B4" s="137">
        <v>0.94241278436461551</v>
      </c>
      <c r="C4" s="138">
        <v>0.88814185613386709</v>
      </c>
      <c r="D4" s="138">
        <v>0.83699623954987545</v>
      </c>
      <c r="E4" s="138">
        <v>0.78879595661691082</v>
      </c>
      <c r="G4" s="117"/>
      <c r="H4" s="118"/>
    </row>
    <row r="5" spans="1:12">
      <c r="A5" s="134" t="s">
        <v>278</v>
      </c>
      <c r="B5" s="139">
        <f>B4*B3</f>
        <v>0.10930877175433812</v>
      </c>
      <c r="C5" s="139">
        <f>C4*C3</f>
        <v>0.14301208540855798</v>
      </c>
      <c r="D5" s="139">
        <f>D4*D3</f>
        <v>0.18015578315472736</v>
      </c>
      <c r="E5" s="139">
        <f>E4*E3</f>
        <v>0.18783833935316824</v>
      </c>
    </row>
    <row r="6" spans="1:12">
      <c r="A6" s="134"/>
      <c r="B6" s="134"/>
      <c r="C6" s="134"/>
      <c r="D6" s="134"/>
      <c r="E6" s="134"/>
    </row>
    <row r="7" spans="1:12">
      <c r="A7" s="134" t="s">
        <v>279</v>
      </c>
      <c r="B7" s="140">
        <v>0.24106148590938675</v>
      </c>
      <c r="C7" s="134"/>
      <c r="D7" s="134" t="s">
        <v>280</v>
      </c>
      <c r="E7" s="141">
        <f>E3*(1+E8)/(B10-E8)</f>
        <v>5.9089858267791371</v>
      </c>
    </row>
    <row r="8" spans="1:12">
      <c r="A8" s="134" t="s">
        <v>281</v>
      </c>
      <c r="B8" s="136">
        <v>3.6999999999999998E-2</v>
      </c>
      <c r="C8" s="134"/>
      <c r="D8" s="134" t="s">
        <v>282</v>
      </c>
      <c r="E8" s="136">
        <v>0.02</v>
      </c>
    </row>
    <row r="9" spans="1:12">
      <c r="A9" s="134" t="s">
        <v>283</v>
      </c>
      <c r="B9" s="136">
        <v>0.1</v>
      </c>
      <c r="C9" s="134"/>
      <c r="D9" s="134" t="s">
        <v>284</v>
      </c>
      <c r="E9" s="140">
        <f>1/(1/E4*(1+B10))</f>
        <v>0.74337139377089334</v>
      </c>
    </row>
    <row r="10" spans="1:12">
      <c r="A10" s="134" t="s">
        <v>285</v>
      </c>
      <c r="B10" s="142">
        <f>B8+B7*B9</f>
        <v>6.1106148590938672E-2</v>
      </c>
      <c r="C10" s="143"/>
      <c r="D10" s="143" t="s">
        <v>286</v>
      </c>
      <c r="E10" s="144">
        <f>E7*E9</f>
        <v>4.3925710298252616</v>
      </c>
    </row>
    <row r="11" spans="1:12">
      <c r="A11" s="134"/>
      <c r="B11" s="142"/>
      <c r="C11" s="143"/>
      <c r="D11" s="143"/>
      <c r="E11" s="145"/>
    </row>
    <row r="12" spans="1:12">
      <c r="A12" s="134" t="s">
        <v>287</v>
      </c>
      <c r="B12" s="144">
        <f>SUM(B5:E5,E10)</f>
        <v>5.0128860094960537</v>
      </c>
      <c r="C12" s="143"/>
      <c r="D12" s="134"/>
      <c r="E12" s="134"/>
    </row>
    <row r="13" spans="1:12">
      <c r="A13" s="143" t="s">
        <v>288</v>
      </c>
      <c r="B13" s="144">
        <v>3.37</v>
      </c>
      <c r="C13" s="143"/>
      <c r="D13" s="143"/>
      <c r="E13" s="145"/>
    </row>
    <row r="14" spans="1:12">
      <c r="A14" s="134" t="s">
        <v>289</v>
      </c>
      <c r="B14" s="142">
        <f>B12/B13-1</f>
        <v>0.48750326691277546</v>
      </c>
      <c r="C14" s="143"/>
      <c r="D14" s="143"/>
      <c r="E14" s="145"/>
    </row>
    <row r="15" spans="1:12">
      <c r="B15" s="17"/>
      <c r="E15" s="121"/>
    </row>
    <row r="16" spans="1:12">
      <c r="B16" s="17"/>
    </row>
    <row r="17" spans="1:8">
      <c r="B17" s="17"/>
    </row>
    <row r="18" spans="1:8">
      <c r="B18" s="123"/>
    </row>
    <row r="22" spans="1:8">
      <c r="B22" s="17"/>
    </row>
    <row r="23" spans="1:8" ht="15.75">
      <c r="A23"/>
      <c r="B23"/>
      <c r="C23"/>
      <c r="D23"/>
      <c r="E23"/>
      <c r="F23"/>
      <c r="G23"/>
      <c r="H23"/>
    </row>
    <row r="24" spans="1:8" ht="15.75">
      <c r="A24"/>
      <c r="B24"/>
      <c r="C24"/>
      <c r="D24"/>
      <c r="E24"/>
      <c r="F24"/>
      <c r="G24"/>
      <c r="H24"/>
    </row>
    <row r="25" spans="1:8" ht="15.75">
      <c r="A25"/>
      <c r="B25"/>
      <c r="C25"/>
      <c r="D25"/>
      <c r="E25"/>
      <c r="F25"/>
      <c r="G25"/>
      <c r="H25"/>
    </row>
    <row r="26" spans="1:8" ht="15.75">
      <c r="A26"/>
      <c r="B26"/>
      <c r="C26"/>
      <c r="D26"/>
      <c r="E26"/>
      <c r="F26"/>
      <c r="G26"/>
      <c r="H26"/>
    </row>
    <row r="27" spans="1:8" ht="15.75">
      <c r="A27"/>
      <c r="B27"/>
      <c r="C27"/>
      <c r="D27"/>
      <c r="E27"/>
      <c r="F27"/>
      <c r="G27"/>
      <c r="H27"/>
    </row>
    <row r="28" spans="1:8" ht="15.75">
      <c r="A28"/>
      <c r="B28"/>
      <c r="C28"/>
      <c r="D28"/>
      <c r="E28"/>
      <c r="F28"/>
      <c r="G28"/>
      <c r="H28"/>
    </row>
    <row r="29" spans="1:8" ht="15.75">
      <c r="A29"/>
      <c r="B29"/>
      <c r="C29"/>
      <c r="D29"/>
      <c r="E29"/>
      <c r="F29"/>
      <c r="G29"/>
      <c r="H29"/>
    </row>
    <row r="30" spans="1:8" ht="15.75">
      <c r="A30"/>
      <c r="B30"/>
      <c r="C30"/>
      <c r="D30"/>
      <c r="E30"/>
      <c r="F30"/>
      <c r="G30"/>
      <c r="H30"/>
    </row>
    <row r="31" spans="1:8" ht="15.75">
      <c r="A31"/>
      <c r="B31"/>
      <c r="C31"/>
      <c r="D31"/>
      <c r="E31"/>
      <c r="F31"/>
      <c r="G31"/>
      <c r="H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A6CD-D5DC-43E9-AC90-2F6C6E6477D1}">
  <dimension ref="A1:E61"/>
  <sheetViews>
    <sheetView topLeftCell="A37" workbookViewId="0">
      <selection activeCell="C63" sqref="C63"/>
    </sheetView>
  </sheetViews>
  <sheetFormatPr defaultRowHeight="15.75"/>
  <cols>
    <col min="1" max="1" width="8.7109375" customWidth="1"/>
    <col min="2" max="2" width="12.7109375" bestFit="1" customWidth="1"/>
    <col min="3" max="3" width="13.85546875" bestFit="1" customWidth="1"/>
  </cols>
  <sheetData>
    <row r="1" spans="1:5">
      <c r="A1" s="126" t="s">
        <v>290</v>
      </c>
      <c r="B1" s="126" t="s">
        <v>291</v>
      </c>
      <c r="C1" s="126" t="s">
        <v>292</v>
      </c>
    </row>
    <row r="2" spans="1:5">
      <c r="A2" s="127">
        <v>44703</v>
      </c>
      <c r="B2" s="128">
        <v>-6.7400000000000002E-2</v>
      </c>
      <c r="C2" s="128">
        <v>1.8100000000000002E-2</v>
      </c>
      <c r="E2" s="129">
        <f>_xlfn.COVARIANCE.P(B2:B61,C2:C61)/_xlfn.VAR.P(B2:B61)</f>
        <v>0.24106148590938675</v>
      </c>
    </row>
    <row r="3" spans="1:5">
      <c r="A3" s="127">
        <v>44673</v>
      </c>
      <c r="B3" s="128">
        <v>-3.0200000000000001E-2</v>
      </c>
      <c r="C3" s="128">
        <v>-4.3400000000000001E-2</v>
      </c>
    </row>
    <row r="4" spans="1:5">
      <c r="A4" s="127">
        <v>44642</v>
      </c>
      <c r="B4" s="128">
        <v>-6.2100000000000002E-2</v>
      </c>
      <c r="C4" s="128">
        <v>-8.9499999999999996E-2</v>
      </c>
    </row>
    <row r="5" spans="1:5">
      <c r="A5" s="127">
        <v>44614</v>
      </c>
      <c r="B5" s="128">
        <v>-3.9E-2</v>
      </c>
      <c r="C5" s="128">
        <v>-4.7600000000000003E-2</v>
      </c>
    </row>
    <row r="6" spans="1:5">
      <c r="A6" s="127">
        <v>44583</v>
      </c>
      <c r="B6" s="128">
        <v>1.38E-2</v>
      </c>
      <c r="C6" s="128">
        <v>-3.1600000000000003E-2</v>
      </c>
    </row>
    <row r="7" spans="1:5">
      <c r="A7" s="127">
        <v>44916</v>
      </c>
      <c r="B7" s="128">
        <v>-1.5800000000000002E-2</v>
      </c>
      <c r="C7" s="128">
        <v>-2.3999999999999998E-3</v>
      </c>
    </row>
    <row r="8" spans="1:5">
      <c r="A8" s="127">
        <v>44886</v>
      </c>
      <c r="B8" s="128">
        <v>-6.6199999999999995E-2</v>
      </c>
      <c r="C8" s="128">
        <v>-7.6100000000000001E-2</v>
      </c>
    </row>
    <row r="9" spans="1:5">
      <c r="A9" s="127">
        <v>44855</v>
      </c>
      <c r="B9" s="128">
        <v>2.7E-2</v>
      </c>
      <c r="C9" s="128">
        <v>3.95E-2</v>
      </c>
    </row>
    <row r="10" spans="1:5">
      <c r="A10" s="127">
        <v>44825</v>
      </c>
      <c r="B10" s="128">
        <v>-4.9799999999999997E-2</v>
      </c>
      <c r="C10" s="128">
        <v>-4.5999999999999999E-3</v>
      </c>
    </row>
    <row r="11" spans="1:5">
      <c r="A11" s="127">
        <v>44794</v>
      </c>
      <c r="B11" s="128">
        <v>-5.4000000000000003E-3</v>
      </c>
      <c r="C11" s="128">
        <v>6.6699999999999995E-2</v>
      </c>
    </row>
    <row r="12" spans="1:5">
      <c r="A12" s="127">
        <v>44763</v>
      </c>
      <c r="B12" s="128">
        <v>-0.1341</v>
      </c>
      <c r="C12" s="128">
        <v>-0.104</v>
      </c>
    </row>
    <row r="13" spans="1:5">
      <c r="A13" s="127">
        <v>44733</v>
      </c>
      <c r="B13" s="128">
        <v>-2.07E-2</v>
      </c>
      <c r="C13" s="128">
        <v>0.1106</v>
      </c>
    </row>
    <row r="14" spans="1:5">
      <c r="A14" s="127">
        <v>44702</v>
      </c>
      <c r="B14" s="128">
        <v>5.8999999999999999E-3</v>
      </c>
      <c r="C14" s="128">
        <v>1.24E-2</v>
      </c>
    </row>
    <row r="15" spans="1:5">
      <c r="A15" s="127">
        <v>44672</v>
      </c>
      <c r="B15" s="128">
        <v>-1.34E-2</v>
      </c>
      <c r="C15" s="128">
        <v>0.1198</v>
      </c>
    </row>
    <row r="16" spans="1:5">
      <c r="A16" s="127">
        <v>44641</v>
      </c>
      <c r="B16" s="128">
        <v>-2.4500000000000001E-2</v>
      </c>
      <c r="C16" s="128">
        <v>0.12189999999999999</v>
      </c>
    </row>
    <row r="17" spans="1:3">
      <c r="A17" s="127">
        <v>44613</v>
      </c>
      <c r="B17" s="128">
        <v>3.3999999999999998E-3</v>
      </c>
      <c r="C17" s="128">
        <v>6.3E-3</v>
      </c>
    </row>
    <row r="18" spans="1:3">
      <c r="A18" s="127">
        <v>44582</v>
      </c>
      <c r="B18" s="128">
        <v>4.3799999999999999E-2</v>
      </c>
      <c r="C18" s="128">
        <v>-4.2200000000000001E-2</v>
      </c>
    </row>
    <row r="19" spans="1:3">
      <c r="A19" s="127">
        <v>44915</v>
      </c>
      <c r="B19" s="128">
        <v>1.8200000000000001E-2</v>
      </c>
      <c r="C19" s="128">
        <v>1.2200000000000001E-2</v>
      </c>
    </row>
    <row r="20" spans="1:3">
      <c r="A20" s="127">
        <v>44885</v>
      </c>
      <c r="B20" s="128">
        <v>8.0600000000000005E-2</v>
      </c>
      <c r="C20" s="128">
        <v>-3.0000000000000001E-3</v>
      </c>
    </row>
    <row r="21" spans="1:3">
      <c r="A21" s="127">
        <v>44854</v>
      </c>
      <c r="B21" s="128">
        <v>3.8600000000000002E-2</v>
      </c>
      <c r="C21" s="128">
        <v>-1.2E-2</v>
      </c>
    </row>
    <row r="22" spans="1:3">
      <c r="A22" s="127">
        <v>44824</v>
      </c>
      <c r="B22" s="128">
        <v>-5.9499999999999997E-2</v>
      </c>
      <c r="C22" s="128">
        <v>-1.4800000000000001E-2</v>
      </c>
    </row>
    <row r="23" spans="1:3">
      <c r="A23" s="127">
        <v>44793</v>
      </c>
      <c r="B23" s="128">
        <v>-4.7999999999999996E-3</v>
      </c>
      <c r="C23" s="128">
        <v>-3.6999999999999998E-2</v>
      </c>
    </row>
    <row r="24" spans="1:3">
      <c r="A24" s="127">
        <v>44762</v>
      </c>
      <c r="B24" s="128">
        <v>2.8799999999999999E-2</v>
      </c>
      <c r="C24" s="128">
        <v>3.2399999999999998E-2</v>
      </c>
    </row>
    <row r="25" spans="1:3">
      <c r="A25" s="127">
        <v>44732</v>
      </c>
      <c r="B25" s="128">
        <v>2.07E-2</v>
      </c>
      <c r="C25" s="128">
        <v>4.6199999999999998E-2</v>
      </c>
    </row>
    <row r="26" spans="1:3">
      <c r="A26" s="127">
        <v>44701</v>
      </c>
      <c r="B26" s="128">
        <v>-4.7800000000000002E-2</v>
      </c>
      <c r="C26" s="128">
        <v>-4.41E-2</v>
      </c>
    </row>
    <row r="27" spans="1:3">
      <c r="A27" s="127">
        <v>44671</v>
      </c>
      <c r="B27" s="128">
        <v>4.65E-2</v>
      </c>
      <c r="C27" s="128">
        <v>-6.08E-2</v>
      </c>
    </row>
    <row r="28" spans="1:3">
      <c r="A28" s="127">
        <v>44640</v>
      </c>
      <c r="B28" s="128">
        <v>-6.8699999999999997E-2</v>
      </c>
      <c r="C28" s="128">
        <v>-3.7199999999999997E-2</v>
      </c>
    </row>
    <row r="29" spans="1:3">
      <c r="A29" s="127">
        <v>44612</v>
      </c>
      <c r="B29" s="128">
        <v>6.0000000000000001E-3</v>
      </c>
      <c r="C29" s="128">
        <v>0.14630000000000001</v>
      </c>
    </row>
    <row r="30" spans="1:3">
      <c r="A30" s="127">
        <v>44581</v>
      </c>
      <c r="B30" s="128">
        <v>-8.3099999999999993E-2</v>
      </c>
      <c r="C30" s="128">
        <v>-8.8900000000000007E-2</v>
      </c>
    </row>
    <row r="31" spans="1:3">
      <c r="A31" s="127">
        <v>44914</v>
      </c>
      <c r="B31" s="128">
        <v>8.4099999999999994E-2</v>
      </c>
      <c r="C31" s="128">
        <v>7.46E-2</v>
      </c>
    </row>
    <row r="32" spans="1:3">
      <c r="A32" s="127">
        <v>44884</v>
      </c>
      <c r="B32" s="128">
        <v>-2.1999999999999999E-2</v>
      </c>
      <c r="C32" s="128">
        <v>3.4000000000000002E-2</v>
      </c>
    </row>
    <row r="33" spans="1:3">
      <c r="A33" s="127">
        <v>44853</v>
      </c>
      <c r="B33" s="128">
        <v>3.2599999999999997E-2</v>
      </c>
      <c r="C33" s="128">
        <v>-5.2600000000000001E-2</v>
      </c>
    </row>
    <row r="34" spans="1:3">
      <c r="A34" s="127">
        <v>44823</v>
      </c>
      <c r="B34" s="128">
        <v>1.17E-2</v>
      </c>
      <c r="C34" s="128">
        <v>-8.3099999999999993E-2</v>
      </c>
    </row>
    <row r="35" spans="1:3">
      <c r="A35" s="127">
        <v>44792</v>
      </c>
      <c r="B35" s="128">
        <v>-5.5500000000000001E-2</v>
      </c>
      <c r="C35" s="128">
        <v>-8.3500000000000005E-2</v>
      </c>
    </row>
    <row r="36" spans="1:3">
      <c r="A36" s="127">
        <v>44761</v>
      </c>
      <c r="B36" s="128">
        <v>-1.9E-2</v>
      </c>
      <c r="C36" s="128">
        <v>0.112</v>
      </c>
    </row>
    <row r="37" spans="1:3">
      <c r="A37" s="127">
        <v>44731</v>
      </c>
      <c r="B37" s="128">
        <v>4.7600000000000003E-2</v>
      </c>
      <c r="C37" s="128">
        <v>1.95E-2</v>
      </c>
    </row>
    <row r="38" spans="1:3">
      <c r="A38" s="127">
        <v>44700</v>
      </c>
      <c r="B38" s="128">
        <v>-0.10009999999999999</v>
      </c>
      <c r="C38" s="128">
        <v>-5.7700000000000001E-2</v>
      </c>
    </row>
    <row r="39" spans="1:3">
      <c r="A39" s="127">
        <v>44670</v>
      </c>
      <c r="B39" s="128">
        <v>1.43E-2</v>
      </c>
      <c r="C39" s="128">
        <v>-3.0499999999999999E-2</v>
      </c>
    </row>
    <row r="40" spans="1:3">
      <c r="A40" s="127">
        <v>44639</v>
      </c>
      <c r="B40" s="128">
        <v>1.1000000000000001E-3</v>
      </c>
      <c r="C40" s="128">
        <v>-4.6100000000000002E-2</v>
      </c>
    </row>
    <row r="41" spans="1:3">
      <c r="A41" s="127">
        <v>44611</v>
      </c>
      <c r="B41" s="128">
        <v>3.0099999999999998E-2</v>
      </c>
      <c r="C41" s="128">
        <v>9.7999999999999997E-3</v>
      </c>
    </row>
    <row r="42" spans="1:3">
      <c r="A42" s="127">
        <v>44580</v>
      </c>
      <c r="B42" s="128">
        <v>0.09</v>
      </c>
      <c r="C42" s="128">
        <v>-9.7000000000000003E-3</v>
      </c>
    </row>
    <row r="43" spans="1:3">
      <c r="A43" s="127">
        <v>44913</v>
      </c>
      <c r="B43" s="128">
        <v>-4.6800000000000001E-2</v>
      </c>
      <c r="C43" s="128">
        <v>2.4899999999999999E-2</v>
      </c>
    </row>
    <row r="44" spans="1:3">
      <c r="A44" s="127">
        <v>44883</v>
      </c>
      <c r="B44" s="128">
        <v>4.7699999999999999E-2</v>
      </c>
      <c r="C44" s="128">
        <v>-3.5999999999999997E-2</v>
      </c>
    </row>
    <row r="45" spans="1:3">
      <c r="A45" s="127">
        <v>44852</v>
      </c>
      <c r="B45" s="128">
        <v>-7.9799999999999996E-2</v>
      </c>
      <c r="C45" s="128">
        <v>2.46E-2</v>
      </c>
    </row>
    <row r="46" spans="1:3">
      <c r="A46" s="127">
        <v>44822</v>
      </c>
      <c r="B46" s="128">
        <v>1.3100000000000001E-2</v>
      </c>
      <c r="C46" s="128">
        <v>-1.6899999999999998E-2</v>
      </c>
    </row>
    <row r="47" spans="1:3">
      <c r="A47" s="127">
        <v>44791</v>
      </c>
      <c r="B47" s="128">
        <v>-1.35E-2</v>
      </c>
      <c r="C47" s="128">
        <v>-3.9399999999999998E-2</v>
      </c>
    </row>
    <row r="48" spans="1:3">
      <c r="A48" s="127">
        <v>44760</v>
      </c>
      <c r="B48" s="128">
        <v>-4.4000000000000003E-3</v>
      </c>
      <c r="C48" s="128">
        <v>2.3800000000000002E-2</v>
      </c>
    </row>
    <row r="49" spans="1:3">
      <c r="A49" s="127">
        <v>44730</v>
      </c>
      <c r="B49" s="128">
        <v>-7.5600000000000001E-2</v>
      </c>
      <c r="C49" s="128">
        <v>-2.5499999999999998E-2</v>
      </c>
    </row>
    <row r="50" spans="1:3">
      <c r="A50" s="127">
        <v>44699</v>
      </c>
      <c r="B50" s="128">
        <v>-2.86E-2</v>
      </c>
      <c r="C50" s="128">
        <v>-9.1999999999999998E-3</v>
      </c>
    </row>
    <row r="51" spans="1:3">
      <c r="A51" s="127">
        <v>44669</v>
      </c>
      <c r="B51" s="128">
        <v>2.7799999999999998E-2</v>
      </c>
      <c r="C51" s="128">
        <v>-3.1099999999999999E-2</v>
      </c>
    </row>
    <row r="52" spans="1:3">
      <c r="A52" s="127">
        <v>44638</v>
      </c>
      <c r="B52" s="128">
        <v>-3.1E-2</v>
      </c>
      <c r="C52" s="128">
        <v>-2.2000000000000001E-3</v>
      </c>
    </row>
    <row r="53" spans="1:3">
      <c r="A53" s="127">
        <v>44610</v>
      </c>
      <c r="B53" s="128">
        <v>-8.6999999999999994E-2</v>
      </c>
      <c r="C53" s="128">
        <v>-4.4000000000000003E-3</v>
      </c>
    </row>
    <row r="54" spans="1:3">
      <c r="A54" s="127">
        <v>44579</v>
      </c>
      <c r="B54" s="128">
        <v>0.15820000000000001</v>
      </c>
      <c r="C54" s="128">
        <v>-1.7399999999999999E-2</v>
      </c>
    </row>
    <row r="55" spans="1:3">
      <c r="A55" s="127">
        <v>44912</v>
      </c>
      <c r="B55" s="128">
        <v>2.0400000000000001E-2</v>
      </c>
      <c r="C55" s="128">
        <v>6.6E-3</v>
      </c>
    </row>
    <row r="56" spans="1:3">
      <c r="A56" s="127">
        <v>44882</v>
      </c>
      <c r="B56" s="128">
        <v>-2.8E-3</v>
      </c>
      <c r="C56" s="128">
        <v>5.2900000000000003E-2</v>
      </c>
    </row>
    <row r="57" spans="1:3">
      <c r="A57" s="127">
        <v>44851</v>
      </c>
      <c r="B57" s="128">
        <v>5.4800000000000001E-2</v>
      </c>
      <c r="C57" s="128">
        <v>1.6400000000000001E-2</v>
      </c>
    </row>
    <row r="58" spans="1:3">
      <c r="A58" s="127">
        <v>44821</v>
      </c>
      <c r="B58" s="128">
        <v>-3.4099999999999998E-2</v>
      </c>
      <c r="C58" s="128">
        <v>-2.3E-3</v>
      </c>
    </row>
    <row r="59" spans="1:3">
      <c r="A59" s="127">
        <v>44790</v>
      </c>
      <c r="B59" s="128">
        <v>4.3200000000000002E-2</v>
      </c>
      <c r="C59" s="128">
        <v>4.7000000000000002E-3</v>
      </c>
    </row>
    <row r="60" spans="1:3">
      <c r="A60" s="127">
        <v>44759</v>
      </c>
      <c r="B60" s="128">
        <v>4.4600000000000001E-2</v>
      </c>
      <c r="C60" s="128">
        <v>4.3999999999999997E-2</v>
      </c>
    </row>
    <row r="61" spans="1:3">
      <c r="A61" s="127">
        <v>44729</v>
      </c>
      <c r="B61" s="128">
        <v>-2.24E-2</v>
      </c>
      <c r="C61" s="128">
        <v>-1.21E-2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FC63-636B-4806-99E9-98FA4291CE03}">
  <dimension ref="A1:V12"/>
  <sheetViews>
    <sheetView zoomScale="85" zoomScaleNormal="85" workbookViewId="0">
      <selection activeCell="V12" sqref="V12"/>
    </sheetView>
  </sheetViews>
  <sheetFormatPr defaultRowHeight="15.75"/>
  <cols>
    <col min="1" max="1" width="40" bestFit="1" customWidth="1"/>
    <col min="16" max="16" width="49" bestFit="1" customWidth="1"/>
    <col min="21" max="21" width="27" customWidth="1"/>
    <col min="22" max="22" width="28.42578125" customWidth="1"/>
  </cols>
  <sheetData>
    <row r="1" spans="1:22">
      <c r="A1" s="12" t="s">
        <v>293</v>
      </c>
      <c r="B1" s="32">
        <v>0.11</v>
      </c>
      <c r="P1" s="2" t="s">
        <v>294</v>
      </c>
      <c r="Q1" s="2" t="s">
        <v>295</v>
      </c>
      <c r="R1" s="2" t="s">
        <v>296</v>
      </c>
      <c r="S1" s="2" t="s">
        <v>297</v>
      </c>
      <c r="T1" s="2" t="s">
        <v>298</v>
      </c>
      <c r="U1" s="2" t="s">
        <v>299</v>
      </c>
      <c r="V1" s="2" t="s">
        <v>300</v>
      </c>
    </row>
    <row r="2" spans="1:22">
      <c r="A2" s="12" t="s">
        <v>301</v>
      </c>
      <c r="B2" s="32">
        <v>0.06</v>
      </c>
      <c r="P2" s="12" t="s">
        <v>302</v>
      </c>
      <c r="Q2" s="2">
        <v>23000</v>
      </c>
      <c r="R2" s="2">
        <v>15150</v>
      </c>
      <c r="S2" s="2">
        <v>0</v>
      </c>
      <c r="T2" s="2">
        <v>38150</v>
      </c>
      <c r="U2" s="32">
        <f>(R2+S2)/Q2</f>
        <v>0.65869565217391302</v>
      </c>
      <c r="V2" s="32">
        <f>S2/(R2+Q2)</f>
        <v>0</v>
      </c>
    </row>
    <row r="3" spans="1:22">
      <c r="A3" s="12" t="s">
        <v>303</v>
      </c>
      <c r="B3" s="32">
        <v>0.06</v>
      </c>
      <c r="P3" s="12" t="s">
        <v>293</v>
      </c>
      <c r="Q3" s="2">
        <v>71150</v>
      </c>
      <c r="R3" s="2">
        <v>38600</v>
      </c>
      <c r="S3" s="2">
        <v>32610</v>
      </c>
      <c r="T3" s="2">
        <f>SUM(Q3:S3)</f>
        <v>142360</v>
      </c>
      <c r="U3" s="32">
        <f>(R3+S3)/Q3</f>
        <v>1.0008432888264231</v>
      </c>
      <c r="V3" s="32">
        <f>S3/(R3+Q3)</f>
        <v>0.29712984054669705</v>
      </c>
    </row>
    <row r="4" spans="1:22">
      <c r="A4" s="12" t="s">
        <v>304</v>
      </c>
      <c r="B4" s="32">
        <v>0.06</v>
      </c>
      <c r="P4" s="12" t="s">
        <v>301</v>
      </c>
      <c r="Q4" s="2">
        <v>27660</v>
      </c>
      <c r="R4" s="2">
        <v>4700</v>
      </c>
      <c r="S4" s="2">
        <v>17700</v>
      </c>
      <c r="T4" s="2">
        <f>SUM(Q4:S4)</f>
        <v>50060</v>
      </c>
      <c r="U4" s="32">
        <f>(R4+S4)/Q4</f>
        <v>0.8098336948662328</v>
      </c>
      <c r="V4" s="32">
        <f>S4/(R4+Q4)</f>
        <v>0.54697156983930784</v>
      </c>
    </row>
    <row r="5" spans="1:22">
      <c r="A5" s="12" t="s">
        <v>305</v>
      </c>
      <c r="B5" s="32">
        <v>0.05</v>
      </c>
      <c r="P5" s="12" t="s">
        <v>306</v>
      </c>
      <c r="Q5" s="2">
        <v>22350</v>
      </c>
      <c r="R5" s="2">
        <v>12050</v>
      </c>
      <c r="S5" s="2">
        <v>4950</v>
      </c>
      <c r="T5" s="2">
        <f>SUM(Q5:S5)</f>
        <v>39350</v>
      </c>
      <c r="U5" s="32">
        <f>(R5+S5)/Q5</f>
        <v>0.76062639821029088</v>
      </c>
      <c r="V5" s="32">
        <f>S5/(R5+Q5)</f>
        <v>0.14389534883720931</v>
      </c>
    </row>
    <row r="6" spans="1:22">
      <c r="A6" s="12" t="s">
        <v>307</v>
      </c>
      <c r="B6" s="32">
        <v>0.05</v>
      </c>
      <c r="P6" s="12" t="s">
        <v>308</v>
      </c>
      <c r="Q6" s="2">
        <v>18340</v>
      </c>
      <c r="R6" s="2">
        <v>12600</v>
      </c>
      <c r="S6" s="2">
        <v>16550</v>
      </c>
      <c r="T6" s="2">
        <f>SUM(Q6:S6)</f>
        <v>47490</v>
      </c>
      <c r="U6" s="32">
        <f>(R6+S6)/Q6</f>
        <v>1.589422028353326</v>
      </c>
      <c r="V6" s="32">
        <f>S6/(R6+Q6)</f>
        <v>0.53490627020038783</v>
      </c>
    </row>
    <row r="7" spans="1:22">
      <c r="A7" s="12" t="s">
        <v>302</v>
      </c>
      <c r="B7" s="32">
        <v>0.04</v>
      </c>
    </row>
    <row r="8" spans="1:22">
      <c r="A8" s="12" t="s">
        <v>308</v>
      </c>
      <c r="B8" s="32">
        <v>0.04</v>
      </c>
    </row>
    <row r="9" spans="1:22">
      <c r="A9" s="12" t="s">
        <v>306</v>
      </c>
      <c r="B9" s="32">
        <v>0.04</v>
      </c>
    </row>
    <row r="10" spans="1:22">
      <c r="A10" s="12" t="s">
        <v>309</v>
      </c>
      <c r="B10" s="32">
        <v>0.04</v>
      </c>
    </row>
    <row r="11" spans="1:22">
      <c r="A11" s="12" t="s">
        <v>310</v>
      </c>
      <c r="B11" s="32">
        <v>0.03</v>
      </c>
    </row>
    <row r="12" spans="1:22">
      <c r="A12" s="12" t="s">
        <v>311</v>
      </c>
      <c r="B12" s="32">
        <v>0.42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AB22-18B3-464A-AF53-5D036FE47E1E}">
  <dimension ref="A1:G36"/>
  <sheetViews>
    <sheetView topLeftCell="A13" zoomScale="85" zoomScaleNormal="85" workbookViewId="0">
      <selection activeCell="I20" sqref="I20"/>
    </sheetView>
  </sheetViews>
  <sheetFormatPr defaultRowHeight="15.75"/>
  <cols>
    <col min="1" max="1" width="8.28515625" bestFit="1" customWidth="1"/>
    <col min="2" max="2" width="47.42578125" bestFit="1" customWidth="1"/>
    <col min="3" max="3" width="12.140625" bestFit="1" customWidth="1"/>
    <col min="4" max="4" width="30.7109375" bestFit="1" customWidth="1"/>
    <col min="5" max="5" width="41.28515625" bestFit="1" customWidth="1"/>
    <col min="6" max="6" width="49.85546875" bestFit="1" customWidth="1"/>
    <col min="7" max="7" width="38" bestFit="1" customWidth="1"/>
  </cols>
  <sheetData>
    <row r="1" spans="1:7">
      <c r="A1" s="175" t="s">
        <v>312</v>
      </c>
      <c r="B1" s="176" t="s">
        <v>313</v>
      </c>
      <c r="C1" s="176" t="s">
        <v>314</v>
      </c>
      <c r="D1" s="176" t="s">
        <v>315</v>
      </c>
      <c r="E1" s="176" t="s">
        <v>316</v>
      </c>
      <c r="F1" s="176" t="s">
        <v>317</v>
      </c>
      <c r="G1" s="176" t="s">
        <v>318</v>
      </c>
    </row>
    <row r="2" spans="1:7">
      <c r="A2" s="176">
        <v>1</v>
      </c>
      <c r="B2" s="176" t="s">
        <v>319</v>
      </c>
      <c r="C2" s="176" t="s">
        <v>320</v>
      </c>
      <c r="D2" s="176" t="s">
        <v>321</v>
      </c>
      <c r="E2" s="176" t="s">
        <v>322</v>
      </c>
      <c r="F2" s="176" t="s">
        <v>323</v>
      </c>
      <c r="G2" s="176" t="s">
        <v>324</v>
      </c>
    </row>
    <row r="3" spans="1:7">
      <c r="A3" s="176">
        <v>2</v>
      </c>
      <c r="B3" s="176" t="s">
        <v>325</v>
      </c>
      <c r="C3" s="176" t="s">
        <v>320</v>
      </c>
      <c r="D3" s="176" t="s">
        <v>326</v>
      </c>
      <c r="E3" s="176" t="s">
        <v>327</v>
      </c>
      <c r="F3" s="176" t="s">
        <v>323</v>
      </c>
      <c r="G3" s="176" t="s">
        <v>324</v>
      </c>
    </row>
    <row r="4" spans="1:7">
      <c r="A4" s="176">
        <v>3</v>
      </c>
      <c r="B4" s="176" t="s">
        <v>328</v>
      </c>
      <c r="C4" s="176" t="s">
        <v>320</v>
      </c>
      <c r="D4" s="176" t="s">
        <v>321</v>
      </c>
      <c r="E4" s="176" t="s">
        <v>329</v>
      </c>
      <c r="F4" s="176" t="s">
        <v>323</v>
      </c>
      <c r="G4" s="176" t="s">
        <v>324</v>
      </c>
    </row>
    <row r="5" spans="1:7">
      <c r="A5" s="176">
        <v>4</v>
      </c>
      <c r="B5" s="176" t="s">
        <v>330</v>
      </c>
      <c r="C5" s="176" t="s">
        <v>320</v>
      </c>
      <c r="D5" s="176" t="s">
        <v>321</v>
      </c>
      <c r="E5" s="176" t="s">
        <v>331</v>
      </c>
      <c r="F5" s="176" t="s">
        <v>323</v>
      </c>
      <c r="G5" s="176" t="s">
        <v>324</v>
      </c>
    </row>
    <row r="6" spans="1:7">
      <c r="A6" s="176">
        <v>5</v>
      </c>
      <c r="B6" s="176" t="s">
        <v>332</v>
      </c>
      <c r="C6" s="176" t="s">
        <v>320</v>
      </c>
      <c r="D6" s="176" t="s">
        <v>333</v>
      </c>
      <c r="E6" s="176" t="s">
        <v>322</v>
      </c>
      <c r="F6" s="176" t="s">
        <v>323</v>
      </c>
      <c r="G6" s="176" t="s">
        <v>324</v>
      </c>
    </row>
    <row r="7" spans="1:7">
      <c r="A7" s="176">
        <v>6</v>
      </c>
      <c r="B7" s="176" t="s">
        <v>334</v>
      </c>
      <c r="C7" s="176" t="s">
        <v>320</v>
      </c>
      <c r="D7" s="176" t="s">
        <v>335</v>
      </c>
      <c r="E7" s="176" t="s">
        <v>336</v>
      </c>
      <c r="F7" s="176" t="s">
        <v>323</v>
      </c>
      <c r="G7" s="176" t="s">
        <v>324</v>
      </c>
    </row>
    <row r="8" spans="1:7">
      <c r="A8" s="176">
        <v>7</v>
      </c>
      <c r="B8" s="176" t="s">
        <v>337</v>
      </c>
      <c r="C8" s="176" t="s">
        <v>338</v>
      </c>
      <c r="D8" s="176" t="s">
        <v>326</v>
      </c>
      <c r="E8" s="176" t="s">
        <v>329</v>
      </c>
      <c r="F8" s="176" t="s">
        <v>339</v>
      </c>
      <c r="G8" s="176" t="s">
        <v>324</v>
      </c>
    </row>
    <row r="9" spans="1:7" ht="49.5" customHeight="1">
      <c r="A9" s="176">
        <v>8</v>
      </c>
      <c r="B9" s="176" t="s">
        <v>340</v>
      </c>
      <c r="C9" s="176" t="s">
        <v>341</v>
      </c>
      <c r="D9" s="177" t="s">
        <v>342</v>
      </c>
      <c r="E9" s="176" t="s">
        <v>327</v>
      </c>
      <c r="F9" s="176" t="s">
        <v>343</v>
      </c>
      <c r="G9" s="176" t="s">
        <v>324</v>
      </c>
    </row>
    <row r="10" spans="1:7">
      <c r="A10" s="176">
        <v>9</v>
      </c>
      <c r="B10" s="176" t="s">
        <v>344</v>
      </c>
      <c r="C10" s="176" t="s">
        <v>345</v>
      </c>
      <c r="D10" s="176" t="s">
        <v>346</v>
      </c>
      <c r="E10" s="176" t="s">
        <v>347</v>
      </c>
      <c r="F10" s="176" t="s">
        <v>348</v>
      </c>
      <c r="G10" s="176" t="s">
        <v>324</v>
      </c>
    </row>
    <row r="11" spans="1:7">
      <c r="A11" s="176">
        <v>10</v>
      </c>
      <c r="B11" s="176" t="s">
        <v>349</v>
      </c>
      <c r="C11" s="176" t="s">
        <v>345</v>
      </c>
      <c r="D11" s="176" t="s">
        <v>335</v>
      </c>
      <c r="E11" s="176" t="s">
        <v>350</v>
      </c>
      <c r="F11" s="176" t="s">
        <v>348</v>
      </c>
      <c r="G11" s="176" t="s">
        <v>324</v>
      </c>
    </row>
    <row r="12" spans="1:7" ht="90">
      <c r="A12" s="176">
        <v>11</v>
      </c>
      <c r="B12" s="176" t="s">
        <v>351</v>
      </c>
      <c r="C12" s="176" t="s">
        <v>352</v>
      </c>
      <c r="D12" s="177" t="s">
        <v>353</v>
      </c>
      <c r="E12" s="177" t="s">
        <v>354</v>
      </c>
      <c r="F12" s="176" t="s">
        <v>355</v>
      </c>
      <c r="G12" s="176" t="s">
        <v>356</v>
      </c>
    </row>
    <row r="13" spans="1:7">
      <c r="A13" s="176">
        <v>12</v>
      </c>
      <c r="B13" s="176" t="s">
        <v>357</v>
      </c>
      <c r="C13" s="176" t="s">
        <v>358</v>
      </c>
      <c r="D13" s="176" t="s">
        <v>359</v>
      </c>
      <c r="E13" s="176" t="s">
        <v>347</v>
      </c>
      <c r="F13" s="176" t="s">
        <v>360</v>
      </c>
      <c r="G13" s="176" t="s">
        <v>324</v>
      </c>
    </row>
    <row r="14" spans="1:7" ht="90">
      <c r="A14" s="176">
        <v>13</v>
      </c>
      <c r="B14" s="176" t="s">
        <v>361</v>
      </c>
      <c r="C14" s="176" t="s">
        <v>362</v>
      </c>
      <c r="D14" s="177" t="s">
        <v>363</v>
      </c>
      <c r="E14" s="177" t="s">
        <v>364</v>
      </c>
      <c r="F14" s="176" t="s">
        <v>365</v>
      </c>
      <c r="G14" s="176" t="s">
        <v>324</v>
      </c>
    </row>
    <row r="15" spans="1:7" ht="90">
      <c r="A15" s="176">
        <v>14</v>
      </c>
      <c r="B15" s="176" t="s">
        <v>366</v>
      </c>
      <c r="C15" s="176" t="s">
        <v>367</v>
      </c>
      <c r="D15" s="177" t="s">
        <v>368</v>
      </c>
      <c r="E15" s="177" t="s">
        <v>369</v>
      </c>
      <c r="F15" s="176" t="s">
        <v>370</v>
      </c>
      <c r="G15" s="176" t="s">
        <v>356</v>
      </c>
    </row>
    <row r="16" spans="1:7" ht="90">
      <c r="A16" s="176">
        <v>15</v>
      </c>
      <c r="B16" s="176" t="s">
        <v>371</v>
      </c>
      <c r="C16" s="176" t="s">
        <v>372</v>
      </c>
      <c r="D16" s="177" t="s">
        <v>373</v>
      </c>
      <c r="E16" s="176" t="s">
        <v>347</v>
      </c>
      <c r="F16" s="176" t="s">
        <v>374</v>
      </c>
      <c r="G16" s="176" t="s">
        <v>356</v>
      </c>
    </row>
    <row r="17" spans="1:7">
      <c r="A17" s="176">
        <v>16</v>
      </c>
      <c r="B17" s="176" t="s">
        <v>375</v>
      </c>
      <c r="C17" s="176" t="s">
        <v>376</v>
      </c>
      <c r="D17" s="176" t="s">
        <v>359</v>
      </c>
      <c r="E17" s="176" t="s">
        <v>377</v>
      </c>
      <c r="F17" s="176" t="s">
        <v>323</v>
      </c>
      <c r="G17" s="176" t="s">
        <v>377</v>
      </c>
    </row>
    <row r="18" spans="1:7" ht="90">
      <c r="A18" s="176">
        <v>17</v>
      </c>
      <c r="B18" s="176" t="s">
        <v>378</v>
      </c>
      <c r="C18" s="176" t="s">
        <v>379</v>
      </c>
      <c r="D18" s="177" t="s">
        <v>380</v>
      </c>
      <c r="E18" s="176" t="s">
        <v>381</v>
      </c>
      <c r="F18" s="176" t="s">
        <v>382</v>
      </c>
      <c r="G18" s="176" t="s">
        <v>356</v>
      </c>
    </row>
    <row r="19" spans="1:7" ht="90">
      <c r="A19" s="176">
        <v>18</v>
      </c>
      <c r="B19" s="176" t="s">
        <v>383</v>
      </c>
      <c r="C19" s="176" t="s">
        <v>384</v>
      </c>
      <c r="D19" s="177" t="s">
        <v>373</v>
      </c>
      <c r="E19" s="176" t="s">
        <v>347</v>
      </c>
      <c r="F19" s="176" t="s">
        <v>385</v>
      </c>
      <c r="G19" s="176" t="s">
        <v>324</v>
      </c>
    </row>
    <row r="20" spans="1:7" ht="90">
      <c r="A20" s="176">
        <v>19</v>
      </c>
      <c r="B20" s="176" t="s">
        <v>386</v>
      </c>
      <c r="C20" s="176" t="s">
        <v>387</v>
      </c>
      <c r="D20" s="177" t="s">
        <v>388</v>
      </c>
      <c r="E20" s="177" t="s">
        <v>389</v>
      </c>
      <c r="F20" s="176" t="s">
        <v>390</v>
      </c>
      <c r="G20" s="176" t="s">
        <v>324</v>
      </c>
    </row>
    <row r="21" spans="1:7" ht="90">
      <c r="A21" s="176">
        <v>20</v>
      </c>
      <c r="B21" s="176" t="s">
        <v>391</v>
      </c>
      <c r="C21" s="176" t="s">
        <v>392</v>
      </c>
      <c r="D21" s="177" t="s">
        <v>373</v>
      </c>
      <c r="E21" s="176" t="s">
        <v>393</v>
      </c>
      <c r="F21" s="176" t="s">
        <v>394</v>
      </c>
      <c r="G21" s="176" t="s">
        <v>356</v>
      </c>
    </row>
    <row r="22" spans="1:7" ht="90">
      <c r="A22" s="176">
        <v>21</v>
      </c>
      <c r="B22" s="176" t="s">
        <v>395</v>
      </c>
      <c r="C22" s="176" t="s">
        <v>396</v>
      </c>
      <c r="D22" s="177" t="s">
        <v>397</v>
      </c>
      <c r="E22" s="177" t="s">
        <v>398</v>
      </c>
      <c r="F22" s="176" t="s">
        <v>399</v>
      </c>
      <c r="G22" s="176" t="s">
        <v>324</v>
      </c>
    </row>
    <row r="23" spans="1:7" ht="90">
      <c r="A23" s="176">
        <v>22</v>
      </c>
      <c r="B23" s="176" t="s">
        <v>400</v>
      </c>
      <c r="C23" s="177" t="s">
        <v>401</v>
      </c>
      <c r="D23" s="177" t="s">
        <v>388</v>
      </c>
      <c r="E23" s="176" t="s">
        <v>393</v>
      </c>
      <c r="F23" s="176" t="s">
        <v>402</v>
      </c>
      <c r="G23" s="176" t="s">
        <v>377</v>
      </c>
    </row>
    <row r="24" spans="1:7">
      <c r="A24" s="176">
        <v>23</v>
      </c>
      <c r="B24" s="176" t="s">
        <v>403</v>
      </c>
      <c r="C24" s="176" t="s">
        <v>404</v>
      </c>
      <c r="D24" s="176" t="s">
        <v>405</v>
      </c>
      <c r="E24" s="176" t="s">
        <v>406</v>
      </c>
      <c r="F24" s="176" t="s">
        <v>407</v>
      </c>
      <c r="G24" s="176" t="s">
        <v>408</v>
      </c>
    </row>
    <row r="25" spans="1:7" ht="90">
      <c r="A25" s="176">
        <v>24</v>
      </c>
      <c r="B25" s="176" t="s">
        <v>409</v>
      </c>
      <c r="C25" s="176" t="s">
        <v>410</v>
      </c>
      <c r="D25" s="177" t="s">
        <v>411</v>
      </c>
      <c r="E25" s="177" t="s">
        <v>412</v>
      </c>
      <c r="F25" s="176" t="s">
        <v>413</v>
      </c>
      <c r="G25" s="176" t="s">
        <v>356</v>
      </c>
    </row>
    <row r="26" spans="1:7">
      <c r="A26" s="176">
        <v>25</v>
      </c>
      <c r="B26" s="176" t="s">
        <v>414</v>
      </c>
      <c r="C26" s="176" t="s">
        <v>415</v>
      </c>
      <c r="D26" s="176" t="s">
        <v>416</v>
      </c>
      <c r="E26" s="176" t="s">
        <v>417</v>
      </c>
      <c r="F26" s="176" t="s">
        <v>418</v>
      </c>
      <c r="G26" s="176" t="s">
        <v>408</v>
      </c>
    </row>
    <row r="27" spans="1:7" ht="90">
      <c r="A27" s="176">
        <v>26</v>
      </c>
      <c r="B27" s="176" t="s">
        <v>419</v>
      </c>
      <c r="C27" s="176" t="s">
        <v>420</v>
      </c>
      <c r="D27" s="177" t="s">
        <v>421</v>
      </c>
      <c r="E27" s="177" t="s">
        <v>422</v>
      </c>
      <c r="F27" s="176" t="s">
        <v>423</v>
      </c>
      <c r="G27" s="176" t="s">
        <v>356</v>
      </c>
    </row>
    <row r="28" spans="1:7" ht="90">
      <c r="A28" s="176">
        <v>27</v>
      </c>
      <c r="B28" s="176" t="s">
        <v>424</v>
      </c>
      <c r="C28" s="176" t="s">
        <v>425</v>
      </c>
      <c r="D28" s="177" t="s">
        <v>426</v>
      </c>
      <c r="E28" s="177" t="s">
        <v>427</v>
      </c>
      <c r="F28" s="176" t="s">
        <v>428</v>
      </c>
      <c r="G28" s="176" t="s">
        <v>356</v>
      </c>
    </row>
    <row r="29" spans="1:7" ht="90">
      <c r="A29" s="176">
        <v>28</v>
      </c>
      <c r="B29" s="176" t="s">
        <v>429</v>
      </c>
      <c r="C29" s="176" t="s">
        <v>430</v>
      </c>
      <c r="D29" s="177" t="s">
        <v>431</v>
      </c>
      <c r="E29" s="176" t="s">
        <v>417</v>
      </c>
      <c r="F29" s="176" t="s">
        <v>432</v>
      </c>
      <c r="G29" s="176" t="s">
        <v>356</v>
      </c>
    </row>
    <row r="30" spans="1:7" ht="90">
      <c r="A30" s="176">
        <v>29</v>
      </c>
      <c r="B30" s="176" t="s">
        <v>433</v>
      </c>
      <c r="C30" s="176" t="s">
        <v>434</v>
      </c>
      <c r="D30" s="177" t="s">
        <v>431</v>
      </c>
      <c r="E30" s="176" t="s">
        <v>347</v>
      </c>
      <c r="F30" s="176" t="s">
        <v>435</v>
      </c>
      <c r="G30" s="176" t="s">
        <v>324</v>
      </c>
    </row>
    <row r="31" spans="1:7">
      <c r="A31" s="176">
        <v>30</v>
      </c>
      <c r="B31" s="176" t="s">
        <v>436</v>
      </c>
      <c r="C31" s="176" t="s">
        <v>437</v>
      </c>
      <c r="D31" s="176" t="s">
        <v>438</v>
      </c>
      <c r="E31" s="176" t="s">
        <v>417</v>
      </c>
      <c r="F31" s="176" t="s">
        <v>439</v>
      </c>
      <c r="G31" s="176" t="s">
        <v>377</v>
      </c>
    </row>
    <row r="32" spans="1:7" ht="90">
      <c r="A32" s="176">
        <v>31</v>
      </c>
      <c r="B32" s="176" t="s">
        <v>440</v>
      </c>
      <c r="C32" s="176" t="s">
        <v>441</v>
      </c>
      <c r="D32" s="177" t="s">
        <v>411</v>
      </c>
      <c r="E32" s="177" t="s">
        <v>398</v>
      </c>
      <c r="F32" s="176" t="s">
        <v>442</v>
      </c>
      <c r="G32" s="176" t="s">
        <v>408</v>
      </c>
    </row>
    <row r="33" spans="1:7" ht="90">
      <c r="A33" s="176">
        <v>32</v>
      </c>
      <c r="B33" s="176" t="s">
        <v>443</v>
      </c>
      <c r="C33" s="176" t="s">
        <v>444</v>
      </c>
      <c r="D33" s="177" t="s">
        <v>431</v>
      </c>
      <c r="E33" s="177" t="s">
        <v>445</v>
      </c>
      <c r="F33" s="176" t="s">
        <v>446</v>
      </c>
      <c r="G33" s="176" t="s">
        <v>377</v>
      </c>
    </row>
    <row r="34" spans="1:7" ht="90">
      <c r="A34" s="176">
        <v>33</v>
      </c>
      <c r="B34" s="176" t="s">
        <v>447</v>
      </c>
      <c r="C34" s="176" t="s">
        <v>448</v>
      </c>
      <c r="D34" s="177" t="s">
        <v>449</v>
      </c>
      <c r="E34" s="177" t="s">
        <v>450</v>
      </c>
      <c r="F34" s="176" t="s">
        <v>451</v>
      </c>
      <c r="G34" s="176" t="s">
        <v>452</v>
      </c>
    </row>
    <row r="35" spans="1:7" ht="90">
      <c r="A35" s="176">
        <v>34</v>
      </c>
      <c r="B35" s="176" t="s">
        <v>453</v>
      </c>
      <c r="C35" s="176" t="s">
        <v>454</v>
      </c>
      <c r="D35" s="177" t="s">
        <v>426</v>
      </c>
      <c r="E35" s="177" t="s">
        <v>427</v>
      </c>
      <c r="F35" s="176" t="s">
        <v>455</v>
      </c>
      <c r="G35" s="176" t="s">
        <v>377</v>
      </c>
    </row>
    <row r="36" spans="1:7" ht="90">
      <c r="A36" s="176">
        <v>35</v>
      </c>
      <c r="B36" s="176" t="s">
        <v>456</v>
      </c>
      <c r="C36" s="176" t="s">
        <v>457</v>
      </c>
      <c r="D36" s="177" t="s">
        <v>458</v>
      </c>
      <c r="E36" s="176" t="s">
        <v>393</v>
      </c>
      <c r="F36" s="176" t="s">
        <v>402</v>
      </c>
      <c r="G36" s="176" t="s">
        <v>459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Chandler</dc:creator>
  <cp:keywords/>
  <dc:description/>
  <cp:lastModifiedBy/>
  <cp:revision/>
  <dcterms:created xsi:type="dcterms:W3CDTF">2015-06-05T18:17:20Z</dcterms:created>
  <dcterms:modified xsi:type="dcterms:W3CDTF">2022-05-16T13:46:30Z</dcterms:modified>
  <cp:category/>
  <cp:contentStatus/>
</cp:coreProperties>
</file>