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sivyer/Documents/Spacecraft Propulsion Coursework/Analysis/"/>
    </mc:Choice>
  </mc:AlternateContent>
  <xr:revisionPtr revIDLastSave="0" documentId="13_ncr:1_{F7EF0B3B-7D18-374C-90C5-F2E472C2088F}" xr6:coauthVersionLast="45" xr6:coauthVersionMax="45" xr10:uidLastSave="{00000000-0000-0000-0000-000000000000}"/>
  <bookViews>
    <workbookView xWindow="0" yWindow="460" windowWidth="28800" windowHeight="17540" xr2:uid="{7761CB72-7AC2-A04A-9559-241A0FDFE836}"/>
  </bookViews>
  <sheets>
    <sheet name="Laser Data Thrust" sheetId="1" r:id="rId1"/>
    <sheet name="Graph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Z8" i="1" l="1"/>
  <c r="BA8" i="1"/>
  <c r="BC8" i="1"/>
  <c r="AZ9" i="1"/>
  <c r="BA9" i="1"/>
  <c r="BC9" i="1"/>
  <c r="AZ10" i="1"/>
  <c r="BA10" i="1"/>
  <c r="BC10" i="1"/>
  <c r="AZ14" i="1"/>
  <c r="BA14" i="1"/>
  <c r="BC14" i="1"/>
  <c r="C15" i="1" l="1"/>
  <c r="M5" i="1"/>
  <c r="L5" i="1" l="1"/>
  <c r="L4" i="1"/>
  <c r="C19" i="1"/>
  <c r="M3" i="1" l="1"/>
  <c r="K38" i="1" l="1"/>
  <c r="U38" i="1"/>
  <c r="L38" i="1"/>
  <c r="M38" i="1"/>
  <c r="L30" i="1"/>
  <c r="M29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" i="1"/>
  <c r="L3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1" i="1"/>
  <c r="L32" i="1"/>
  <c r="L33" i="1"/>
  <c r="L34" i="1"/>
  <c r="L35" i="1"/>
  <c r="L36" i="1"/>
  <c r="L37" i="1"/>
  <c r="B26" i="1"/>
  <c r="C26" i="1"/>
  <c r="B28" i="1"/>
  <c r="C28" i="1"/>
  <c r="M4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30" i="1"/>
  <c r="M31" i="1"/>
  <c r="M32" i="1"/>
  <c r="M33" i="1"/>
  <c r="M34" i="1"/>
  <c r="M35" i="1"/>
  <c r="M36" i="1"/>
  <c r="M37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AB22" i="1" s="1"/>
  <c r="U23" i="1"/>
  <c r="U24" i="1"/>
  <c r="U25" i="1"/>
  <c r="U26" i="1"/>
  <c r="AB26" i="1" s="1"/>
  <c r="U27" i="1"/>
  <c r="U28" i="1"/>
  <c r="AB28" i="1" s="1"/>
  <c r="U29" i="1"/>
  <c r="U30" i="1"/>
  <c r="U31" i="1"/>
  <c r="U32" i="1"/>
  <c r="U33" i="1"/>
  <c r="U34" i="1"/>
  <c r="AB34" i="1" s="1"/>
  <c r="U35" i="1"/>
  <c r="U36" i="1"/>
  <c r="U37" i="1"/>
  <c r="U3" i="1"/>
  <c r="B31" i="1"/>
  <c r="C31" i="1"/>
  <c r="B34" i="1"/>
  <c r="C34" i="1"/>
  <c r="B37" i="1"/>
  <c r="C37" i="1"/>
  <c r="C18" i="1"/>
  <c r="AZ19" i="1" l="1"/>
  <c r="BA19" i="1"/>
  <c r="BA11" i="1"/>
  <c r="BA13" i="1" s="1"/>
  <c r="BC11" i="1"/>
  <c r="BC13" i="1" s="1"/>
  <c r="BC12" i="1"/>
  <c r="BA12" i="1"/>
  <c r="AZ12" i="1"/>
  <c r="AZ11" i="1"/>
  <c r="AZ13" i="1" s="1"/>
  <c r="BC19" i="1"/>
  <c r="W33" i="1"/>
  <c r="V33" i="1"/>
  <c r="W21" i="1"/>
  <c r="V21" i="1"/>
  <c r="V9" i="1"/>
  <c r="W9" i="1"/>
  <c r="W36" i="1"/>
  <c r="V36" i="1"/>
  <c r="W24" i="1"/>
  <c r="V24" i="1"/>
  <c r="V3" i="1"/>
  <c r="W3" i="1"/>
  <c r="AB30" i="1"/>
  <c r="W30" i="1"/>
  <c r="V30" i="1"/>
  <c r="W18" i="1"/>
  <c r="V18" i="1"/>
  <c r="V6" i="1"/>
  <c r="W6" i="1"/>
  <c r="W12" i="1"/>
  <c r="V12" i="1"/>
  <c r="W27" i="1"/>
  <c r="V27" i="1"/>
  <c r="W15" i="1"/>
  <c r="V15" i="1"/>
  <c r="O18" i="1"/>
  <c r="O15" i="1"/>
  <c r="N15" i="1"/>
  <c r="R15" i="1" s="1"/>
  <c r="N17" i="1"/>
  <c r="R17" i="1" s="1"/>
  <c r="O16" i="1"/>
  <c r="AB36" i="1"/>
  <c r="AB32" i="1"/>
  <c r="AB24" i="1"/>
  <c r="AB19" i="1"/>
  <c r="AB15" i="1"/>
  <c r="AB11" i="1"/>
  <c r="AB7" i="1"/>
  <c r="AB18" i="1"/>
  <c r="AB14" i="1"/>
  <c r="AB10" i="1"/>
  <c r="AB6" i="1"/>
  <c r="AB17" i="1"/>
  <c r="AB13" i="1"/>
  <c r="AB9" i="1"/>
  <c r="AB5" i="1"/>
  <c r="O21" i="1"/>
  <c r="AB29" i="1"/>
  <c r="AB25" i="1"/>
  <c r="AB20" i="1"/>
  <c r="AB16" i="1"/>
  <c r="AB12" i="1"/>
  <c r="AB8" i="1"/>
  <c r="AB4" i="1"/>
  <c r="AB37" i="1"/>
  <c r="AB33" i="1"/>
  <c r="AB21" i="1"/>
  <c r="AB3" i="1"/>
  <c r="AB35" i="1"/>
  <c r="AB31" i="1"/>
  <c r="AB27" i="1"/>
  <c r="AB23" i="1"/>
  <c r="AC7" i="1"/>
  <c r="B38" i="1"/>
  <c r="AC5" i="1" s="1"/>
  <c r="C38" i="1"/>
  <c r="AC38" i="1" s="1"/>
  <c r="O38" i="1"/>
  <c r="X38" i="1" s="1"/>
  <c r="N38" i="1"/>
  <c r="R38" i="1" s="1"/>
  <c r="AB38" i="1"/>
  <c r="N9" i="1"/>
  <c r="R9" i="1" s="1"/>
  <c r="N6" i="1"/>
  <c r="R6" i="1" s="1"/>
  <c r="N35" i="1"/>
  <c r="R35" i="1" s="1"/>
  <c r="N23" i="1"/>
  <c r="R23" i="1" s="1"/>
  <c r="N31" i="1"/>
  <c r="R31" i="1" s="1"/>
  <c r="N27" i="1"/>
  <c r="R27" i="1" s="1"/>
  <c r="N34" i="1"/>
  <c r="R34" i="1" s="1"/>
  <c r="N30" i="1"/>
  <c r="R30" i="1" s="1"/>
  <c r="N26" i="1"/>
  <c r="R26" i="1" s="1"/>
  <c r="N22" i="1"/>
  <c r="R22" i="1" s="1"/>
  <c r="N16" i="1"/>
  <c r="R16" i="1" s="1"/>
  <c r="N8" i="1"/>
  <c r="R8" i="1" s="1"/>
  <c r="N18" i="1"/>
  <c r="R18" i="1" s="1"/>
  <c r="N10" i="1"/>
  <c r="R10" i="1" s="1"/>
  <c r="O3" i="1"/>
  <c r="N37" i="1"/>
  <c r="R37" i="1" s="1"/>
  <c r="N33" i="1"/>
  <c r="R33" i="1" s="1"/>
  <c r="N29" i="1"/>
  <c r="R29" i="1" s="1"/>
  <c r="N25" i="1"/>
  <c r="R25" i="1" s="1"/>
  <c r="N21" i="1"/>
  <c r="R21" i="1" s="1"/>
  <c r="N13" i="1"/>
  <c r="R13" i="1" s="1"/>
  <c r="N5" i="1"/>
  <c r="R5" i="1" s="1"/>
  <c r="N7" i="1"/>
  <c r="R7" i="1" s="1"/>
  <c r="N3" i="1"/>
  <c r="R3" i="1" s="1"/>
  <c r="N19" i="1"/>
  <c r="R19" i="1" s="1"/>
  <c r="N11" i="1"/>
  <c r="R11" i="1" s="1"/>
  <c r="N36" i="1"/>
  <c r="R36" i="1" s="1"/>
  <c r="N32" i="1"/>
  <c r="R32" i="1" s="1"/>
  <c r="N28" i="1"/>
  <c r="R28" i="1" s="1"/>
  <c r="N24" i="1"/>
  <c r="R24" i="1" s="1"/>
  <c r="N20" i="1"/>
  <c r="R20" i="1" s="1"/>
  <c r="N12" i="1"/>
  <c r="R12" i="1" s="1"/>
  <c r="N4" i="1"/>
  <c r="R4" i="1" s="1"/>
  <c r="N14" i="1"/>
  <c r="R14" i="1" s="1"/>
  <c r="O37" i="1"/>
  <c r="O6" i="1"/>
  <c r="O36" i="1"/>
  <c r="O32" i="1"/>
  <c r="O28" i="1"/>
  <c r="O24" i="1"/>
  <c r="O20" i="1"/>
  <c r="Y20" i="1" s="1"/>
  <c r="O12" i="1"/>
  <c r="O8" i="1"/>
  <c r="Y8" i="1" s="1"/>
  <c r="O4" i="1"/>
  <c r="Y4" i="1" s="1"/>
  <c r="O33" i="1"/>
  <c r="O29" i="1"/>
  <c r="O25" i="1"/>
  <c r="O17" i="1"/>
  <c r="Y17" i="1" s="1"/>
  <c r="O13" i="1"/>
  <c r="O9" i="1"/>
  <c r="O5" i="1"/>
  <c r="Y5" i="1" s="1"/>
  <c r="O35" i="1"/>
  <c r="O31" i="1"/>
  <c r="O27" i="1"/>
  <c r="O23" i="1"/>
  <c r="O19" i="1"/>
  <c r="Y19" i="1" s="1"/>
  <c r="O11" i="1"/>
  <c r="O7" i="1"/>
  <c r="Y7" i="1" s="1"/>
  <c r="O34" i="1"/>
  <c r="O30" i="1"/>
  <c r="O26" i="1"/>
  <c r="O22" i="1"/>
  <c r="Y18" i="1"/>
  <c r="O14" i="1"/>
  <c r="O10" i="1"/>
  <c r="BA17" i="1" l="1"/>
  <c r="BA18" i="1"/>
  <c r="P30" i="1"/>
  <c r="Q30" i="1"/>
  <c r="P24" i="1"/>
  <c r="Q24" i="1"/>
  <c r="Y6" i="1"/>
  <c r="P6" i="1"/>
  <c r="Q6" i="1"/>
  <c r="T12" i="1"/>
  <c r="S12" i="1"/>
  <c r="Z3" i="1"/>
  <c r="T3" i="1"/>
  <c r="S3" i="1"/>
  <c r="T21" i="1"/>
  <c r="S21" i="1"/>
  <c r="T30" i="1"/>
  <c r="S30" i="1"/>
  <c r="Q15" i="1"/>
  <c r="P15" i="1"/>
  <c r="BC16" i="1"/>
  <c r="BC15" i="1"/>
  <c r="S36" i="1"/>
  <c r="T36" i="1"/>
  <c r="Q3" i="1"/>
  <c r="P3" i="1"/>
  <c r="Q21" i="1"/>
  <c r="P21" i="1"/>
  <c r="P18" i="1"/>
  <c r="Q18" i="1"/>
  <c r="AZ17" i="1"/>
  <c r="AZ18" i="1"/>
  <c r="BC17" i="1"/>
  <c r="BC18" i="1"/>
  <c r="Q9" i="1"/>
  <c r="P9" i="1"/>
  <c r="P12" i="1"/>
  <c r="Q12" i="1"/>
  <c r="S24" i="1"/>
  <c r="T24" i="1"/>
  <c r="T27" i="1"/>
  <c r="S27" i="1"/>
  <c r="S6" i="1"/>
  <c r="T6" i="1"/>
  <c r="AZ16" i="1"/>
  <c r="AZ15" i="1"/>
  <c r="AZ20" i="1"/>
  <c r="Q27" i="1"/>
  <c r="P27" i="1"/>
  <c r="Q33" i="1"/>
  <c r="P33" i="1"/>
  <c r="Y36" i="1"/>
  <c r="P36" i="1"/>
  <c r="Q36" i="1"/>
  <c r="T33" i="1"/>
  <c r="S33" i="1"/>
  <c r="S18" i="1"/>
  <c r="T18" i="1"/>
  <c r="T9" i="1"/>
  <c r="S9" i="1"/>
  <c r="T15" i="1"/>
  <c r="S15" i="1"/>
  <c r="BC20" i="1"/>
  <c r="BA15" i="1"/>
  <c r="BA16" i="1"/>
  <c r="BA20" i="1"/>
  <c r="Y35" i="1"/>
  <c r="Y34" i="1"/>
  <c r="W39" i="1"/>
  <c r="AV6" i="1" s="1"/>
  <c r="AC18" i="1"/>
  <c r="AC9" i="1"/>
  <c r="AC29" i="1"/>
  <c r="Y26" i="1"/>
  <c r="Y27" i="1"/>
  <c r="Y29" i="1"/>
  <c r="Y12" i="1"/>
  <c r="Y28" i="1"/>
  <c r="Y37" i="1"/>
  <c r="AC3" i="1"/>
  <c r="AC6" i="1"/>
  <c r="AC4" i="1"/>
  <c r="AC27" i="1"/>
  <c r="Y22" i="1"/>
  <c r="Y23" i="1"/>
  <c r="Y25" i="1"/>
  <c r="Y24" i="1"/>
  <c r="Y10" i="1"/>
  <c r="Y11" i="1"/>
  <c r="Y9" i="1"/>
  <c r="Y14" i="1"/>
  <c r="Y30" i="1"/>
  <c r="Y15" i="1"/>
  <c r="Y31" i="1"/>
  <c r="Y13" i="1"/>
  <c r="Y33" i="1"/>
  <c r="Y16" i="1"/>
  <c r="Y32" i="1"/>
  <c r="AC10" i="1"/>
  <c r="AC26" i="1"/>
  <c r="AC28" i="1"/>
  <c r="Y38" i="1"/>
  <c r="AC33" i="1"/>
  <c r="AC14" i="1"/>
  <c r="AC12" i="1"/>
  <c r="AC30" i="1"/>
  <c r="AC11" i="1"/>
  <c r="AC8" i="1"/>
  <c r="AC31" i="1"/>
  <c r="AC32" i="1"/>
  <c r="AC13" i="1"/>
  <c r="AC37" i="1"/>
  <c r="AC20" i="1"/>
  <c r="AC34" i="1"/>
  <c r="AC15" i="1"/>
  <c r="AC16" i="1"/>
  <c r="AC35" i="1"/>
  <c r="AC36" i="1"/>
  <c r="AC17" i="1"/>
  <c r="AC25" i="1"/>
  <c r="AC22" i="1"/>
  <c r="AC21" i="1"/>
  <c r="AC19" i="1"/>
  <c r="AC23" i="1"/>
  <c r="AC24" i="1"/>
  <c r="Y21" i="1"/>
  <c r="AA38" i="1"/>
  <c r="Z38" i="1"/>
  <c r="AA20" i="1"/>
  <c r="Z20" i="1"/>
  <c r="Z7" i="1"/>
  <c r="AA7" i="1"/>
  <c r="Z29" i="1"/>
  <c r="AA29" i="1"/>
  <c r="AA16" i="1"/>
  <c r="Z16" i="1"/>
  <c r="Z35" i="1"/>
  <c r="AA35" i="1"/>
  <c r="AA24" i="1"/>
  <c r="Z24" i="1"/>
  <c r="Z15" i="1"/>
  <c r="AA15" i="1"/>
  <c r="Z13" i="1"/>
  <c r="AA13" i="1"/>
  <c r="AA10" i="1"/>
  <c r="Z10" i="1"/>
  <c r="Z27" i="1"/>
  <c r="AA27" i="1"/>
  <c r="AA4" i="1"/>
  <c r="Z4" i="1"/>
  <c r="AA28" i="1"/>
  <c r="Z28" i="1"/>
  <c r="Z19" i="1"/>
  <c r="AA19" i="1"/>
  <c r="AA26" i="1"/>
  <c r="Z26" i="1"/>
  <c r="Z21" i="1"/>
  <c r="AA21" i="1"/>
  <c r="Z37" i="1"/>
  <c r="AA37" i="1"/>
  <c r="AA18" i="1"/>
  <c r="Z18" i="1"/>
  <c r="Z31" i="1"/>
  <c r="AA31" i="1"/>
  <c r="AA36" i="1"/>
  <c r="Z36" i="1"/>
  <c r="Z5" i="1"/>
  <c r="AA5" i="1"/>
  <c r="Y3" i="1"/>
  <c r="X3" i="1"/>
  <c r="AA34" i="1"/>
  <c r="Z34" i="1"/>
  <c r="AA14" i="1"/>
  <c r="Z14" i="1"/>
  <c r="Z11" i="1"/>
  <c r="AA11" i="1"/>
  <c r="AA33" i="1"/>
  <c r="Z33" i="1"/>
  <c r="AA22" i="1"/>
  <c r="Z22" i="1"/>
  <c r="AA6" i="1"/>
  <c r="Z6" i="1"/>
  <c r="AA12" i="1"/>
  <c r="Z12" i="1"/>
  <c r="AA32" i="1"/>
  <c r="Z32" i="1"/>
  <c r="AA3" i="1"/>
  <c r="AA9" i="1"/>
  <c r="Z9" i="1"/>
  <c r="Z25" i="1"/>
  <c r="AA25" i="1"/>
  <c r="AA17" i="1"/>
  <c r="Z17" i="1"/>
  <c r="AA8" i="1"/>
  <c r="Z8" i="1"/>
  <c r="AA30" i="1"/>
  <c r="Z30" i="1"/>
  <c r="Z23" i="1"/>
  <c r="AA23" i="1"/>
  <c r="X30" i="1"/>
  <c r="X31" i="1"/>
  <c r="X29" i="1"/>
  <c r="X28" i="1"/>
  <c r="X37" i="1"/>
  <c r="X34" i="1"/>
  <c r="X35" i="1"/>
  <c r="X17" i="1"/>
  <c r="X16" i="1"/>
  <c r="X22" i="1"/>
  <c r="X23" i="1"/>
  <c r="X21" i="1"/>
  <c r="X20" i="1"/>
  <c r="X36" i="1"/>
  <c r="X14" i="1"/>
  <c r="X15" i="1"/>
  <c r="X13" i="1"/>
  <c r="X12" i="1"/>
  <c r="X18" i="1"/>
  <c r="X19" i="1"/>
  <c r="X33" i="1"/>
  <c r="X32" i="1"/>
  <c r="X7" i="1"/>
  <c r="X5" i="1"/>
  <c r="X4" i="1"/>
  <c r="X10" i="1"/>
  <c r="X26" i="1"/>
  <c r="X11" i="1"/>
  <c r="X27" i="1"/>
  <c r="X9" i="1"/>
  <c r="X25" i="1"/>
  <c r="X8" i="1"/>
  <c r="X24" i="1"/>
  <c r="X6" i="1"/>
  <c r="Q39" i="1" l="1"/>
  <c r="AV4" i="1" s="1"/>
  <c r="T39" i="1"/>
  <c r="AV5" i="1" s="1"/>
</calcChain>
</file>

<file path=xl/sharedStrings.xml><?xml version="1.0" encoding="utf-8"?>
<sst xmlns="http://schemas.openxmlformats.org/spreadsheetml/2006/main" count="154" uniqueCount="99">
  <si>
    <t>Laser Data Number</t>
  </si>
  <si>
    <t>Parameter</t>
  </si>
  <si>
    <t>Value</t>
  </si>
  <si>
    <t>ydiff (mm)</t>
  </si>
  <si>
    <t>Proportion of doubly charged ions</t>
  </si>
  <si>
    <t>Parameters</t>
  </si>
  <si>
    <t>Units</t>
  </si>
  <si>
    <t>Mass of Krypton ion</t>
  </si>
  <si>
    <t>Plasma potential</t>
  </si>
  <si>
    <t>Potential of cathode below ground</t>
  </si>
  <si>
    <t xml:space="preserve">Mass utilization efficiency </t>
  </si>
  <si>
    <t>kg</t>
  </si>
  <si>
    <t>C</t>
  </si>
  <si>
    <t>mm</t>
  </si>
  <si>
    <t>eV</t>
  </si>
  <si>
    <t>V</t>
  </si>
  <si>
    <t>Electron temperature in CHT</t>
  </si>
  <si>
    <t>Diameter of CHT ceramic channel</t>
  </si>
  <si>
    <t>Beam current fraction in discharge current</t>
  </si>
  <si>
    <t>Mass of an electron</t>
  </si>
  <si>
    <t>Fundamental charge</t>
  </si>
  <si>
    <t>J/K</t>
  </si>
  <si>
    <r>
      <t>m/s</t>
    </r>
    <r>
      <rPr>
        <vertAlign val="superscript"/>
        <sz val="12"/>
        <color theme="1"/>
        <rFont val="Calibri (Body)"/>
      </rPr>
      <t>2</t>
    </r>
  </si>
  <si>
    <t>-</t>
  </si>
  <si>
    <t>Anode Voltage (V)</t>
  </si>
  <si>
    <t>Anode Current (A)</t>
  </si>
  <si>
    <t>Calibration Factor</t>
  </si>
  <si>
    <t>N/mm</t>
  </si>
  <si>
    <t>Experimental Thrust (N)</t>
  </si>
  <si>
    <t>Anode Flow Rate (sccm)</t>
  </si>
  <si>
    <t>Cathode Flow Rate (sccm)</t>
  </si>
  <si>
    <t>Anode Flow Rate (kg/s)</t>
  </si>
  <si>
    <t>Anode Efficiency</t>
  </si>
  <si>
    <t>Lab Half</t>
  </si>
  <si>
    <t>Anode Power (W)</t>
  </si>
  <si>
    <t>Cathode Voltage (V)</t>
  </si>
  <si>
    <t>Cathode Current (A)</t>
  </si>
  <si>
    <t>Cathode Power (W)</t>
  </si>
  <si>
    <t>Cathode Flow Rate (kg/s)</t>
  </si>
  <si>
    <t>Lab Number</t>
  </si>
  <si>
    <t>Beam Current (A)</t>
  </si>
  <si>
    <t>Thrust from Anode Current (N)</t>
  </si>
  <si>
    <t>Symbol</t>
  </si>
  <si>
    <r>
      <t xml:space="preserve"> m</t>
    </r>
    <r>
      <rPr>
        <vertAlign val="subscript"/>
        <sz val="12"/>
        <color theme="1"/>
        <rFont val="Calibri (Body)"/>
      </rPr>
      <t>i</t>
    </r>
  </si>
  <si>
    <r>
      <t>m</t>
    </r>
    <r>
      <rPr>
        <vertAlign val="subscript"/>
        <sz val="12"/>
        <color theme="1"/>
        <rFont val="Calibri (Body)"/>
      </rPr>
      <t>e</t>
    </r>
  </si>
  <si>
    <t>e</t>
  </si>
  <si>
    <r>
      <t>Mass of Krypton ion</t>
    </r>
    <r>
      <rPr>
        <vertAlign val="subscript"/>
        <sz val="12"/>
        <color theme="1"/>
        <rFont val="Calibri (Body)"/>
      </rPr>
      <t xml:space="preserve"> </t>
    </r>
  </si>
  <si>
    <t>D</t>
  </si>
  <si>
    <t>L</t>
  </si>
  <si>
    <t>Depth of CHT ceramic channel</t>
  </si>
  <si>
    <r>
      <t>T</t>
    </r>
    <r>
      <rPr>
        <vertAlign val="subscript"/>
        <sz val="12"/>
        <color theme="1"/>
        <rFont val="Calibri (Body)"/>
      </rPr>
      <t>e</t>
    </r>
  </si>
  <si>
    <t>Boltzmann constant</t>
  </si>
  <si>
    <t>k</t>
  </si>
  <si>
    <r>
      <t>V</t>
    </r>
    <r>
      <rPr>
        <vertAlign val="subscript"/>
        <sz val="12"/>
        <color theme="1"/>
        <rFont val="Calibri (Body)"/>
      </rPr>
      <t xml:space="preserve">plasma </t>
    </r>
  </si>
  <si>
    <r>
      <t>n</t>
    </r>
    <r>
      <rPr>
        <vertAlign val="subscript"/>
        <sz val="12"/>
        <color theme="1"/>
        <rFont val="Calibri (Body)"/>
      </rPr>
      <t>b</t>
    </r>
  </si>
  <si>
    <t>Plume Divergence Half Angle</t>
  </si>
  <si>
    <t>θ</t>
  </si>
  <si>
    <r>
      <t>n</t>
    </r>
    <r>
      <rPr>
        <vertAlign val="superscript"/>
        <sz val="12"/>
        <color theme="1"/>
        <rFont val="Calibri (Body)"/>
      </rPr>
      <t>++</t>
    </r>
    <r>
      <rPr>
        <sz val="12"/>
        <color theme="1"/>
        <rFont val="Calibri (Body)"/>
      </rPr>
      <t>/n</t>
    </r>
    <r>
      <rPr>
        <vertAlign val="superscript"/>
        <sz val="12"/>
        <color theme="1"/>
        <rFont val="Calibri (Body)"/>
      </rPr>
      <t>+</t>
    </r>
  </si>
  <si>
    <t>Doubly charged current ratio</t>
  </si>
  <si>
    <r>
      <t>I</t>
    </r>
    <r>
      <rPr>
        <vertAlign val="superscript"/>
        <sz val="12"/>
        <color theme="1"/>
        <rFont val="Calibri (Body)"/>
      </rPr>
      <t>++</t>
    </r>
    <r>
      <rPr>
        <sz val="12"/>
        <color theme="1"/>
        <rFont val="Calibri (Body)"/>
      </rPr>
      <t>/I</t>
    </r>
    <r>
      <rPr>
        <vertAlign val="superscript"/>
        <sz val="12"/>
        <color theme="1"/>
        <rFont val="Calibri (Body)"/>
      </rPr>
      <t>+</t>
    </r>
  </si>
  <si>
    <r>
      <t>n</t>
    </r>
    <r>
      <rPr>
        <vertAlign val="subscript"/>
        <sz val="12"/>
        <color theme="1"/>
        <rFont val="Calibri (Body)"/>
      </rPr>
      <t>m</t>
    </r>
  </si>
  <si>
    <r>
      <t>I</t>
    </r>
    <r>
      <rPr>
        <vertAlign val="superscript"/>
        <sz val="12"/>
        <color theme="1"/>
        <rFont val="Calibri (Body)"/>
      </rPr>
      <t>++</t>
    </r>
    <r>
      <rPr>
        <sz val="12"/>
        <color theme="1"/>
        <rFont val="Calibri (Body)"/>
      </rPr>
      <t xml:space="preserve"> Losses</t>
    </r>
  </si>
  <si>
    <t>⍺</t>
  </si>
  <si>
    <t>Beam Divergence Loss</t>
  </si>
  <si>
    <t>Gravity</t>
  </si>
  <si>
    <r>
      <t>g</t>
    </r>
    <r>
      <rPr>
        <vertAlign val="subscript"/>
        <sz val="12"/>
        <color theme="1"/>
        <rFont val="Calibri (Body)"/>
      </rPr>
      <t>0</t>
    </r>
  </si>
  <si>
    <t>Specific Impulse (s)</t>
  </si>
  <si>
    <t>Beam Voltage (V)</t>
  </si>
  <si>
    <t>Thrust from Isp (N)</t>
  </si>
  <si>
    <t>Total Efficiency</t>
  </si>
  <si>
    <t>Small Electromagnet Voltage (V)</t>
  </si>
  <si>
    <t>Small Electromagnet Current (A)</t>
  </si>
  <si>
    <t>Small Electromagnetic Power (W)</t>
  </si>
  <si>
    <t>Big Electromagnetic Voltage (V)</t>
  </si>
  <si>
    <t>Big Electromagnetic Current (A)</t>
  </si>
  <si>
    <t>Big Electromagnetic Power (W)</t>
  </si>
  <si>
    <t>Electromagnetic Power (W)</t>
  </si>
  <si>
    <t>Thrust from Anode Current</t>
  </si>
  <si>
    <t>Thrust from Isp</t>
  </si>
  <si>
    <t>Thrust from Balance</t>
  </si>
  <si>
    <t>AMU</t>
  </si>
  <si>
    <t>°</t>
  </si>
  <si>
    <r>
      <t>V</t>
    </r>
    <r>
      <rPr>
        <vertAlign val="subscript"/>
        <sz val="12"/>
        <color theme="1"/>
        <rFont val="Calibri (Body)"/>
      </rPr>
      <t>c_to_ground</t>
    </r>
  </si>
  <si>
    <r>
      <t>η</t>
    </r>
    <r>
      <rPr>
        <vertAlign val="subscript"/>
        <sz val="12"/>
        <color theme="1"/>
        <rFont val="Calibri (Body)"/>
      </rPr>
      <t>cos</t>
    </r>
  </si>
  <si>
    <t>Specific impulse versus anode power</t>
  </si>
  <si>
    <t>Anode voltage versus anode current</t>
  </si>
  <si>
    <t>Lab 1 Value</t>
  </si>
  <si>
    <t>Lab 2 Value</t>
  </si>
  <si>
    <t>Anode efficiency versus anode power</t>
  </si>
  <si>
    <t>Thrust versus anode power for different thrust types</t>
  </si>
  <si>
    <t>Thrust from force balance versus anode power</t>
  </si>
  <si>
    <t>…</t>
  </si>
  <si>
    <t>Average Thrust (N)</t>
  </si>
  <si>
    <t>Standard Deviation (N)</t>
  </si>
  <si>
    <t>Method of Calculating Thrust</t>
  </si>
  <si>
    <r>
      <t>Using I</t>
    </r>
    <r>
      <rPr>
        <vertAlign val="subscript"/>
        <sz val="12"/>
        <color theme="1"/>
        <rFont val="Calibri (Body)"/>
      </rPr>
      <t>sp</t>
    </r>
  </si>
  <si>
    <t>Using Anode Current</t>
  </si>
  <si>
    <t>From Force Balance</t>
  </si>
  <si>
    <t>Standard Deviation of 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</si>
</sst>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E+00"/>
  </numFmts>
  <fonts count="5">
    <font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sz val="12"/>
      <color theme="1"/>
      <name val="Calibri (Body)"/>
    </font>
    <font>
      <vertAlign val="subscript"/>
      <sz val="12"/>
      <color theme="1"/>
      <name val="Calibri (Body)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00">
    <xf numFmtId="0" fontId="0" fillId="0" borderId="0" xfId="0"/>
    <xf numFmtId="11" fontId="0" fillId="0" borderId="0" xfId="0" applyNumberFormat="1"/>
    <xf numFmtId="2" fontId="0" fillId="0" borderId="0" xfId="0" applyNumberFormat="1"/>
    <xf numFmtId="0" fontId="0" fillId="0" borderId="0" xfId="0" applyBorder="1"/>
    <xf numFmtId="0" fontId="0" fillId="0" borderId="0" xfId="0" applyNumberFormat="1"/>
    <xf numFmtId="11" fontId="0" fillId="0" borderId="0" xfId="0" applyNumberFormat="1" applyBorder="1"/>
    <xf numFmtId="0" fontId="0" fillId="0" borderId="0" xfId="0" applyNumberFormat="1" applyBorder="1"/>
    <xf numFmtId="0" fontId="0" fillId="0" borderId="1" xfId="0" applyBorder="1"/>
    <xf numFmtId="165" fontId="0" fillId="0" borderId="1" xfId="0" applyNumberFormat="1" applyBorder="1"/>
    <xf numFmtId="165" fontId="0" fillId="0" borderId="0" xfId="0" applyNumberFormat="1"/>
    <xf numFmtId="0" fontId="0" fillId="0" borderId="2" xfId="0" applyBorder="1"/>
    <xf numFmtId="164" fontId="0" fillId="0" borderId="0" xfId="0" applyNumberFormat="1" applyBorder="1"/>
    <xf numFmtId="165" fontId="0" fillId="0" borderId="0" xfId="0" applyNumberFormat="1" applyBorder="1"/>
    <xf numFmtId="164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1" fontId="0" fillId="0" borderId="5" xfId="0" applyNumberFormat="1" applyBorder="1"/>
    <xf numFmtId="2" fontId="0" fillId="0" borderId="5" xfId="0" applyNumberFormat="1" applyBorder="1"/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7" xfId="0" applyBorder="1"/>
    <xf numFmtId="0" fontId="0" fillId="0" borderId="9" xfId="0" applyBorder="1"/>
    <xf numFmtId="2" fontId="0" fillId="0" borderId="6" xfId="0" applyNumberFormat="1" applyBorder="1"/>
    <xf numFmtId="11" fontId="0" fillId="0" borderId="2" xfId="0" applyNumberFormat="1" applyBorder="1"/>
    <xf numFmtId="164" fontId="0" fillId="0" borderId="2" xfId="0" applyNumberFormat="1" applyBorder="1"/>
    <xf numFmtId="165" fontId="0" fillId="0" borderId="2" xfId="0" applyNumberFormat="1" applyBorder="1"/>
    <xf numFmtId="11" fontId="0" fillId="0" borderId="1" xfId="0" applyNumberFormat="1" applyBorder="1"/>
    <xf numFmtId="2" fontId="0" fillId="0" borderId="1" xfId="0" applyNumberFormat="1" applyBorder="1"/>
    <xf numFmtId="0" fontId="0" fillId="0" borderId="11" xfId="0" applyBorder="1"/>
    <xf numFmtId="0" fontId="0" fillId="0" borderId="11" xfId="0" applyFill="1" applyBorder="1"/>
    <xf numFmtId="164" fontId="0" fillId="0" borderId="5" xfId="0" applyNumberFormat="1" applyBorder="1"/>
    <xf numFmtId="0" fontId="0" fillId="0" borderId="5" xfId="0" applyFill="1" applyBorder="1"/>
    <xf numFmtId="0" fontId="0" fillId="0" borderId="6" xfId="0" applyFill="1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0" borderId="8" xfId="0" applyBorder="1"/>
    <xf numFmtId="11" fontId="0" fillId="2" borderId="0" xfId="0" applyNumberFormat="1" applyFill="1" applyBorder="1"/>
    <xf numFmtId="11" fontId="0" fillId="2" borderId="2" xfId="0" applyNumberFormat="1" applyFill="1" applyBorder="1"/>
    <xf numFmtId="11" fontId="0" fillId="3" borderId="0" xfId="0" applyNumberFormat="1" applyFill="1" applyBorder="1"/>
    <xf numFmtId="11" fontId="0" fillId="3" borderId="2" xfId="0" applyNumberFormat="1" applyFill="1" applyBorder="1"/>
    <xf numFmtId="164" fontId="0" fillId="0" borderId="12" xfId="0" applyNumberFormat="1" applyBorder="1"/>
    <xf numFmtId="1" fontId="0" fillId="0" borderId="0" xfId="0" applyNumberFormat="1" applyBorder="1"/>
    <xf numFmtId="1" fontId="0" fillId="0" borderId="2" xfId="0" applyNumberFormat="1" applyBorder="1"/>
    <xf numFmtId="166" fontId="0" fillId="4" borderId="0" xfId="0" applyNumberFormat="1" applyFill="1" applyBorder="1"/>
    <xf numFmtId="166" fontId="0" fillId="4" borderId="2" xfId="0" applyNumberFormat="1" applyFill="1" applyBorder="1"/>
    <xf numFmtId="9" fontId="0" fillId="2" borderId="0" xfId="1" applyFont="1" applyFill="1" applyBorder="1"/>
    <xf numFmtId="9" fontId="0" fillId="3" borderId="0" xfId="1" applyFont="1" applyFill="1" applyBorder="1"/>
    <xf numFmtId="9" fontId="0" fillId="4" borderId="0" xfId="1" applyFont="1" applyFill="1" applyBorder="1"/>
    <xf numFmtId="9" fontId="0" fillId="2" borderId="2" xfId="1" applyFont="1" applyFill="1" applyBorder="1"/>
    <xf numFmtId="9" fontId="0" fillId="3" borderId="2" xfId="1" applyFont="1" applyFill="1" applyBorder="1"/>
    <xf numFmtId="9" fontId="0" fillId="4" borderId="2" xfId="1" applyFont="1" applyFill="1" applyBorder="1"/>
    <xf numFmtId="0" fontId="0" fillId="0" borderId="0" xfId="0" applyFill="1" applyBorder="1"/>
    <xf numFmtId="2" fontId="0" fillId="0" borderId="0" xfId="0" applyNumberFormat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10" fontId="0" fillId="2" borderId="0" xfId="1" applyNumberFormat="1" applyFont="1" applyFill="1" applyBorder="1"/>
    <xf numFmtId="10" fontId="0" fillId="3" borderId="0" xfId="1" applyNumberFormat="1" applyFont="1" applyFill="1" applyBorder="1"/>
    <xf numFmtId="10" fontId="0" fillId="4" borderId="0" xfId="1" applyNumberFormat="1" applyFont="1" applyFill="1" applyBorder="1"/>
    <xf numFmtId="11" fontId="0" fillId="4" borderId="0" xfId="0" applyNumberFormat="1" applyFill="1" applyBorder="1"/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0" fontId="0" fillId="4" borderId="8" xfId="1" applyNumberFormat="1" applyFont="1" applyFill="1" applyBorder="1"/>
    <xf numFmtId="9" fontId="0" fillId="4" borderId="0" xfId="1" applyNumberFormat="1" applyFont="1" applyFill="1" applyBorder="1"/>
    <xf numFmtId="9" fontId="0" fillId="4" borderId="8" xfId="1" applyNumberFormat="1" applyFont="1" applyFill="1" applyBorder="1"/>
    <xf numFmtId="166" fontId="0" fillId="4" borderId="1" xfId="0" applyNumberFormat="1" applyFill="1" applyBorder="1" applyAlignment="1">
      <alignment horizontal="center" vertical="center"/>
    </xf>
    <xf numFmtId="166" fontId="0" fillId="4" borderId="0" xfId="0" applyNumberFormat="1" applyFill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6" fontId="0" fillId="2" borderId="1" xfId="0" applyNumberFormat="1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5" fontId="0" fillId="0" borderId="13" xfId="0" applyNumberFormat="1" applyBorder="1"/>
    <xf numFmtId="0" fontId="0" fillId="0" borderId="14" xfId="0" applyBorder="1"/>
    <xf numFmtId="165" fontId="0" fillId="0" borderId="7" xfId="0" applyNumberFormat="1" applyBorder="1"/>
    <xf numFmtId="0" fontId="0" fillId="0" borderId="12" xfId="0" applyBorder="1"/>
    <xf numFmtId="0" fontId="0" fillId="0" borderId="12" xfId="0" applyNumberFormat="1" applyBorder="1"/>
    <xf numFmtId="2" fontId="0" fillId="0" borderId="12" xfId="0" applyNumberFormat="1" applyBorder="1"/>
    <xf numFmtId="1" fontId="0" fillId="0" borderId="12" xfId="0" applyNumberFormat="1" applyBorder="1"/>
    <xf numFmtId="165" fontId="0" fillId="0" borderId="12" xfId="0" applyNumberFormat="1" applyBorder="1"/>
    <xf numFmtId="2" fontId="0" fillId="0" borderId="7" xfId="0" applyNumberFormat="1" applyBorder="1"/>
    <xf numFmtId="11" fontId="0" fillId="2" borderId="12" xfId="0" applyNumberFormat="1" applyFill="1" applyBorder="1"/>
    <xf numFmtId="11" fontId="0" fillId="3" borderId="12" xfId="0" applyNumberFormat="1" applyFill="1" applyBorder="1"/>
    <xf numFmtId="11" fontId="0" fillId="4" borderId="12" xfId="0" applyNumberFormat="1" applyFill="1" applyBorder="1"/>
    <xf numFmtId="0" fontId="0" fillId="2" borderId="7" xfId="0" applyFill="1" applyBorder="1" applyAlignment="1">
      <alignment horizontal="center"/>
    </xf>
    <xf numFmtId="10" fontId="0" fillId="2" borderId="12" xfId="1" applyNumberFormat="1" applyFont="1" applyFill="1" applyBorder="1"/>
    <xf numFmtId="0" fontId="0" fillId="3" borderId="7" xfId="0" applyFill="1" applyBorder="1" applyAlignment="1">
      <alignment horizontal="center"/>
    </xf>
    <xf numFmtId="10" fontId="0" fillId="3" borderId="12" xfId="1" applyNumberFormat="1" applyFont="1" applyFill="1" applyBorder="1"/>
    <xf numFmtId="0" fontId="0" fillId="4" borderId="7" xfId="0" applyFill="1" applyBorder="1" applyAlignment="1">
      <alignment horizontal="center"/>
    </xf>
    <xf numFmtId="10" fontId="0" fillId="4" borderId="12" xfId="1" applyNumberFormat="1" applyFont="1" applyFill="1" applyBorder="1"/>
    <xf numFmtId="0" fontId="0" fillId="4" borderId="15" xfId="0" applyFill="1" applyBorder="1" applyAlignment="1">
      <alignment horizontal="center"/>
    </xf>
    <xf numFmtId="0" fontId="0" fillId="4" borderId="2" xfId="0" applyFill="1" applyBorder="1"/>
    <xf numFmtId="10" fontId="0" fillId="4" borderId="2" xfId="1" applyNumberFormat="1" applyFont="1" applyFill="1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67825896762904"/>
          <c:y val="5.0925925925925923E-2"/>
          <c:w val="0.80476618547681555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v>Lab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'Laser Data Thrust'!$I$3:$I$20</c:f>
              <c:numCache>
                <c:formatCode>0</c:formatCode>
                <c:ptCount val="18"/>
                <c:pt idx="0">
                  <c:v>81.099999999999994</c:v>
                </c:pt>
                <c:pt idx="1">
                  <c:v>80.099999999999994</c:v>
                </c:pt>
                <c:pt idx="2">
                  <c:v>79.5</c:v>
                </c:pt>
                <c:pt idx="3">
                  <c:v>82.1</c:v>
                </c:pt>
                <c:pt idx="4">
                  <c:v>81.900000000000006</c:v>
                </c:pt>
                <c:pt idx="5">
                  <c:v>82.1</c:v>
                </c:pt>
                <c:pt idx="6">
                  <c:v>84</c:v>
                </c:pt>
                <c:pt idx="7">
                  <c:v>83.5</c:v>
                </c:pt>
                <c:pt idx="8">
                  <c:v>84.4</c:v>
                </c:pt>
                <c:pt idx="9">
                  <c:v>87.7</c:v>
                </c:pt>
                <c:pt idx="10">
                  <c:v>87.7</c:v>
                </c:pt>
                <c:pt idx="11">
                  <c:v>88.1</c:v>
                </c:pt>
                <c:pt idx="12">
                  <c:v>93.8</c:v>
                </c:pt>
                <c:pt idx="13">
                  <c:v>94.9</c:v>
                </c:pt>
                <c:pt idx="14">
                  <c:v>94.6</c:v>
                </c:pt>
                <c:pt idx="15">
                  <c:v>98</c:v>
                </c:pt>
                <c:pt idx="16">
                  <c:v>99.2</c:v>
                </c:pt>
                <c:pt idx="17">
                  <c:v>98</c:v>
                </c:pt>
              </c:numCache>
            </c:numRef>
          </c:xVal>
          <c:yVal>
            <c:numRef>
              <c:f>'Laser Data Thrust'!$J$3:$J$20</c:f>
              <c:numCache>
                <c:formatCode>0.0</c:formatCode>
                <c:ptCount val="18"/>
                <c:pt idx="0">
                  <c:v>0.63300000000000001</c:v>
                </c:pt>
                <c:pt idx="1">
                  <c:v>0.63300000000000001</c:v>
                </c:pt>
                <c:pt idx="2">
                  <c:v>0.63300000000000001</c:v>
                </c:pt>
                <c:pt idx="3">
                  <c:v>0.98499999999999999</c:v>
                </c:pt>
                <c:pt idx="4">
                  <c:v>0.98499999999999999</c:v>
                </c:pt>
                <c:pt idx="5">
                  <c:v>0.98499999999999999</c:v>
                </c:pt>
                <c:pt idx="6">
                  <c:v>1.2589999999999999</c:v>
                </c:pt>
                <c:pt idx="7">
                  <c:v>1.2589999999999999</c:v>
                </c:pt>
                <c:pt idx="8">
                  <c:v>1.2589999999999999</c:v>
                </c:pt>
                <c:pt idx="9">
                  <c:v>1.5720000000000001</c:v>
                </c:pt>
                <c:pt idx="10">
                  <c:v>1.5720000000000001</c:v>
                </c:pt>
                <c:pt idx="11">
                  <c:v>1.5720000000000001</c:v>
                </c:pt>
                <c:pt idx="12">
                  <c:v>1.847</c:v>
                </c:pt>
                <c:pt idx="13">
                  <c:v>1.847</c:v>
                </c:pt>
                <c:pt idx="14">
                  <c:v>1.847</c:v>
                </c:pt>
                <c:pt idx="15">
                  <c:v>1.964</c:v>
                </c:pt>
                <c:pt idx="16">
                  <c:v>1.964</c:v>
                </c:pt>
                <c:pt idx="17">
                  <c:v>1.964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7E-CF41-9D86-38850D6E6FE8}"/>
            </c:ext>
          </c:extLst>
        </c:ser>
        <c:ser>
          <c:idx val="1"/>
          <c:order val="1"/>
          <c:tx>
            <c:v>Lab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'Laser Data Thrust'!$I$21:$I$38</c:f>
              <c:numCache>
                <c:formatCode>0</c:formatCode>
                <c:ptCount val="18"/>
                <c:pt idx="0">
                  <c:v>79.5</c:v>
                </c:pt>
                <c:pt idx="1">
                  <c:v>77.5</c:v>
                </c:pt>
                <c:pt idx="2">
                  <c:v>78.8</c:v>
                </c:pt>
                <c:pt idx="3">
                  <c:v>78.2</c:v>
                </c:pt>
                <c:pt idx="4">
                  <c:v>77.2</c:v>
                </c:pt>
                <c:pt idx="5">
                  <c:v>77</c:v>
                </c:pt>
                <c:pt idx="6">
                  <c:v>78</c:v>
                </c:pt>
                <c:pt idx="7">
                  <c:v>76.5</c:v>
                </c:pt>
                <c:pt idx="8">
                  <c:v>76.3</c:v>
                </c:pt>
                <c:pt idx="9">
                  <c:v>81.900000000000006</c:v>
                </c:pt>
                <c:pt idx="10">
                  <c:v>82.4</c:v>
                </c:pt>
                <c:pt idx="11">
                  <c:v>81.3</c:v>
                </c:pt>
                <c:pt idx="12">
                  <c:v>86.1</c:v>
                </c:pt>
                <c:pt idx="13">
                  <c:v>87.2</c:v>
                </c:pt>
                <c:pt idx="14">
                  <c:v>86.5</c:v>
                </c:pt>
                <c:pt idx="15">
                  <c:v>93.1</c:v>
                </c:pt>
                <c:pt idx="16">
                  <c:v>94.5</c:v>
                </c:pt>
                <c:pt idx="17">
                  <c:v>89.5</c:v>
                </c:pt>
              </c:numCache>
            </c:numRef>
          </c:xVal>
          <c:yVal>
            <c:numRef>
              <c:f>'Laser Data Thrust'!$J$21:$J$38</c:f>
              <c:numCache>
                <c:formatCode>0.0</c:formatCode>
                <c:ptCount val="18"/>
                <c:pt idx="0">
                  <c:v>1.4159999999999999</c:v>
                </c:pt>
                <c:pt idx="1">
                  <c:v>1.4159999999999999</c:v>
                </c:pt>
                <c:pt idx="2">
                  <c:v>1.415</c:v>
                </c:pt>
                <c:pt idx="3">
                  <c:v>0.90600000000000003</c:v>
                </c:pt>
                <c:pt idx="4">
                  <c:v>0.90800000000000003</c:v>
                </c:pt>
                <c:pt idx="5">
                  <c:v>0.90700000000000003</c:v>
                </c:pt>
                <c:pt idx="6">
                  <c:v>1.1419999999999999</c:v>
                </c:pt>
                <c:pt idx="7">
                  <c:v>1.1419999999999999</c:v>
                </c:pt>
                <c:pt idx="8">
                  <c:v>1.143</c:v>
                </c:pt>
                <c:pt idx="9">
                  <c:v>1.806</c:v>
                </c:pt>
                <c:pt idx="10">
                  <c:v>1.806</c:v>
                </c:pt>
                <c:pt idx="11">
                  <c:v>1.8069999999999999</c:v>
                </c:pt>
                <c:pt idx="12">
                  <c:v>2.12</c:v>
                </c:pt>
                <c:pt idx="13">
                  <c:v>2.12</c:v>
                </c:pt>
                <c:pt idx="14">
                  <c:v>2.121</c:v>
                </c:pt>
                <c:pt idx="15">
                  <c:v>2.3159999999999998</c:v>
                </c:pt>
                <c:pt idx="16">
                  <c:v>2.3170000000000002</c:v>
                </c:pt>
                <c:pt idx="17">
                  <c:v>2.3149999999999999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7E-CF41-9D86-38850D6E6F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584383"/>
        <c:axId val="196974175"/>
      </c:scatterChart>
      <c:valAx>
        <c:axId val="197584383"/>
        <c:scaling>
          <c:orientation val="minMax"/>
          <c:max val="100"/>
          <c:min val="7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Anode Voltage (V)</a:t>
                </a:r>
              </a:p>
            </c:rich>
          </c:tx>
          <c:layout>
            <c:manualLayout>
              <c:xMode val="edge"/>
              <c:yMode val="edge"/>
              <c:x val="0.42671412948381449"/>
              <c:y val="0.897198891805190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974175"/>
        <c:crosses val="autoZero"/>
        <c:crossBetween val="midCat"/>
      </c:valAx>
      <c:valAx>
        <c:axId val="196974175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Anode Current</a:t>
                </a:r>
                <a:r>
                  <a:rPr lang="en-GB" baseline="0"/>
                  <a:t> (A)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7777735410192371E-2"/>
              <c:y val="0.322311551559201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84383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20139818892956"/>
          <c:y val="0.51693982060923049"/>
          <c:w val="0.12520810872224289"/>
          <c:h val="0.20933394632342694"/>
        </c:manualLayout>
      </c:layout>
      <c:overlay val="0"/>
      <c:spPr>
        <a:solidFill>
          <a:schemeClr val="bg1"/>
        </a:solidFill>
        <a:ln>
          <a:solidFill>
            <a:schemeClr val="bg1">
              <a:lumMod val="8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177559055118112"/>
          <c:y val="5.0925925925925923E-2"/>
          <c:w val="0.76589107611548557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v>Lab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'Laser Data Thrust'!$K$3:$K$20</c:f>
              <c:numCache>
                <c:formatCode>0</c:formatCode>
                <c:ptCount val="18"/>
                <c:pt idx="0">
                  <c:v>51.336299999999994</c:v>
                </c:pt>
                <c:pt idx="1">
                  <c:v>50.703299999999999</c:v>
                </c:pt>
                <c:pt idx="2">
                  <c:v>50.323500000000003</c:v>
                </c:pt>
                <c:pt idx="3">
                  <c:v>80.868499999999997</c:v>
                </c:pt>
                <c:pt idx="4">
                  <c:v>80.671500000000009</c:v>
                </c:pt>
                <c:pt idx="5">
                  <c:v>80.868499999999997</c:v>
                </c:pt>
                <c:pt idx="6">
                  <c:v>105.75599999999999</c:v>
                </c:pt>
                <c:pt idx="7">
                  <c:v>105.12649999999999</c:v>
                </c:pt>
                <c:pt idx="8">
                  <c:v>106.25959999999999</c:v>
                </c:pt>
                <c:pt idx="9">
                  <c:v>137.86440000000002</c:v>
                </c:pt>
                <c:pt idx="10">
                  <c:v>137.86440000000002</c:v>
                </c:pt>
                <c:pt idx="11">
                  <c:v>138.4932</c:v>
                </c:pt>
                <c:pt idx="12">
                  <c:v>173.24859999999998</c:v>
                </c:pt>
                <c:pt idx="13">
                  <c:v>175.28030000000001</c:v>
                </c:pt>
                <c:pt idx="14">
                  <c:v>174.72619999999998</c:v>
                </c:pt>
                <c:pt idx="15">
                  <c:v>192.47200000000001</c:v>
                </c:pt>
                <c:pt idx="16">
                  <c:v>194.8288</c:v>
                </c:pt>
                <c:pt idx="17">
                  <c:v>192.47200000000001</c:v>
                </c:pt>
              </c:numCache>
            </c:numRef>
          </c:xVal>
          <c:yVal>
            <c:numRef>
              <c:f>'Laser Data Thrust'!$U$3:$U$20</c:f>
              <c:numCache>
                <c:formatCode>0.0E+00</c:formatCode>
                <c:ptCount val="18"/>
                <c:pt idx="0">
                  <c:v>7.1228836000000002E-4</c:v>
                </c:pt>
                <c:pt idx="1">
                  <c:v>9.3097759999999992E-4</c:v>
                </c:pt>
                <c:pt idx="2">
                  <c:v>9.8207956E-4</c:v>
                </c:pt>
                <c:pt idx="3">
                  <c:v>1.5570402399999999E-3</c:v>
                </c:pt>
                <c:pt idx="4">
                  <c:v>1.43939544E-3</c:v>
                </c:pt>
                <c:pt idx="5">
                  <c:v>1.4671946800000001E-3</c:v>
                </c:pt>
                <c:pt idx="6">
                  <c:v>1.8769435999999998E-3</c:v>
                </c:pt>
                <c:pt idx="7">
                  <c:v>1.6219428399999998E-3</c:v>
                </c:pt>
                <c:pt idx="8">
                  <c:v>1.8904897199999999E-3</c:v>
                </c:pt>
                <c:pt idx="9">
                  <c:v>2.05131808E-3</c:v>
                </c:pt>
                <c:pt idx="10">
                  <c:v>2.8732480000000001E-3</c:v>
                </c:pt>
                <c:pt idx="11">
                  <c:v>1.9770830799999998E-3</c:v>
                </c:pt>
                <c:pt idx="12">
                  <c:v>2.7080645200000001E-3</c:v>
                </c:pt>
                <c:pt idx="13">
                  <c:v>2.8839944000000001E-3</c:v>
                </c:pt>
                <c:pt idx="14">
                  <c:v>3.0533915999999997E-3</c:v>
                </c:pt>
                <c:pt idx="15">
                  <c:v>2.9611987999999998E-3</c:v>
                </c:pt>
                <c:pt idx="16">
                  <c:v>3.1232432E-3</c:v>
                </c:pt>
                <c:pt idx="17">
                  <c:v>2.9807120000000004E-3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73-7E40-815F-E07ED7F757B5}"/>
            </c:ext>
          </c:extLst>
        </c:ser>
        <c:ser>
          <c:idx val="1"/>
          <c:order val="1"/>
          <c:tx>
            <c:v>Lab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'Laser Data Thrust'!$K$21:$K$38</c:f>
              <c:numCache>
                <c:formatCode>0</c:formatCode>
                <c:ptCount val="18"/>
                <c:pt idx="0">
                  <c:v>112.57199999999999</c:v>
                </c:pt>
                <c:pt idx="1">
                  <c:v>109.74</c:v>
                </c:pt>
                <c:pt idx="2">
                  <c:v>111.502</c:v>
                </c:pt>
                <c:pt idx="3">
                  <c:v>70.84920000000001</c:v>
                </c:pt>
                <c:pt idx="4">
                  <c:v>70.0976</c:v>
                </c:pt>
                <c:pt idx="5">
                  <c:v>69.838999999999999</c:v>
                </c:pt>
                <c:pt idx="6">
                  <c:v>89.075999999999993</c:v>
                </c:pt>
                <c:pt idx="7">
                  <c:v>87.363</c:v>
                </c:pt>
                <c:pt idx="8">
                  <c:v>87.210899999999995</c:v>
                </c:pt>
                <c:pt idx="9">
                  <c:v>147.91140000000001</c:v>
                </c:pt>
                <c:pt idx="10">
                  <c:v>148.81440000000001</c:v>
                </c:pt>
                <c:pt idx="11">
                  <c:v>146.9091</c:v>
                </c:pt>
                <c:pt idx="12">
                  <c:v>182.53200000000001</c:v>
                </c:pt>
                <c:pt idx="13">
                  <c:v>184.864</c:v>
                </c:pt>
                <c:pt idx="14">
                  <c:v>183.4665</c:v>
                </c:pt>
                <c:pt idx="15">
                  <c:v>215.61959999999996</c:v>
                </c:pt>
                <c:pt idx="16">
                  <c:v>218.95650000000001</c:v>
                </c:pt>
                <c:pt idx="17">
                  <c:v>207.1925</c:v>
                </c:pt>
              </c:numCache>
            </c:numRef>
          </c:xVal>
          <c:yVal>
            <c:numRef>
              <c:f>'Laser Data Thrust'!$U$21:$U$38</c:f>
              <c:numCache>
                <c:formatCode>0.0E+00</c:formatCode>
                <c:ptCount val="18"/>
                <c:pt idx="0">
                  <c:v>2.64154996E-3</c:v>
                </c:pt>
                <c:pt idx="1">
                  <c:v>2.5788531999999999E-3</c:v>
                </c:pt>
                <c:pt idx="2">
                  <c:v>2.3610972E-3</c:v>
                </c:pt>
                <c:pt idx="3">
                  <c:v>1.57949456E-3</c:v>
                </c:pt>
                <c:pt idx="4">
                  <c:v>1.4471158800000001E-3</c:v>
                </c:pt>
                <c:pt idx="5">
                  <c:v>1.63874116E-3</c:v>
                </c:pt>
                <c:pt idx="6">
                  <c:v>2.0283547199999997E-3</c:v>
                </c:pt>
                <c:pt idx="7">
                  <c:v>1.5080592799999999E-3</c:v>
                </c:pt>
                <c:pt idx="8">
                  <c:v>1.66311852E-3</c:v>
                </c:pt>
                <c:pt idx="9">
                  <c:v>3.0318987999999997E-3</c:v>
                </c:pt>
                <c:pt idx="10">
                  <c:v>3.0463216E-3</c:v>
                </c:pt>
                <c:pt idx="11">
                  <c:v>2.9447964000000001E-3</c:v>
                </c:pt>
                <c:pt idx="12">
                  <c:v>3.8528672000000003E-3</c:v>
                </c:pt>
                <c:pt idx="13">
                  <c:v>3.7301320000000002E-3</c:v>
                </c:pt>
                <c:pt idx="14">
                  <c:v>3.3684307999999998E-3</c:v>
                </c:pt>
                <c:pt idx="15">
                  <c:v>3.5754403999999997E-3</c:v>
                </c:pt>
                <c:pt idx="16">
                  <c:v>3.6860152E-3</c:v>
                </c:pt>
                <c:pt idx="17">
                  <c:v>3.6274756E-3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73-7E40-815F-E07ED7F757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529152"/>
        <c:axId val="652037472"/>
      </c:scatterChart>
      <c:valAx>
        <c:axId val="67352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Anode Power (W)</a:t>
                </a:r>
              </a:p>
            </c:rich>
          </c:tx>
          <c:layout>
            <c:manualLayout>
              <c:xMode val="edge"/>
              <c:yMode val="edge"/>
              <c:x val="0.46323490813648294"/>
              <c:y val="0.887939632545931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037472"/>
        <c:crosses val="autoZero"/>
        <c:crossBetween val="midCat"/>
      </c:valAx>
      <c:valAx>
        <c:axId val="65203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Force</a:t>
                </a:r>
                <a:r>
                  <a:rPr lang="en-GB" baseline="0"/>
                  <a:t> Balance Thrust (N)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5000000000000001E-2"/>
              <c:y val="0.201010863225430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529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884068060393571"/>
          <c:y val="0.52506539988286594"/>
          <c:w val="0.12782593400311928"/>
          <c:h val="0.20583783432029673"/>
        </c:manualLayout>
      </c:layout>
      <c:overlay val="0"/>
      <c:spPr>
        <a:solidFill>
          <a:schemeClr val="bg1"/>
        </a:solidFill>
        <a:ln>
          <a:solidFill>
            <a:schemeClr val="bg1">
              <a:lumMod val="8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69225721784777"/>
          <c:y val="5.0925925925925923E-2"/>
          <c:w val="0.81697440944881883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v>Lab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'Laser Data Thrust'!$K$3:$K$20</c:f>
              <c:numCache>
                <c:formatCode>0</c:formatCode>
                <c:ptCount val="18"/>
                <c:pt idx="0">
                  <c:v>51.336299999999994</c:v>
                </c:pt>
                <c:pt idx="1">
                  <c:v>50.703299999999999</c:v>
                </c:pt>
                <c:pt idx="2">
                  <c:v>50.323500000000003</c:v>
                </c:pt>
                <c:pt idx="3">
                  <c:v>80.868499999999997</c:v>
                </c:pt>
                <c:pt idx="4">
                  <c:v>80.671500000000009</c:v>
                </c:pt>
                <c:pt idx="5">
                  <c:v>80.868499999999997</c:v>
                </c:pt>
                <c:pt idx="6">
                  <c:v>105.75599999999999</c:v>
                </c:pt>
                <c:pt idx="7">
                  <c:v>105.12649999999999</c:v>
                </c:pt>
                <c:pt idx="8">
                  <c:v>106.25959999999999</c:v>
                </c:pt>
                <c:pt idx="9">
                  <c:v>137.86440000000002</c:v>
                </c:pt>
                <c:pt idx="10">
                  <c:v>137.86440000000002</c:v>
                </c:pt>
                <c:pt idx="11">
                  <c:v>138.4932</c:v>
                </c:pt>
                <c:pt idx="12">
                  <c:v>173.24859999999998</c:v>
                </c:pt>
                <c:pt idx="13">
                  <c:v>175.28030000000001</c:v>
                </c:pt>
                <c:pt idx="14">
                  <c:v>174.72619999999998</c:v>
                </c:pt>
                <c:pt idx="15">
                  <c:v>192.47200000000001</c:v>
                </c:pt>
                <c:pt idx="16">
                  <c:v>194.8288</c:v>
                </c:pt>
                <c:pt idx="17">
                  <c:v>192.47200000000001</c:v>
                </c:pt>
              </c:numCache>
            </c:numRef>
          </c:xVal>
          <c:yVal>
            <c:numRef>
              <c:f>'Laser Data Thrust'!$AB$3:$AB$20</c:f>
              <c:numCache>
                <c:formatCode>0%</c:formatCode>
                <c:ptCount val="18"/>
                <c:pt idx="0">
                  <c:v>7.9301992646818673E-3</c:v>
                </c:pt>
                <c:pt idx="1">
                  <c:v>1.3716370481892816E-2</c:v>
                </c:pt>
                <c:pt idx="2">
                  <c:v>1.5378694702984891E-2</c:v>
                </c:pt>
                <c:pt idx="3">
                  <c:v>2.4055658805042675E-2</c:v>
                </c:pt>
                <c:pt idx="4">
                  <c:v>2.060805869000255E-2</c:v>
                </c:pt>
                <c:pt idx="5">
                  <c:v>2.1359597732373298E-2</c:v>
                </c:pt>
                <c:pt idx="6">
                  <c:v>2.6729719364329441E-2</c:v>
                </c:pt>
                <c:pt idx="7">
                  <c:v>2.0079636840511013E-2</c:v>
                </c:pt>
                <c:pt idx="8">
                  <c:v>2.6988418330719958E-2</c:v>
                </c:pt>
                <c:pt idx="9">
                  <c:v>2.4491244298005064E-2</c:v>
                </c:pt>
                <c:pt idx="10">
                  <c:v>4.804974208127185E-2</c:v>
                </c:pt>
                <c:pt idx="11">
                  <c:v>2.2647400403899395E-2</c:v>
                </c:pt>
                <c:pt idx="12">
                  <c:v>3.3966066101777222E-2</c:v>
                </c:pt>
                <c:pt idx="13">
                  <c:v>3.8076120046765333E-2</c:v>
                </c:pt>
                <c:pt idx="14">
                  <c:v>4.2815788939913842E-2</c:v>
                </c:pt>
                <c:pt idx="15">
                  <c:v>3.655649421738507E-2</c:v>
                </c:pt>
                <c:pt idx="16">
                  <c:v>4.0174956975010473E-2</c:v>
                </c:pt>
                <c:pt idx="17">
                  <c:v>3.7039869049627298E-2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A1-9C4E-B118-DDAB2F529338}"/>
            </c:ext>
          </c:extLst>
        </c:ser>
        <c:ser>
          <c:idx val="1"/>
          <c:order val="1"/>
          <c:tx>
            <c:v>Lab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'Laser Data Thrust'!$K$21:$K$38</c:f>
              <c:numCache>
                <c:formatCode>0</c:formatCode>
                <c:ptCount val="18"/>
                <c:pt idx="0">
                  <c:v>112.57199999999999</c:v>
                </c:pt>
                <c:pt idx="1">
                  <c:v>109.74</c:v>
                </c:pt>
                <c:pt idx="2">
                  <c:v>111.502</c:v>
                </c:pt>
                <c:pt idx="3">
                  <c:v>70.84920000000001</c:v>
                </c:pt>
                <c:pt idx="4">
                  <c:v>70.0976</c:v>
                </c:pt>
                <c:pt idx="5">
                  <c:v>69.838999999999999</c:v>
                </c:pt>
                <c:pt idx="6">
                  <c:v>89.075999999999993</c:v>
                </c:pt>
                <c:pt idx="7">
                  <c:v>87.363</c:v>
                </c:pt>
                <c:pt idx="8">
                  <c:v>87.210899999999995</c:v>
                </c:pt>
                <c:pt idx="9">
                  <c:v>147.91140000000001</c:v>
                </c:pt>
                <c:pt idx="10">
                  <c:v>148.81440000000001</c:v>
                </c:pt>
                <c:pt idx="11">
                  <c:v>146.9091</c:v>
                </c:pt>
                <c:pt idx="12">
                  <c:v>182.53200000000001</c:v>
                </c:pt>
                <c:pt idx="13">
                  <c:v>184.864</c:v>
                </c:pt>
                <c:pt idx="14">
                  <c:v>183.4665</c:v>
                </c:pt>
                <c:pt idx="15">
                  <c:v>215.61959999999996</c:v>
                </c:pt>
                <c:pt idx="16">
                  <c:v>218.95650000000001</c:v>
                </c:pt>
                <c:pt idx="17">
                  <c:v>207.1925</c:v>
                </c:pt>
              </c:numCache>
            </c:numRef>
          </c:xVal>
          <c:yVal>
            <c:numRef>
              <c:f>'Laser Data Thrust'!$AB$21:$AB$38</c:f>
              <c:numCache>
                <c:formatCode>0%</c:formatCode>
                <c:ptCount val="18"/>
                <c:pt idx="0">
                  <c:v>4.1447944680679638E-2</c:v>
                </c:pt>
                <c:pt idx="1">
                  <c:v>4.0523225798715888E-2</c:v>
                </c:pt>
                <c:pt idx="2">
                  <c:v>3.3431879955800506E-2</c:v>
                </c:pt>
                <c:pt idx="3">
                  <c:v>2.3545994699340322E-2</c:v>
                </c:pt>
                <c:pt idx="4">
                  <c:v>1.9976490517005861E-2</c:v>
                </c:pt>
                <c:pt idx="5">
                  <c:v>2.571215250773724E-2</c:v>
                </c:pt>
                <c:pt idx="6">
                  <c:v>3.0884660457668585E-2</c:v>
                </c:pt>
                <c:pt idx="7">
                  <c:v>1.7407043377870426E-2</c:v>
                </c:pt>
                <c:pt idx="8">
                  <c:v>2.1207591765450159E-2</c:v>
                </c:pt>
                <c:pt idx="9">
                  <c:v>4.1556932055974362E-2</c:v>
                </c:pt>
                <c:pt idx="10">
                  <c:v>4.1698676011019536E-2</c:v>
                </c:pt>
                <c:pt idx="11">
                  <c:v>3.9470949392558428E-2</c:v>
                </c:pt>
                <c:pt idx="12">
                  <c:v>5.4380699732397786E-2</c:v>
                </c:pt>
                <c:pt idx="13">
                  <c:v>5.0328244170347779E-2</c:v>
                </c:pt>
                <c:pt idx="14">
                  <c:v>4.1353684233455631E-2</c:v>
                </c:pt>
                <c:pt idx="15">
                  <c:v>3.9644831268001821E-2</c:v>
                </c:pt>
                <c:pt idx="16">
                  <c:v>4.149274098227939E-2</c:v>
                </c:pt>
                <c:pt idx="17">
                  <c:v>4.246691303024927E-2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A1-9C4E-B118-DDAB2F5293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294224"/>
        <c:axId val="618633488"/>
      </c:scatterChart>
      <c:valAx>
        <c:axId val="675294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Anode Power (W)</a:t>
                </a:r>
              </a:p>
            </c:rich>
          </c:tx>
          <c:layout>
            <c:manualLayout>
              <c:xMode val="edge"/>
              <c:yMode val="edge"/>
              <c:x val="0.4321377952755906"/>
              <c:y val="0.887939632545931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633488"/>
        <c:crosses val="autoZero"/>
        <c:crossBetween val="midCat"/>
      </c:valAx>
      <c:valAx>
        <c:axId val="61863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Anode Efficiency 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61577719451735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294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268159383557878"/>
          <c:y val="0.53938064149946507"/>
          <c:w val="0.12565187027722632"/>
          <c:h val="0.21004131323514411"/>
        </c:manualLayout>
      </c:layout>
      <c:overlay val="0"/>
      <c:spPr>
        <a:solidFill>
          <a:schemeClr val="bg1"/>
        </a:solidFill>
        <a:ln>
          <a:solidFill>
            <a:schemeClr val="bg1">
              <a:lumMod val="8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177559055118112"/>
          <c:y val="5.0925925925925923E-2"/>
          <c:w val="0.76866885389326334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v>Thrust balance measurements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4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'Laser Data Thrust'!$K$3:$K$20</c:f>
              <c:numCache>
                <c:formatCode>0</c:formatCode>
                <c:ptCount val="18"/>
                <c:pt idx="0">
                  <c:v>51.336299999999994</c:v>
                </c:pt>
                <c:pt idx="1">
                  <c:v>50.703299999999999</c:v>
                </c:pt>
                <c:pt idx="2">
                  <c:v>50.323500000000003</c:v>
                </c:pt>
                <c:pt idx="3">
                  <c:v>80.868499999999997</c:v>
                </c:pt>
                <c:pt idx="4">
                  <c:v>80.671500000000009</c:v>
                </c:pt>
                <c:pt idx="5">
                  <c:v>80.868499999999997</c:v>
                </c:pt>
                <c:pt idx="6">
                  <c:v>105.75599999999999</c:v>
                </c:pt>
                <c:pt idx="7">
                  <c:v>105.12649999999999</c:v>
                </c:pt>
                <c:pt idx="8">
                  <c:v>106.25959999999999</c:v>
                </c:pt>
                <c:pt idx="9">
                  <c:v>137.86440000000002</c:v>
                </c:pt>
                <c:pt idx="10">
                  <c:v>137.86440000000002</c:v>
                </c:pt>
                <c:pt idx="11">
                  <c:v>138.4932</c:v>
                </c:pt>
                <c:pt idx="12">
                  <c:v>173.24859999999998</c:v>
                </c:pt>
                <c:pt idx="13">
                  <c:v>175.28030000000001</c:v>
                </c:pt>
                <c:pt idx="14">
                  <c:v>174.72619999999998</c:v>
                </c:pt>
                <c:pt idx="15">
                  <c:v>192.47200000000001</c:v>
                </c:pt>
                <c:pt idx="16">
                  <c:v>194.8288</c:v>
                </c:pt>
                <c:pt idx="17">
                  <c:v>192.47200000000001</c:v>
                </c:pt>
              </c:numCache>
            </c:numRef>
          </c:xVal>
          <c:yVal>
            <c:numRef>
              <c:f>'Laser Data Thrust'!$U$3:$U$20</c:f>
              <c:numCache>
                <c:formatCode>0.0E+00</c:formatCode>
                <c:ptCount val="18"/>
                <c:pt idx="0">
                  <c:v>7.1228836000000002E-4</c:v>
                </c:pt>
                <c:pt idx="1">
                  <c:v>9.3097759999999992E-4</c:v>
                </c:pt>
                <c:pt idx="2">
                  <c:v>9.8207956E-4</c:v>
                </c:pt>
                <c:pt idx="3">
                  <c:v>1.5570402399999999E-3</c:v>
                </c:pt>
                <c:pt idx="4">
                  <c:v>1.43939544E-3</c:v>
                </c:pt>
                <c:pt idx="5">
                  <c:v>1.4671946800000001E-3</c:v>
                </c:pt>
                <c:pt idx="6">
                  <c:v>1.8769435999999998E-3</c:v>
                </c:pt>
                <c:pt idx="7">
                  <c:v>1.6219428399999998E-3</c:v>
                </c:pt>
                <c:pt idx="8">
                  <c:v>1.8904897199999999E-3</c:v>
                </c:pt>
                <c:pt idx="9">
                  <c:v>2.05131808E-3</c:v>
                </c:pt>
                <c:pt idx="10">
                  <c:v>2.8732480000000001E-3</c:v>
                </c:pt>
                <c:pt idx="11">
                  <c:v>1.9770830799999998E-3</c:v>
                </c:pt>
                <c:pt idx="12">
                  <c:v>2.7080645200000001E-3</c:v>
                </c:pt>
                <c:pt idx="13">
                  <c:v>2.8839944000000001E-3</c:v>
                </c:pt>
                <c:pt idx="14">
                  <c:v>3.0533915999999997E-3</c:v>
                </c:pt>
                <c:pt idx="15">
                  <c:v>2.9611987999999998E-3</c:v>
                </c:pt>
                <c:pt idx="16">
                  <c:v>3.1232432E-3</c:v>
                </c:pt>
                <c:pt idx="17">
                  <c:v>2.9807120000000004E-3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3C-4546-9539-82AC6AE3C571}"/>
            </c:ext>
          </c:extLst>
        </c:ser>
        <c:ser>
          <c:idx val="1"/>
          <c:order val="1"/>
          <c:tx>
            <c:v>Anode V and mass flow rate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'Laser Data Thrust'!$K$3:$K$20</c:f>
              <c:numCache>
                <c:formatCode>0</c:formatCode>
                <c:ptCount val="18"/>
                <c:pt idx="0">
                  <c:v>51.336299999999994</c:v>
                </c:pt>
                <c:pt idx="1">
                  <c:v>50.703299999999999</c:v>
                </c:pt>
                <c:pt idx="2">
                  <c:v>50.323500000000003</c:v>
                </c:pt>
                <c:pt idx="3">
                  <c:v>80.868499999999997</c:v>
                </c:pt>
                <c:pt idx="4">
                  <c:v>80.671500000000009</c:v>
                </c:pt>
                <c:pt idx="5">
                  <c:v>80.868499999999997</c:v>
                </c:pt>
                <c:pt idx="6">
                  <c:v>105.75599999999999</c:v>
                </c:pt>
                <c:pt idx="7">
                  <c:v>105.12649999999999</c:v>
                </c:pt>
                <c:pt idx="8">
                  <c:v>106.25959999999999</c:v>
                </c:pt>
                <c:pt idx="9">
                  <c:v>137.86440000000002</c:v>
                </c:pt>
                <c:pt idx="10">
                  <c:v>137.86440000000002</c:v>
                </c:pt>
                <c:pt idx="11">
                  <c:v>138.4932</c:v>
                </c:pt>
                <c:pt idx="12">
                  <c:v>173.24859999999998</c:v>
                </c:pt>
                <c:pt idx="13">
                  <c:v>175.28030000000001</c:v>
                </c:pt>
                <c:pt idx="14">
                  <c:v>174.72619999999998</c:v>
                </c:pt>
                <c:pt idx="15">
                  <c:v>192.47200000000001</c:v>
                </c:pt>
                <c:pt idx="16">
                  <c:v>194.8288</c:v>
                </c:pt>
                <c:pt idx="17">
                  <c:v>192.47200000000001</c:v>
                </c:pt>
              </c:numCache>
            </c:numRef>
          </c:xVal>
          <c:yVal>
            <c:numRef>
              <c:f>'Laser Data Thrust'!$R$3:$R$20</c:f>
              <c:numCache>
                <c:formatCode>0.00E+00</c:formatCode>
                <c:ptCount val="18"/>
                <c:pt idx="0">
                  <c:v>3.146697349662741E-3</c:v>
                </c:pt>
                <c:pt idx="1">
                  <c:v>3.0807215249853987E-3</c:v>
                </c:pt>
                <c:pt idx="2">
                  <c:v>3.0404489235947808E-3</c:v>
                </c:pt>
                <c:pt idx="3">
                  <c:v>3.2113180014194612E-3</c:v>
                </c:pt>
                <c:pt idx="4">
                  <c:v>3.1984983175026775E-3</c:v>
                </c:pt>
                <c:pt idx="5">
                  <c:v>3.2113180014194612E-3</c:v>
                </c:pt>
                <c:pt idx="6">
                  <c:v>3.3306449207903257E-3</c:v>
                </c:pt>
                <c:pt idx="7">
                  <c:v>3.2996615039202603E-3</c:v>
                </c:pt>
                <c:pt idx="8">
                  <c:v>3.3552256595842946E-3</c:v>
                </c:pt>
                <c:pt idx="9">
                  <c:v>3.5515312532893757E-3</c:v>
                </c:pt>
                <c:pt idx="10">
                  <c:v>3.5515312532893757E-3</c:v>
                </c:pt>
                <c:pt idx="11">
                  <c:v>3.5745933868676109E-3</c:v>
                </c:pt>
                <c:pt idx="12">
                  <c:v>3.8883948780794866E-3</c:v>
                </c:pt>
                <c:pt idx="13">
                  <c:v>3.9460815669886467E-3</c:v>
                </c:pt>
                <c:pt idx="14">
                  <c:v>3.9304328011769548E-3</c:v>
                </c:pt>
                <c:pt idx="15">
                  <c:v>4.1042932315458018E-3</c:v>
                </c:pt>
                <c:pt idx="16">
                  <c:v>4.163922891403259E-3</c:v>
                </c:pt>
                <c:pt idx="17">
                  <c:v>4.1042932315458018E-3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3C-4546-9539-82AC6AE3C571}"/>
            </c:ext>
          </c:extLst>
        </c:ser>
        <c:ser>
          <c:idx val="2"/>
          <c:order val="2"/>
          <c:tx>
            <c:v>Anode I and V measurements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4"/>
            <c:spPr>
              <a:noFill/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'Laser Data Thrust'!$K$3:$K$20</c:f>
              <c:numCache>
                <c:formatCode>0</c:formatCode>
                <c:ptCount val="18"/>
                <c:pt idx="0">
                  <c:v>51.336299999999994</c:v>
                </c:pt>
                <c:pt idx="1">
                  <c:v>50.703299999999999</c:v>
                </c:pt>
                <c:pt idx="2">
                  <c:v>50.323500000000003</c:v>
                </c:pt>
                <c:pt idx="3">
                  <c:v>80.868499999999997</c:v>
                </c:pt>
                <c:pt idx="4">
                  <c:v>80.671500000000009</c:v>
                </c:pt>
                <c:pt idx="5">
                  <c:v>80.868499999999997</c:v>
                </c:pt>
                <c:pt idx="6">
                  <c:v>105.75599999999999</c:v>
                </c:pt>
                <c:pt idx="7">
                  <c:v>105.12649999999999</c:v>
                </c:pt>
                <c:pt idx="8">
                  <c:v>106.25959999999999</c:v>
                </c:pt>
                <c:pt idx="9">
                  <c:v>137.86440000000002</c:v>
                </c:pt>
                <c:pt idx="10">
                  <c:v>137.86440000000002</c:v>
                </c:pt>
                <c:pt idx="11">
                  <c:v>138.4932</c:v>
                </c:pt>
                <c:pt idx="12">
                  <c:v>173.24859999999998</c:v>
                </c:pt>
                <c:pt idx="13">
                  <c:v>175.28030000000001</c:v>
                </c:pt>
                <c:pt idx="14">
                  <c:v>174.72619999999998</c:v>
                </c:pt>
                <c:pt idx="15">
                  <c:v>192.47200000000001</c:v>
                </c:pt>
                <c:pt idx="16">
                  <c:v>194.8288</c:v>
                </c:pt>
                <c:pt idx="17">
                  <c:v>192.47200000000001</c:v>
                </c:pt>
              </c:numCache>
            </c:numRef>
          </c:xVal>
          <c:yVal>
            <c:numRef>
              <c:f>'Laser Data Thrust'!$O$3:$O$20</c:f>
              <c:numCache>
                <c:formatCode>0.00E+00</c:formatCode>
                <c:ptCount val="18"/>
                <c:pt idx="0">
                  <c:v>2.5522697662500038E-3</c:v>
                </c:pt>
                <c:pt idx="1">
                  <c:v>2.4987571198413997E-3</c:v>
                </c:pt>
                <c:pt idx="2">
                  <c:v>2.4660922234386595E-3</c:v>
                </c:pt>
                <c:pt idx="3">
                  <c:v>4.0531010906856993E-3</c:v>
                </c:pt>
                <c:pt idx="4">
                  <c:v>4.0369209818199945E-3</c:v>
                </c:pt>
                <c:pt idx="5">
                  <c:v>4.0531010906856993E-3</c:v>
                </c:pt>
                <c:pt idx="6">
                  <c:v>5.3730632974368676E-3</c:v>
                </c:pt>
                <c:pt idx="7">
                  <c:v>5.3230802268986153E-3</c:v>
                </c:pt>
                <c:pt idx="8">
                  <c:v>5.4127174390757229E-3</c:v>
                </c:pt>
                <c:pt idx="9">
                  <c:v>7.1537881354992641E-3</c:v>
                </c:pt>
                <c:pt idx="10">
                  <c:v>7.1537881354992641E-3</c:v>
                </c:pt>
                <c:pt idx="11">
                  <c:v>7.2002417933175597E-3</c:v>
                </c:pt>
                <c:pt idx="12">
                  <c:v>9.2024856606503398E-3</c:v>
                </c:pt>
                <c:pt idx="13">
                  <c:v>9.3390100991762783E-3</c:v>
                </c:pt>
                <c:pt idx="14">
                  <c:v>9.3019748834884865E-3</c:v>
                </c:pt>
                <c:pt idx="15">
                  <c:v>1.0328749778085898E-2</c:v>
                </c:pt>
                <c:pt idx="16">
                  <c:v>1.0478812115563691E-2</c:v>
                </c:pt>
                <c:pt idx="17">
                  <c:v>1.0328749778085898E-2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13C-4546-9539-82AC6AE3C5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625456"/>
        <c:axId val="616603696"/>
      </c:scatterChart>
      <c:valAx>
        <c:axId val="61462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Anode Power (W)</a:t>
                </a:r>
              </a:p>
            </c:rich>
          </c:tx>
          <c:layout>
            <c:manualLayout>
              <c:xMode val="edge"/>
              <c:yMode val="edge"/>
              <c:x val="0.47167059129226513"/>
              <c:y val="0.883938277876555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603696"/>
        <c:crosses val="autoZero"/>
        <c:crossBetween val="midCat"/>
      </c:valAx>
      <c:valAx>
        <c:axId val="61660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Thrust (N)</a:t>
                </a:r>
              </a:p>
            </c:rich>
          </c:tx>
          <c:layout>
            <c:manualLayout>
              <c:xMode val="edge"/>
              <c:yMode val="edge"/>
              <c:x val="3.15411500851632E-2"/>
              <c:y val="0.329228155956311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625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384426946631672"/>
          <c:y val="8.2752989209682132E-2"/>
          <c:w val="0.34752624762041195"/>
          <c:h val="0.22743219597550307"/>
        </c:manualLayout>
      </c:layout>
      <c:overlay val="0"/>
      <c:spPr>
        <a:solidFill>
          <a:schemeClr val="bg1"/>
        </a:solidFill>
        <a:ln>
          <a:solidFill>
            <a:schemeClr val="bg1">
              <a:lumMod val="8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097499536497205"/>
          <c:y val="4.4594589849479692E-2"/>
          <c:w val="0.83076555339169111"/>
          <c:h val="0.77539202219706083"/>
        </c:manualLayout>
      </c:layout>
      <c:scatterChart>
        <c:scatterStyle val="lineMarker"/>
        <c:varyColors val="0"/>
        <c:ser>
          <c:idx val="0"/>
          <c:order val="0"/>
          <c:tx>
            <c:v>Lab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'Laser Data Thrust'!$K$3:$K$20</c:f>
              <c:numCache>
                <c:formatCode>0</c:formatCode>
                <c:ptCount val="18"/>
                <c:pt idx="0">
                  <c:v>51.336299999999994</c:v>
                </c:pt>
                <c:pt idx="1">
                  <c:v>50.703299999999999</c:v>
                </c:pt>
                <c:pt idx="2">
                  <c:v>50.323500000000003</c:v>
                </c:pt>
                <c:pt idx="3">
                  <c:v>80.868499999999997</c:v>
                </c:pt>
                <c:pt idx="4">
                  <c:v>80.671500000000009</c:v>
                </c:pt>
                <c:pt idx="5">
                  <c:v>80.868499999999997</c:v>
                </c:pt>
                <c:pt idx="6">
                  <c:v>105.75599999999999</c:v>
                </c:pt>
                <c:pt idx="7">
                  <c:v>105.12649999999999</c:v>
                </c:pt>
                <c:pt idx="8">
                  <c:v>106.25959999999999</c:v>
                </c:pt>
                <c:pt idx="9">
                  <c:v>137.86440000000002</c:v>
                </c:pt>
                <c:pt idx="10">
                  <c:v>137.86440000000002</c:v>
                </c:pt>
                <c:pt idx="11">
                  <c:v>138.4932</c:v>
                </c:pt>
                <c:pt idx="12">
                  <c:v>173.24859999999998</c:v>
                </c:pt>
                <c:pt idx="13">
                  <c:v>175.28030000000001</c:v>
                </c:pt>
                <c:pt idx="14">
                  <c:v>174.72619999999998</c:v>
                </c:pt>
                <c:pt idx="15">
                  <c:v>192.47200000000001</c:v>
                </c:pt>
                <c:pt idx="16">
                  <c:v>194.8288</c:v>
                </c:pt>
                <c:pt idx="17">
                  <c:v>192.47200000000001</c:v>
                </c:pt>
              </c:numCache>
            </c:numRef>
          </c:xVal>
          <c:yVal>
            <c:numRef>
              <c:f>'Laser Data Thrust'!$N$3:$N$20</c:f>
              <c:numCache>
                <c:formatCode>0</c:formatCode>
                <c:ptCount val="18"/>
                <c:pt idx="0">
                  <c:v>514.76964846434817</c:v>
                </c:pt>
                <c:pt idx="1">
                  <c:v>503.97663334329081</c:v>
                </c:pt>
                <c:pt idx="2">
                  <c:v>497.38842019250438</c:v>
                </c:pt>
                <c:pt idx="3">
                  <c:v>525.34097023188622</c:v>
                </c:pt>
                <c:pt idx="4">
                  <c:v>523.2437923180413</c:v>
                </c:pt>
                <c:pt idx="5">
                  <c:v>525.34097023188622</c:v>
                </c:pt>
                <c:pt idx="6">
                  <c:v>544.86171516258537</c:v>
                </c:pt>
                <c:pt idx="7">
                  <c:v>539.79312392608233</c:v>
                </c:pt>
                <c:pt idx="8">
                  <c:v>548.88288938492406</c:v>
                </c:pt>
                <c:pt idx="9">
                  <c:v>580.99661060885444</c:v>
                </c:pt>
                <c:pt idx="10">
                  <c:v>580.99661060885444</c:v>
                </c:pt>
                <c:pt idx="11">
                  <c:v>584.76935551429585</c:v>
                </c:pt>
                <c:pt idx="12">
                  <c:v>636.10428397064663</c:v>
                </c:pt>
                <c:pt idx="13">
                  <c:v>645.54127560698021</c:v>
                </c:pt>
                <c:pt idx="14">
                  <c:v>642.98128690115539</c:v>
                </c:pt>
                <c:pt idx="15">
                  <c:v>671.42319366172262</c:v>
                </c:pt>
                <c:pt idx="16">
                  <c:v>681.17803679786391</c:v>
                </c:pt>
                <c:pt idx="17">
                  <c:v>671.42319366172262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B4-E24A-A14F-DF18294DF0C5}"/>
            </c:ext>
          </c:extLst>
        </c:ser>
        <c:ser>
          <c:idx val="1"/>
          <c:order val="1"/>
          <c:tx>
            <c:v>Lab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'Laser Data Thrust'!$K$21:$K$38</c:f>
              <c:numCache>
                <c:formatCode>0</c:formatCode>
                <c:ptCount val="18"/>
                <c:pt idx="0">
                  <c:v>112.57199999999999</c:v>
                </c:pt>
                <c:pt idx="1">
                  <c:v>109.74</c:v>
                </c:pt>
                <c:pt idx="2">
                  <c:v>111.502</c:v>
                </c:pt>
                <c:pt idx="3">
                  <c:v>70.84920000000001</c:v>
                </c:pt>
                <c:pt idx="4">
                  <c:v>70.0976</c:v>
                </c:pt>
                <c:pt idx="5">
                  <c:v>69.838999999999999</c:v>
                </c:pt>
                <c:pt idx="6">
                  <c:v>89.075999999999993</c:v>
                </c:pt>
                <c:pt idx="7">
                  <c:v>87.363</c:v>
                </c:pt>
                <c:pt idx="8">
                  <c:v>87.210899999999995</c:v>
                </c:pt>
                <c:pt idx="9">
                  <c:v>147.91140000000001</c:v>
                </c:pt>
                <c:pt idx="10">
                  <c:v>148.81440000000001</c:v>
                </c:pt>
                <c:pt idx="11">
                  <c:v>146.9091</c:v>
                </c:pt>
                <c:pt idx="12">
                  <c:v>182.53200000000001</c:v>
                </c:pt>
                <c:pt idx="13">
                  <c:v>184.864</c:v>
                </c:pt>
                <c:pt idx="14">
                  <c:v>183.4665</c:v>
                </c:pt>
                <c:pt idx="15">
                  <c:v>215.61959999999996</c:v>
                </c:pt>
                <c:pt idx="16">
                  <c:v>218.95650000000001</c:v>
                </c:pt>
                <c:pt idx="17">
                  <c:v>207.1925</c:v>
                </c:pt>
              </c:numCache>
            </c:numRef>
          </c:xVal>
          <c:yVal>
            <c:numRef>
              <c:f>'Laser Data Thrust'!$N$21:$N$38</c:f>
              <c:numCache>
                <c:formatCode>0</c:formatCode>
                <c:ptCount val="18"/>
                <c:pt idx="0">
                  <c:v>460.66271790168605</c:v>
                </c:pt>
                <c:pt idx="1">
                  <c:v>436.14154997709926</c:v>
                </c:pt>
                <c:pt idx="2">
                  <c:v>452.23157657080822</c:v>
                </c:pt>
                <c:pt idx="3">
                  <c:v>444.87772750866753</c:v>
                </c:pt>
                <c:pt idx="4">
                  <c:v>432.34343803185607</c:v>
                </c:pt>
                <c:pt idx="5">
                  <c:v>429.79271702111373</c:v>
                </c:pt>
                <c:pt idx="6">
                  <c:v>442.39928077299362</c:v>
                </c:pt>
                <c:pt idx="7">
                  <c:v>423.34868322974114</c:v>
                </c:pt>
                <c:pt idx="8">
                  <c:v>420.74343582228528</c:v>
                </c:pt>
                <c:pt idx="9">
                  <c:v>488.46593056459795</c:v>
                </c:pt>
                <c:pt idx="10">
                  <c:v>494.06137000819444</c:v>
                </c:pt>
                <c:pt idx="11">
                  <c:v>481.66560901510911</c:v>
                </c:pt>
                <c:pt idx="12">
                  <c:v>533.647271353875</c:v>
                </c:pt>
                <c:pt idx="13">
                  <c:v>544.86171516258537</c:v>
                </c:pt>
                <c:pt idx="14">
                  <c:v>537.75231085794951</c:v>
                </c:pt>
                <c:pt idx="15">
                  <c:v>601.4539204227807</c:v>
                </c:pt>
                <c:pt idx="16">
                  <c:v>614.11749692190983</c:v>
                </c:pt>
                <c:pt idx="17">
                  <c:v>567.59455591582048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B4-E24A-A14F-DF18294DF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903360"/>
        <c:axId val="149904992"/>
      </c:scatterChart>
      <c:valAx>
        <c:axId val="14990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Anode Power (W)</a:t>
                </a:r>
              </a:p>
            </c:rich>
          </c:tx>
          <c:layout>
            <c:manualLayout>
              <c:xMode val="edge"/>
              <c:yMode val="edge"/>
              <c:x val="0.43586679790026239"/>
              <c:y val="0.887939632545931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04992"/>
        <c:crosses val="autoZero"/>
        <c:crossBetween val="midCat"/>
      </c:valAx>
      <c:valAx>
        <c:axId val="149904992"/>
        <c:scaling>
          <c:orientation val="minMax"/>
          <c:max val="75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Specific Impulse</a:t>
                </a:r>
                <a:r>
                  <a:rPr lang="en-GB" baseline="0"/>
                  <a:t> (s)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1.9444444444444445E-2"/>
              <c:y val="0.233753645377661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03360"/>
        <c:crosses val="autoZero"/>
        <c:crossBetween val="midCat"/>
        <c:majorUnit val="5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979475636607678"/>
          <c:y val="0.58158719072279308"/>
          <c:w val="0.11993498702958297"/>
          <c:h val="0.18547391088807075"/>
        </c:manualLayout>
      </c:layout>
      <c:overlay val="0"/>
      <c:spPr>
        <a:solidFill>
          <a:schemeClr val="bg1"/>
        </a:solidFill>
        <a:ln>
          <a:solidFill>
            <a:schemeClr val="bg1">
              <a:lumMod val="8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63499</xdr:colOff>
      <xdr:row>1</xdr:row>
      <xdr:rowOff>50800</xdr:rowOff>
    </xdr:from>
    <xdr:to>
      <xdr:col>6</xdr:col>
      <xdr:colOff>281474</xdr:colOff>
      <xdr:row>16</xdr:row>
      <xdr:rowOff>105834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198B9E-0C94-B94D-B848-B0B51BD8B4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31749</xdr:colOff>
      <xdr:row>1</xdr:row>
      <xdr:rowOff>31751</xdr:rowOff>
    </xdr:from>
    <xdr:to>
      <xdr:col>13</xdr:col>
      <xdr:colOff>201082</xdr:colOff>
      <xdr:row>16</xdr:row>
      <xdr:rowOff>88901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D7E3E5C-97EE-9244-ABEF-F646AD09AB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42333</xdr:colOff>
      <xdr:row>18</xdr:row>
      <xdr:rowOff>31749</xdr:rowOff>
    </xdr:from>
    <xdr:to>
      <xdr:col>13</xdr:col>
      <xdr:colOff>370417</xdr:colOff>
      <xdr:row>33</xdr:row>
      <xdr:rowOff>184149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F0D62F3-D185-094C-8382-3D657C915D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42333</xdr:colOff>
      <xdr:row>35</xdr:row>
      <xdr:rowOff>42333</xdr:rowOff>
    </xdr:from>
    <xdr:to>
      <xdr:col>6</xdr:col>
      <xdr:colOff>338666</xdr:colOff>
      <xdr:row>50</xdr:row>
      <xdr:rowOff>175683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51CEC41-01FD-3740-B5F9-D1601FC50D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42333</xdr:colOff>
      <xdr:row>18</xdr:row>
      <xdr:rowOff>42332</xdr:rowOff>
    </xdr:from>
    <xdr:to>
      <xdr:col>6</xdr:col>
      <xdr:colOff>310445</xdr:colOff>
      <xdr:row>33</xdr:row>
      <xdr:rowOff>158749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B8ABD73-858A-4A49-BDAF-E1FFFE5249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3BF46-7E47-6A40-8158-869DFF9D3B00}">
  <dimension ref="A1:BC111"/>
  <sheetViews>
    <sheetView tabSelected="1" workbookViewId="0">
      <pane xSplit="5" ySplit="2" topLeftCell="AS3" activePane="bottomRight" state="frozen"/>
      <selection pane="topRight" activeCell="F1" sqref="F1"/>
      <selection pane="bottomLeft" activeCell="A2" sqref="A2"/>
      <selection pane="bottomRight" activeCell="AU3" sqref="AU3:AV6"/>
    </sheetView>
  </sheetViews>
  <sheetFormatPr baseColWidth="10" defaultRowHeight="16"/>
  <cols>
    <col min="1" max="1" width="36.5" bestFit="1" customWidth="1"/>
    <col min="2" max="3" width="10.83203125" style="1" customWidth="1"/>
    <col min="4" max="4" width="10.83203125" customWidth="1"/>
    <col min="5" max="5" width="10.83203125" style="13" customWidth="1"/>
    <col min="6" max="6" width="17.1640625" style="9" bestFit="1" customWidth="1"/>
    <col min="7" max="8" width="10.83203125" style="9" customWidth="1"/>
    <col min="9" max="9" width="16.33203125" bestFit="1" customWidth="1"/>
    <col min="10" max="10" width="15.83203125" bestFit="1" customWidth="1"/>
    <col min="11" max="11" width="15.6640625" bestFit="1" customWidth="1"/>
    <col min="12" max="12" width="15.83203125" bestFit="1" customWidth="1"/>
    <col min="13" max="13" width="15.5" bestFit="1" customWidth="1"/>
    <col min="14" max="14" width="17.33203125" style="2" bestFit="1" customWidth="1"/>
    <col min="15" max="15" width="26.6640625" bestFit="1" customWidth="1"/>
    <col min="16" max="16" width="16.83203125" bestFit="1" customWidth="1"/>
    <col min="17" max="17" width="20" bestFit="1" customWidth="1"/>
    <col min="18" max="18" width="17" bestFit="1" customWidth="1"/>
    <col min="19" max="19" width="17" customWidth="1"/>
    <col min="20" max="20" width="20" bestFit="1" customWidth="1"/>
    <col min="21" max="21" width="21" bestFit="1" customWidth="1"/>
    <col min="22" max="22" width="16.83203125" bestFit="1" customWidth="1"/>
    <col min="23" max="23" width="20" bestFit="1" customWidth="1"/>
    <col min="24" max="24" width="14.6640625" bestFit="1" customWidth="1"/>
    <col min="25" max="25" width="13.6640625" bestFit="1" customWidth="1"/>
    <col min="26" max="26" width="14.6640625" bestFit="1" customWidth="1"/>
    <col min="27" max="27" width="13.6640625" bestFit="1" customWidth="1"/>
    <col min="28" max="28" width="14.6640625" bestFit="1" customWidth="1"/>
    <col min="29" max="29" width="13.6640625" bestFit="1" customWidth="1"/>
    <col min="43" max="44" width="10.83203125" customWidth="1"/>
    <col min="47" max="47" width="25.1640625" bestFit="1" customWidth="1"/>
    <col min="48" max="48" width="27.33203125" bestFit="1" customWidth="1"/>
    <col min="50" max="50" width="23.33203125" bestFit="1" customWidth="1"/>
    <col min="51" max="51" width="26.6640625" bestFit="1" customWidth="1"/>
  </cols>
  <sheetData>
    <row r="1" spans="1:55">
      <c r="U1" s="40"/>
      <c r="V1" s="10"/>
      <c r="W1" s="10"/>
      <c r="X1" s="65" t="s">
        <v>77</v>
      </c>
      <c r="Y1" s="66"/>
      <c r="Z1" s="67" t="s">
        <v>78</v>
      </c>
      <c r="AA1" s="67"/>
      <c r="AB1" s="68" t="s">
        <v>79</v>
      </c>
      <c r="AC1" s="69"/>
      <c r="AD1" s="24"/>
    </row>
    <row r="2" spans="1:55">
      <c r="A2" s="14" t="s">
        <v>5</v>
      </c>
      <c r="B2" s="14" t="s">
        <v>42</v>
      </c>
      <c r="C2" s="14" t="s">
        <v>2</v>
      </c>
      <c r="D2" s="23" t="s">
        <v>6</v>
      </c>
      <c r="E2" s="45"/>
      <c r="F2" s="32" t="s">
        <v>0</v>
      </c>
      <c r="G2" s="32" t="s">
        <v>3</v>
      </c>
      <c r="H2" s="32" t="s">
        <v>33</v>
      </c>
      <c r="I2" s="32" t="s">
        <v>24</v>
      </c>
      <c r="J2" s="32" t="s">
        <v>25</v>
      </c>
      <c r="K2" s="33" t="s">
        <v>34</v>
      </c>
      <c r="L2" s="33" t="s">
        <v>67</v>
      </c>
      <c r="M2" s="33" t="s">
        <v>40</v>
      </c>
      <c r="N2" s="33" t="s">
        <v>66</v>
      </c>
      <c r="O2" s="37" t="s">
        <v>41</v>
      </c>
      <c r="P2" s="37" t="s">
        <v>92</v>
      </c>
      <c r="Q2" s="37" t="s">
        <v>93</v>
      </c>
      <c r="R2" s="38" t="s">
        <v>68</v>
      </c>
      <c r="S2" s="38" t="s">
        <v>92</v>
      </c>
      <c r="T2" s="38" t="s">
        <v>93</v>
      </c>
      <c r="U2" s="39" t="s">
        <v>28</v>
      </c>
      <c r="V2" s="39" t="s">
        <v>92</v>
      </c>
      <c r="W2" s="39" t="s">
        <v>93</v>
      </c>
      <c r="X2" s="37" t="s">
        <v>32</v>
      </c>
      <c r="Y2" s="37" t="s">
        <v>69</v>
      </c>
      <c r="Z2" s="38" t="s">
        <v>32</v>
      </c>
      <c r="AA2" s="38" t="s">
        <v>69</v>
      </c>
      <c r="AB2" s="39" t="s">
        <v>32</v>
      </c>
      <c r="AC2" s="39" t="s">
        <v>69</v>
      </c>
      <c r="AD2" s="24"/>
    </row>
    <row r="3" spans="1:55" ht="18">
      <c r="A3" s="15" t="s">
        <v>7</v>
      </c>
      <c r="B3" s="15" t="s">
        <v>43</v>
      </c>
      <c r="C3" s="15">
        <v>83.798000000000002</v>
      </c>
      <c r="D3" s="20" t="s">
        <v>80</v>
      </c>
      <c r="E3" s="34"/>
      <c r="F3" s="3">
        <v>1</v>
      </c>
      <c r="G3" s="5">
        <v>2.5187E-3</v>
      </c>
      <c r="H3" s="3">
        <v>1</v>
      </c>
      <c r="I3" s="46">
        <v>81.099999999999994</v>
      </c>
      <c r="J3" s="11">
        <v>0.63300000000000001</v>
      </c>
      <c r="K3" s="46">
        <f>I3*J3</f>
        <v>51.336299999999994</v>
      </c>
      <c r="L3" s="11">
        <f>I3-($C$11+$B$29)</f>
        <v>24.099999999999994</v>
      </c>
      <c r="M3" s="12">
        <f>J3*$C$13</f>
        <v>0.48741000000000001</v>
      </c>
      <c r="N3" s="46">
        <f t="shared" ref="N3:N38" si="0">$C$18*$C$17*$C$19/$C$20*SQRT(2*$C$6*L3/$C$4)</f>
        <v>514.76964846434817</v>
      </c>
      <c r="O3" s="41">
        <f t="shared" ref="O3:O38" si="1">$C$18*$C$19*SQRT(2*$C$4/$C$6)*M3*SQRT(L3)</f>
        <v>2.5522697662500038E-3</v>
      </c>
      <c r="P3" s="77">
        <f>AVERAGE(O3:O5)</f>
        <v>2.5057063698433542E-3</v>
      </c>
      <c r="Q3" s="77">
        <f>STDEV(O3:O5)</f>
        <v>4.3507025615899303E-5</v>
      </c>
      <c r="R3" s="43">
        <f t="shared" ref="R3:R20" si="2">$B$28*N3*$C$20</f>
        <v>3.146697349662741E-3</v>
      </c>
      <c r="S3" s="75">
        <f>AVERAGE(R3:R5)</f>
        <v>3.0892892660809735E-3</v>
      </c>
      <c r="T3" s="75">
        <f>STDEV(R3:R5)</f>
        <v>5.3639879297872225E-5</v>
      </c>
      <c r="U3" s="48">
        <f t="shared" ref="U3" si="3">G3*$C$21</f>
        <v>7.1228836000000002E-4</v>
      </c>
      <c r="V3" s="73">
        <f>AVERAGE(U3:U5)</f>
        <v>8.7511517333333335E-4</v>
      </c>
      <c r="W3" s="73">
        <f>STDEV(U3:U5)</f>
        <v>1.4330834216533426E-4</v>
      </c>
      <c r="X3" s="50">
        <f t="shared" ref="X3:X20" si="4">O3^2/(2*$B$28*K3)</f>
        <v>0.10181823336510966</v>
      </c>
      <c r="Y3" s="50">
        <f t="shared" ref="Y3:Y20" si="5">O3^2/(2*(($B$28+$B$26)*(K3+$B$31+$B$38)))</f>
        <v>5.0215893724845355E-2</v>
      </c>
      <c r="Z3" s="51">
        <f>R3^2/(2*$B$28*K3)</f>
        <v>0.15476842186015582</v>
      </c>
      <c r="AA3" s="51">
        <f t="shared" ref="AA3:AA20" si="6">R3^2/(2*(($B$28+$B$26)*(K3+$B$31+$B$38)))</f>
        <v>7.6330479986061253E-2</v>
      </c>
      <c r="AB3" s="52">
        <f t="shared" ref="AB3" si="7">U3^2/(2*$B$28*K3)</f>
        <v>7.9301992646818673E-3</v>
      </c>
      <c r="AC3" s="52">
        <f t="shared" ref="AC3" si="8">U3^2/(2*(($B$28+$B$26)*(K3+$B$31+$B$38)))</f>
        <v>3.911107375671392E-3</v>
      </c>
      <c r="AD3" s="24"/>
      <c r="AU3" t="s">
        <v>94</v>
      </c>
      <c r="AV3" t="s">
        <v>98</v>
      </c>
      <c r="AX3" s="79"/>
      <c r="AY3" s="7" t="s">
        <v>0</v>
      </c>
      <c r="AZ3" s="7">
        <v>1</v>
      </c>
      <c r="BA3" s="7">
        <v>2</v>
      </c>
      <c r="BB3" s="7" t="s">
        <v>91</v>
      </c>
      <c r="BC3" s="80">
        <v>37</v>
      </c>
    </row>
    <row r="4" spans="1:55" ht="18">
      <c r="A4" s="16" t="s">
        <v>46</v>
      </c>
      <c r="B4" s="16" t="s">
        <v>43</v>
      </c>
      <c r="C4" s="18">
        <v>1.46E-25</v>
      </c>
      <c r="D4" s="21" t="s">
        <v>11</v>
      </c>
      <c r="E4" s="45"/>
      <c r="F4" s="3">
        <v>2</v>
      </c>
      <c r="G4" s="5">
        <v>3.2919999999999998E-3</v>
      </c>
      <c r="H4" s="3">
        <v>1</v>
      </c>
      <c r="I4" s="46">
        <v>80.099999999999994</v>
      </c>
      <c r="J4" s="11">
        <v>0.63300000000000001</v>
      </c>
      <c r="K4" s="46">
        <f t="shared" ref="K4:K37" si="9">I4*J4</f>
        <v>50.703299999999999</v>
      </c>
      <c r="L4" s="11">
        <f>I4-($C$11+$B$29)</f>
        <v>23.099999999999994</v>
      </c>
      <c r="M4" s="12">
        <f t="shared" ref="M4:M37" si="10">J4*$C$13</f>
        <v>0.48741000000000001</v>
      </c>
      <c r="N4" s="46">
        <f t="shared" si="0"/>
        <v>503.97663334329081</v>
      </c>
      <c r="O4" s="41">
        <f t="shared" si="1"/>
        <v>2.4987571198413997E-3</v>
      </c>
      <c r="P4" s="78"/>
      <c r="Q4" s="78"/>
      <c r="R4" s="43">
        <f t="shared" si="2"/>
        <v>3.0807215249853987E-3</v>
      </c>
      <c r="S4" s="76"/>
      <c r="T4" s="76"/>
      <c r="U4" s="48">
        <f>G4*$C$21</f>
        <v>9.3097759999999992E-4</v>
      </c>
      <c r="V4" s="74"/>
      <c r="W4" s="74"/>
      <c r="X4" s="50">
        <f t="shared" si="4"/>
        <v>9.8811805040654607E-2</v>
      </c>
      <c r="Y4" s="50">
        <f t="shared" si="5"/>
        <v>4.842674312083943E-2</v>
      </c>
      <c r="Z4" s="51">
        <f t="shared" ref="Z4:Z20" si="11">R4^2/(2*$B$28*K4)</f>
        <v>0.15019851181719665</v>
      </c>
      <c r="AA4" s="51">
        <f t="shared" si="6"/>
        <v>7.3610888353988949E-2</v>
      </c>
      <c r="AB4" s="52">
        <f>U4^2/(2*$B$28*K4)</f>
        <v>1.3716370481892816E-2</v>
      </c>
      <c r="AC4" s="52">
        <f>U4^2/(2*(($B$28+$B$26)*(K4+$B$31+$B$38)))</f>
        <v>6.7222651140073477E-3</v>
      </c>
      <c r="AD4" s="24"/>
      <c r="AU4" t="s">
        <v>96</v>
      </c>
      <c r="AV4" s="1">
        <f>Q39</f>
        <v>9.9961850605416168E-5</v>
      </c>
      <c r="AX4" s="81"/>
      <c r="AY4" s="3" t="s">
        <v>3</v>
      </c>
      <c r="AZ4" s="5">
        <v>2.5187E-3</v>
      </c>
      <c r="BA4" s="5">
        <v>3.2919999999999998E-3</v>
      </c>
      <c r="BB4" s="3" t="s">
        <v>91</v>
      </c>
      <c r="BC4" s="82">
        <v>1.2827E-2</v>
      </c>
    </row>
    <row r="5" spans="1:55" ht="18">
      <c r="A5" s="16" t="s">
        <v>19</v>
      </c>
      <c r="B5" s="16" t="s">
        <v>44</v>
      </c>
      <c r="C5" s="18">
        <v>9.1100000000000003E-31</v>
      </c>
      <c r="D5" s="21" t="s">
        <v>11</v>
      </c>
      <c r="E5" s="45"/>
      <c r="F5" s="3">
        <v>3</v>
      </c>
      <c r="G5" s="5">
        <v>3.4727E-3</v>
      </c>
      <c r="H5" s="3">
        <v>1</v>
      </c>
      <c r="I5" s="46">
        <v>79.5</v>
      </c>
      <c r="J5" s="11">
        <v>0.63300000000000001</v>
      </c>
      <c r="K5" s="46">
        <f t="shared" si="9"/>
        <v>50.323500000000003</v>
      </c>
      <c r="L5" s="11">
        <f>I5-($C$11+$B$29)</f>
        <v>22.5</v>
      </c>
      <c r="M5" s="12">
        <f>J5*$C$13</f>
        <v>0.48741000000000001</v>
      </c>
      <c r="N5" s="46">
        <f t="shared" si="0"/>
        <v>497.38842019250438</v>
      </c>
      <c r="O5" s="41">
        <f t="shared" si="1"/>
        <v>2.4660922234386595E-3</v>
      </c>
      <c r="P5" s="78"/>
      <c r="Q5" s="78"/>
      <c r="R5" s="43">
        <f t="shared" si="2"/>
        <v>3.0404489235947808E-3</v>
      </c>
      <c r="S5" s="76"/>
      <c r="T5" s="76"/>
      <c r="U5" s="48">
        <f>G5*$C$21</f>
        <v>9.8207956E-4</v>
      </c>
      <c r="V5" s="74"/>
      <c r="W5" s="74"/>
      <c r="X5" s="50">
        <f t="shared" si="4"/>
        <v>9.6971644005837215E-2</v>
      </c>
      <c r="Y5" s="50">
        <f t="shared" si="5"/>
        <v>4.7342705020914908E-2</v>
      </c>
      <c r="Z5" s="51">
        <f t="shared" si="11"/>
        <v>0.14740138197203442</v>
      </c>
      <c r="AA5" s="51">
        <f t="shared" si="6"/>
        <v>7.1963100326082594E-2</v>
      </c>
      <c r="AB5" s="52">
        <f>U5^2/(2*$B$28*K5)</f>
        <v>1.5378694702984891E-2</v>
      </c>
      <c r="AC5" s="52">
        <f>U5^2/(2*(($B$28+$B$26)*(K5+$B$31+$B$38)))</f>
        <v>7.5080608810374925E-3</v>
      </c>
      <c r="AD5" s="24"/>
      <c r="AU5" t="s">
        <v>95</v>
      </c>
      <c r="AV5" s="1">
        <f>T39</f>
        <v>5.5616033445806208E-5</v>
      </c>
      <c r="AX5" s="81"/>
      <c r="AY5" s="3" t="s">
        <v>33</v>
      </c>
      <c r="AZ5" s="3">
        <v>1</v>
      </c>
      <c r="BA5" s="3">
        <v>1</v>
      </c>
      <c r="BB5" s="3" t="s">
        <v>91</v>
      </c>
      <c r="BC5" s="83">
        <v>2</v>
      </c>
    </row>
    <row r="6" spans="1:55">
      <c r="A6" s="16" t="s">
        <v>20</v>
      </c>
      <c r="B6" s="16" t="s">
        <v>45</v>
      </c>
      <c r="C6" s="18">
        <v>1.5999999999999999E-19</v>
      </c>
      <c r="D6" s="21" t="s">
        <v>12</v>
      </c>
      <c r="E6" s="45"/>
      <c r="F6" s="3">
        <v>4</v>
      </c>
      <c r="G6" s="5">
        <v>5.5057999999999999E-3</v>
      </c>
      <c r="H6" s="3">
        <v>1</v>
      </c>
      <c r="I6" s="46">
        <v>82.1</v>
      </c>
      <c r="J6" s="11">
        <v>0.98499999999999999</v>
      </c>
      <c r="K6" s="46">
        <f t="shared" si="9"/>
        <v>80.868499999999997</v>
      </c>
      <c r="L6" s="11">
        <f t="shared" ref="L6:L20" si="12">I6-($C$11+$B$29)</f>
        <v>25.099999999999994</v>
      </c>
      <c r="M6" s="12">
        <f t="shared" si="10"/>
        <v>0.75844999999999996</v>
      </c>
      <c r="N6" s="46">
        <f t="shared" si="0"/>
        <v>525.34097023188622</v>
      </c>
      <c r="O6" s="41">
        <f t="shared" si="1"/>
        <v>4.0531010906856993E-3</v>
      </c>
      <c r="P6" s="77">
        <f>AVERAGE(O6:O8)</f>
        <v>4.0477077210637974E-3</v>
      </c>
      <c r="Q6" s="77">
        <f t="shared" ref="Q6" si="13">STDEV(O6:O8)</f>
        <v>9.3415902091321346E-6</v>
      </c>
      <c r="R6" s="43">
        <f t="shared" si="2"/>
        <v>3.2113180014194612E-3</v>
      </c>
      <c r="S6" s="75">
        <f>AVERAGE(R6:R8)</f>
        <v>3.2070447734472E-3</v>
      </c>
      <c r="T6" s="75">
        <f t="shared" ref="T6" si="14">STDEV(R6:R8)</f>
        <v>7.4014479602810052E-6</v>
      </c>
      <c r="U6" s="48">
        <f>G6*$C$21</f>
        <v>1.5570402399999999E-3</v>
      </c>
      <c r="V6" s="73">
        <f>AVERAGE(U6:U8)</f>
        <v>1.4878767866666667E-3</v>
      </c>
      <c r="W6" s="73">
        <f t="shared" ref="W6" si="15">STDEV(U6:U8)</f>
        <v>6.1488916837821475E-5</v>
      </c>
      <c r="X6" s="50">
        <f t="shared" si="4"/>
        <v>0.16300182011386305</v>
      </c>
      <c r="Y6" s="50">
        <f t="shared" si="5"/>
        <v>9.8649136616974303E-2</v>
      </c>
      <c r="Z6" s="51">
        <f t="shared" si="11"/>
        <v>0.10232557876129977</v>
      </c>
      <c r="AA6" s="51">
        <f t="shared" si="6"/>
        <v>6.1927713393526207E-2</v>
      </c>
      <c r="AB6" s="52">
        <f>U6^2/(2*$B$28*K6)</f>
        <v>2.4055658805042675E-2</v>
      </c>
      <c r="AC6" s="52">
        <f>U6^2/(2*(($B$28+$B$26)*(K6+$B$31+$B$38)))</f>
        <v>1.4558548918118185E-2</v>
      </c>
      <c r="AD6" s="24"/>
      <c r="AU6" t="s">
        <v>97</v>
      </c>
      <c r="AV6" s="1">
        <f>W39</f>
        <v>1.6575945888157819E-4</v>
      </c>
      <c r="AX6" s="24"/>
      <c r="AY6" s="3" t="s">
        <v>24</v>
      </c>
      <c r="AZ6" s="11">
        <v>81.099999999999994</v>
      </c>
      <c r="BA6" s="11">
        <v>80.099999999999994</v>
      </c>
      <c r="BB6" s="3" t="s">
        <v>91</v>
      </c>
      <c r="BC6" s="45">
        <v>89.5</v>
      </c>
    </row>
    <row r="7" spans="1:55">
      <c r="A7" s="16" t="s">
        <v>17</v>
      </c>
      <c r="B7" s="16" t="s">
        <v>47</v>
      </c>
      <c r="C7" s="16">
        <v>25</v>
      </c>
      <c r="D7" s="21" t="s">
        <v>13</v>
      </c>
      <c r="E7" s="45"/>
      <c r="F7" s="3">
        <v>5</v>
      </c>
      <c r="G7" s="5">
        <v>5.0898000000000002E-3</v>
      </c>
      <c r="H7" s="3">
        <v>1</v>
      </c>
      <c r="I7" s="46">
        <v>81.900000000000006</v>
      </c>
      <c r="J7" s="11">
        <v>0.98499999999999999</v>
      </c>
      <c r="K7" s="46">
        <f t="shared" si="9"/>
        <v>80.671500000000009</v>
      </c>
      <c r="L7" s="11">
        <f t="shared" si="12"/>
        <v>24.900000000000006</v>
      </c>
      <c r="M7" s="12">
        <f t="shared" si="10"/>
        <v>0.75844999999999996</v>
      </c>
      <c r="N7" s="46">
        <f t="shared" si="0"/>
        <v>523.2437923180413</v>
      </c>
      <c r="O7" s="41">
        <f t="shared" si="1"/>
        <v>4.0369209818199945E-3</v>
      </c>
      <c r="P7" s="78"/>
      <c r="Q7" s="78"/>
      <c r="R7" s="43">
        <f t="shared" si="2"/>
        <v>3.1984983175026775E-3</v>
      </c>
      <c r="S7" s="76"/>
      <c r="T7" s="76"/>
      <c r="U7" s="48">
        <f>G7*$C$21</f>
        <v>1.43939544E-3</v>
      </c>
      <c r="V7" s="74"/>
      <c r="W7" s="74"/>
      <c r="X7" s="50">
        <f t="shared" si="4"/>
        <v>0.16209787995299349</v>
      </c>
      <c r="Y7" s="50">
        <f t="shared" si="5"/>
        <v>9.8007580897608026E-2</v>
      </c>
      <c r="Z7" s="51">
        <f t="shared" si="11"/>
        <v>0.10175812374722727</v>
      </c>
      <c r="AA7" s="51">
        <f t="shared" si="6"/>
        <v>6.1524972122012085E-2</v>
      </c>
      <c r="AB7" s="52">
        <f>U7^2/(2*$B$28*K7)</f>
        <v>2.060805869000255E-2</v>
      </c>
      <c r="AC7" s="52">
        <f>U7^2/(2*(($B$28+$B$26)*(K7+$B$31+$B$38)))</f>
        <v>1.2460039451402956E-2</v>
      </c>
      <c r="AD7" s="24"/>
      <c r="AX7" s="24"/>
      <c r="AY7" s="3" t="s">
        <v>25</v>
      </c>
      <c r="AZ7" s="57">
        <v>0.63300000000000001</v>
      </c>
      <c r="BA7" s="57">
        <v>0.63300000000000001</v>
      </c>
      <c r="BB7" s="3" t="s">
        <v>91</v>
      </c>
      <c r="BC7" s="84">
        <v>2.3149999999999999</v>
      </c>
    </row>
    <row r="8" spans="1:55">
      <c r="A8" s="16" t="s">
        <v>49</v>
      </c>
      <c r="B8" s="16" t="s">
        <v>48</v>
      </c>
      <c r="C8" s="16">
        <v>39</v>
      </c>
      <c r="D8" s="21" t="s">
        <v>13</v>
      </c>
      <c r="E8" s="45"/>
      <c r="F8" s="3">
        <v>6</v>
      </c>
      <c r="G8" s="5">
        <v>5.1881000000000002E-3</v>
      </c>
      <c r="H8" s="3">
        <v>1</v>
      </c>
      <c r="I8" s="46">
        <v>82.1</v>
      </c>
      <c r="J8" s="11">
        <v>0.98499999999999999</v>
      </c>
      <c r="K8" s="46">
        <f t="shared" si="9"/>
        <v>80.868499999999997</v>
      </c>
      <c r="L8" s="11">
        <f t="shared" si="12"/>
        <v>25.099999999999994</v>
      </c>
      <c r="M8" s="12">
        <f t="shared" si="10"/>
        <v>0.75844999999999996</v>
      </c>
      <c r="N8" s="46">
        <f t="shared" si="0"/>
        <v>525.34097023188622</v>
      </c>
      <c r="O8" s="41">
        <f t="shared" si="1"/>
        <v>4.0531010906856993E-3</v>
      </c>
      <c r="P8" s="78"/>
      <c r="Q8" s="78"/>
      <c r="R8" s="43">
        <f t="shared" si="2"/>
        <v>3.2113180014194612E-3</v>
      </c>
      <c r="S8" s="76"/>
      <c r="T8" s="76"/>
      <c r="U8" s="48">
        <f>G8*$C$21</f>
        <v>1.4671946800000001E-3</v>
      </c>
      <c r="V8" s="74"/>
      <c r="W8" s="74"/>
      <c r="X8" s="50">
        <f t="shared" si="4"/>
        <v>0.16300182011386305</v>
      </c>
      <c r="Y8" s="50">
        <f t="shared" si="5"/>
        <v>9.8649136616974303E-2</v>
      </c>
      <c r="Z8" s="51">
        <f t="shared" si="11"/>
        <v>0.10232557876129977</v>
      </c>
      <c r="AA8" s="51">
        <f t="shared" si="6"/>
        <v>6.1927713393526207E-2</v>
      </c>
      <c r="AB8" s="52">
        <f>U8^2/(2*$B$28*K8)</f>
        <v>2.1359597732373298E-2</v>
      </c>
      <c r="AC8" s="52">
        <f>U8^2/(2*(($B$28+$B$26)*(K8+$B$31+$B$38)))</f>
        <v>1.2926885560618977E-2</v>
      </c>
      <c r="AD8" s="24"/>
      <c r="AX8" s="24"/>
      <c r="AY8" s="56" t="s">
        <v>34</v>
      </c>
      <c r="AZ8" s="11">
        <f>AZ6*AZ7</f>
        <v>51.336299999999994</v>
      </c>
      <c r="BA8" s="11">
        <f>BA6*BA7</f>
        <v>50.703299999999999</v>
      </c>
      <c r="BB8" s="3" t="s">
        <v>91</v>
      </c>
      <c r="BC8" s="85">
        <f>BC6*BC7</f>
        <v>207.1925</v>
      </c>
    </row>
    <row r="9" spans="1:55" ht="18">
      <c r="A9" s="16" t="s">
        <v>16</v>
      </c>
      <c r="B9" s="16" t="s">
        <v>50</v>
      </c>
      <c r="C9" s="16">
        <v>10</v>
      </c>
      <c r="D9" s="21" t="s">
        <v>14</v>
      </c>
      <c r="E9" s="45"/>
      <c r="F9" s="3">
        <v>7</v>
      </c>
      <c r="G9" s="5">
        <v>6.6369999999999997E-3</v>
      </c>
      <c r="H9" s="3">
        <v>1</v>
      </c>
      <c r="I9" s="46">
        <v>84</v>
      </c>
      <c r="J9" s="11">
        <v>1.2589999999999999</v>
      </c>
      <c r="K9" s="46">
        <f t="shared" si="9"/>
        <v>105.75599999999999</v>
      </c>
      <c r="L9" s="11">
        <f t="shared" si="12"/>
        <v>27</v>
      </c>
      <c r="M9" s="12">
        <f t="shared" si="10"/>
        <v>0.9694299999999999</v>
      </c>
      <c r="N9" s="46">
        <f t="shared" si="0"/>
        <v>544.86171516258537</v>
      </c>
      <c r="O9" s="41">
        <f t="shared" si="1"/>
        <v>5.3730632974368676E-3</v>
      </c>
      <c r="P9" s="77">
        <f t="shared" ref="P9" si="16">AVERAGE(O9:O11)</f>
        <v>5.3696203211370695E-3</v>
      </c>
      <c r="Q9" s="77">
        <f t="shared" ref="Q9" si="17">STDEV(O9:O11)</f>
        <v>4.4917680439573925E-5</v>
      </c>
      <c r="R9" s="43">
        <f t="shared" si="2"/>
        <v>3.3306449207903257E-3</v>
      </c>
      <c r="S9" s="75">
        <f t="shared" ref="S9" si="18">AVERAGE(R9:R11)</f>
        <v>3.3285106947649602E-3</v>
      </c>
      <c r="T9" s="75">
        <f t="shared" ref="T9" si="19">STDEV(R9:R11)</f>
        <v>2.7843491864523203E-5</v>
      </c>
      <c r="U9" s="48">
        <f>G9*$C$21</f>
        <v>1.8769435999999998E-3</v>
      </c>
      <c r="V9" s="73">
        <f t="shared" ref="V9" si="20">AVERAGE(U9:U11)</f>
        <v>1.7964587199999999E-3</v>
      </c>
      <c r="W9" s="73">
        <f t="shared" ref="W9" si="21">STDEV(U9:U11)</f>
        <v>1.5128687524334163E-4</v>
      </c>
      <c r="X9" s="50">
        <f t="shared" si="4"/>
        <v>0.21904627249754569</v>
      </c>
      <c r="Y9" s="50">
        <f t="shared" si="5"/>
        <v>0.14614538111647463</v>
      </c>
      <c r="Z9" s="51">
        <f t="shared" si="11"/>
        <v>8.4168313238053766E-2</v>
      </c>
      <c r="AA9" s="51">
        <f t="shared" si="6"/>
        <v>5.6156217934473222E-2</v>
      </c>
      <c r="AB9" s="52">
        <f>U9^2/(2*$B$28*K9)</f>
        <v>2.6729719364329441E-2</v>
      </c>
      <c r="AC9" s="52">
        <f>U9^2/(2*(($B$28+$B$26)*(K9+$B$31+$B$38)))</f>
        <v>1.7833789085272417E-2</v>
      </c>
      <c r="AD9" s="24"/>
      <c r="AX9" s="24"/>
      <c r="AY9" s="56" t="s">
        <v>67</v>
      </c>
      <c r="AZ9" s="11">
        <f>AZ6-($C$11+$B$29)</f>
        <v>24.099999999999994</v>
      </c>
      <c r="BA9" s="11">
        <f>BA6-($C$11+$B$29)</f>
        <v>23.099999999999994</v>
      </c>
      <c r="BB9" s="3" t="s">
        <v>91</v>
      </c>
      <c r="BC9" s="45">
        <f>BC6-($C$11+$C$29)</f>
        <v>29.299999999999997</v>
      </c>
    </row>
    <row r="10" spans="1:55">
      <c r="A10" s="16" t="s">
        <v>51</v>
      </c>
      <c r="B10" s="16" t="s">
        <v>52</v>
      </c>
      <c r="C10" s="18">
        <v>1.3800000000000001E-23</v>
      </c>
      <c r="D10" s="21" t="s">
        <v>21</v>
      </c>
      <c r="E10" s="45"/>
      <c r="F10" s="3">
        <v>8</v>
      </c>
      <c r="G10" s="5">
        <v>5.7352999999999996E-3</v>
      </c>
      <c r="H10" s="3">
        <v>1</v>
      </c>
      <c r="I10" s="46">
        <v>83.5</v>
      </c>
      <c r="J10" s="11">
        <v>1.2589999999999999</v>
      </c>
      <c r="K10" s="46">
        <f t="shared" si="9"/>
        <v>105.12649999999999</v>
      </c>
      <c r="L10" s="11">
        <f t="shared" si="12"/>
        <v>26.5</v>
      </c>
      <c r="M10" s="12">
        <f t="shared" si="10"/>
        <v>0.9694299999999999</v>
      </c>
      <c r="N10" s="46">
        <f t="shared" si="0"/>
        <v>539.79312392608233</v>
      </c>
      <c r="O10" s="41">
        <f t="shared" si="1"/>
        <v>5.3230802268986153E-3</v>
      </c>
      <c r="P10" s="78"/>
      <c r="Q10" s="78"/>
      <c r="R10" s="43">
        <f t="shared" si="2"/>
        <v>3.2996615039202603E-3</v>
      </c>
      <c r="S10" s="76"/>
      <c r="T10" s="76"/>
      <c r="U10" s="48">
        <f>G10*$C$21</f>
        <v>1.6219428399999998E-3</v>
      </c>
      <c r="V10" s="74"/>
      <c r="W10" s="74"/>
      <c r="X10" s="50">
        <f t="shared" si="4"/>
        <v>0.21627722447528794</v>
      </c>
      <c r="Y10" s="50">
        <f t="shared" si="5"/>
        <v>0.14401090522446425</v>
      </c>
      <c r="Z10" s="51">
        <f t="shared" si="11"/>
        <v>8.3104309278291252E-2</v>
      </c>
      <c r="AA10" s="51">
        <f t="shared" si="6"/>
        <v>5.5336047687203585E-2</v>
      </c>
      <c r="AB10" s="52">
        <f>U10^2/(2*$B$28*K10)</f>
        <v>2.0079636840511013E-2</v>
      </c>
      <c r="AC10" s="71">
        <f>U10^2/(2*(($B$28+$B$26)*(K10+$B$31+$B$38)))</f>
        <v>1.3370278285177917E-2</v>
      </c>
      <c r="AD10" s="24"/>
      <c r="AX10" s="24"/>
      <c r="AY10" s="56" t="s">
        <v>40</v>
      </c>
      <c r="AZ10" s="12">
        <f>AZ7*$C$13</f>
        <v>0.48741000000000001</v>
      </c>
      <c r="BA10" s="12">
        <f>BA7*$C$13</f>
        <v>0.48741000000000001</v>
      </c>
      <c r="BB10" s="3" t="s">
        <v>91</v>
      </c>
      <c r="BC10" s="86">
        <f>BC7*$C$13</f>
        <v>1.7825500000000001</v>
      </c>
    </row>
    <row r="11" spans="1:55" ht="18">
      <c r="A11" s="16" t="s">
        <v>8</v>
      </c>
      <c r="B11" s="16" t="s">
        <v>53</v>
      </c>
      <c r="C11" s="16">
        <v>10</v>
      </c>
      <c r="D11" s="21" t="s">
        <v>15</v>
      </c>
      <c r="E11" s="45"/>
      <c r="F11" s="3">
        <v>9</v>
      </c>
      <c r="G11" s="5">
        <v>6.6848999999999997E-3</v>
      </c>
      <c r="H11" s="3">
        <v>1</v>
      </c>
      <c r="I11" s="46">
        <v>84.4</v>
      </c>
      <c r="J11" s="11">
        <v>1.2589999999999999</v>
      </c>
      <c r="K11" s="46">
        <f t="shared" si="9"/>
        <v>106.25959999999999</v>
      </c>
      <c r="L11" s="11">
        <f t="shared" si="12"/>
        <v>27.400000000000006</v>
      </c>
      <c r="M11" s="12">
        <f t="shared" si="10"/>
        <v>0.9694299999999999</v>
      </c>
      <c r="N11" s="46">
        <f t="shared" si="0"/>
        <v>548.88288938492406</v>
      </c>
      <c r="O11" s="41">
        <f t="shared" si="1"/>
        <v>5.4127174390757229E-3</v>
      </c>
      <c r="P11" s="78"/>
      <c r="Q11" s="78"/>
      <c r="R11" s="43">
        <f t="shared" si="2"/>
        <v>3.3552256595842946E-3</v>
      </c>
      <c r="S11" s="76"/>
      <c r="T11" s="76"/>
      <c r="U11" s="48">
        <f>G11*$C$21</f>
        <v>1.8904897199999999E-3</v>
      </c>
      <c r="V11" s="74"/>
      <c r="W11" s="74"/>
      <c r="X11" s="50">
        <f t="shared" si="4"/>
        <v>0.22123788870473543</v>
      </c>
      <c r="Y11" s="50">
        <f t="shared" si="5"/>
        <v>0.14784079391739924</v>
      </c>
      <c r="Z11" s="51">
        <f t="shared" si="11"/>
        <v>8.5010439594832621E-2</v>
      </c>
      <c r="AA11" s="51">
        <f t="shared" si="6"/>
        <v>5.6807678623892764E-2</v>
      </c>
      <c r="AB11" s="52">
        <f>U11^2/(2*$B$28*K11)</f>
        <v>2.6988418330719958E-2</v>
      </c>
      <c r="AC11" s="71">
        <f>U11^2/(2*(($B$28+$B$26)*(K11+$B$31+$B$38)))</f>
        <v>1.8034836690715202E-2</v>
      </c>
      <c r="AD11" s="24"/>
      <c r="AX11" s="87"/>
      <c r="AY11" s="56" t="s">
        <v>66</v>
      </c>
      <c r="AZ11" s="46">
        <f>$C$18*$C$17*$C$19/$C$20*SQRT(2*$C$6*AZ9/$C$4)</f>
        <v>514.76964846434817</v>
      </c>
      <c r="BA11" s="46">
        <f>$C$18*$C$17*$C$19/$C$20*SQRT(2*$C$6*BA9/$C$4)</f>
        <v>503.97663334329081</v>
      </c>
      <c r="BB11" s="3" t="s">
        <v>91</v>
      </c>
      <c r="BC11" s="85">
        <f>$C$18*$C$17*$C$19/$C$20*SQRT(2*$C$6*BC9/$C$4)</f>
        <v>567.59455591582048</v>
      </c>
    </row>
    <row r="12" spans="1:55" ht="18">
      <c r="A12" s="16" t="s">
        <v>9</v>
      </c>
      <c r="B12" s="16" t="s">
        <v>82</v>
      </c>
      <c r="C12" s="16">
        <v>30</v>
      </c>
      <c r="D12" s="21" t="s">
        <v>15</v>
      </c>
      <c r="E12" s="45"/>
      <c r="F12" s="3">
        <v>10</v>
      </c>
      <c r="G12" s="5">
        <v>7.2535999999999998E-3</v>
      </c>
      <c r="H12" s="3">
        <v>1</v>
      </c>
      <c r="I12" s="46">
        <v>87.7</v>
      </c>
      <c r="J12" s="11">
        <v>1.5720000000000001</v>
      </c>
      <c r="K12" s="46">
        <f t="shared" si="9"/>
        <v>137.86440000000002</v>
      </c>
      <c r="L12" s="11">
        <f t="shared" si="12"/>
        <v>30.700000000000003</v>
      </c>
      <c r="M12" s="12">
        <f t="shared" si="10"/>
        <v>1.2104400000000002</v>
      </c>
      <c r="N12" s="46">
        <f t="shared" si="0"/>
        <v>580.99661060885444</v>
      </c>
      <c r="O12" s="41">
        <f t="shared" si="1"/>
        <v>7.1537881354992641E-3</v>
      </c>
      <c r="P12" s="77">
        <f t="shared" ref="P12" si="22">AVERAGE(O12:O14)</f>
        <v>7.1692726881053626E-3</v>
      </c>
      <c r="Q12" s="77">
        <f t="shared" ref="Q12" si="23">STDEV(O12:O14)</f>
        <v>2.6820031846235736E-5</v>
      </c>
      <c r="R12" s="43">
        <f t="shared" si="2"/>
        <v>3.5515312532893757E-3</v>
      </c>
      <c r="S12" s="75">
        <f t="shared" ref="S12" si="24">AVERAGE(R12:R14)</f>
        <v>3.5592186311487876E-3</v>
      </c>
      <c r="T12" s="75">
        <f t="shared" ref="T12" si="25">STDEV(R12:R14)</f>
        <v>1.3314929029481193E-5</v>
      </c>
      <c r="U12" s="48">
        <f>G12*$C$21</f>
        <v>2.05131808E-3</v>
      </c>
      <c r="V12" s="73">
        <f t="shared" ref="V12" si="26">AVERAGE(U12:U14)</f>
        <v>2.30054972E-3</v>
      </c>
      <c r="W12" s="73">
        <f t="shared" ref="W12" si="27">STDEV(U12:U14)</f>
        <v>4.9735821973952426E-4</v>
      </c>
      <c r="X12" s="50">
        <f t="shared" si="4"/>
        <v>0.29786329047227439</v>
      </c>
      <c r="Y12" s="50">
        <f t="shared" si="5"/>
        <v>0.21542942738163046</v>
      </c>
      <c r="Z12" s="51">
        <f t="shared" si="11"/>
        <v>7.3413531551311501E-2</v>
      </c>
      <c r="AA12" s="51">
        <f t="shared" si="6"/>
        <v>5.309628802893529E-2</v>
      </c>
      <c r="AB12" s="52">
        <f>U12^2/(2*$B$28*K12)</f>
        <v>2.4491244298005064E-2</v>
      </c>
      <c r="AC12" s="71">
        <f>U12^2/(2*(($B$28+$B$26)*(K12+$B$31+$B$38)))</f>
        <v>1.7713276203379497E-2</v>
      </c>
      <c r="AD12" s="24"/>
      <c r="AX12" s="24"/>
      <c r="AY12" s="58" t="s">
        <v>41</v>
      </c>
      <c r="AZ12" s="41">
        <f>$C$18*$C$19*SQRT(2*$C$4/$C$6)*AZ10*SQRT(AZ9)</f>
        <v>2.5522697662500038E-3</v>
      </c>
      <c r="BA12" s="41">
        <f>$C$18*$C$19*SQRT(2*$C$4/$C$6)*BA10*SQRT(BA9)</f>
        <v>2.4987571198413997E-3</v>
      </c>
      <c r="BB12" s="3" t="s">
        <v>91</v>
      </c>
      <c r="BC12" s="88">
        <f>$C$18*$C$19*SQRT(2*$C$4/$C$6)*BC10*SQRT(BC9)</f>
        <v>1.0291985132125286E-2</v>
      </c>
    </row>
    <row r="13" spans="1:55" ht="18">
      <c r="A13" s="16" t="s">
        <v>18</v>
      </c>
      <c r="B13" s="16" t="s">
        <v>54</v>
      </c>
      <c r="C13" s="19">
        <v>0.77</v>
      </c>
      <c r="D13" s="21" t="s">
        <v>23</v>
      </c>
      <c r="E13" s="45"/>
      <c r="F13" s="3">
        <v>11</v>
      </c>
      <c r="G13" s="5">
        <v>1.0160000000000001E-2</v>
      </c>
      <c r="H13" s="3">
        <v>1</v>
      </c>
      <c r="I13" s="46">
        <v>87.7</v>
      </c>
      <c r="J13" s="11">
        <v>1.5720000000000001</v>
      </c>
      <c r="K13" s="46">
        <f t="shared" si="9"/>
        <v>137.86440000000002</v>
      </c>
      <c r="L13" s="11">
        <f t="shared" si="12"/>
        <v>30.700000000000003</v>
      </c>
      <c r="M13" s="12">
        <f t="shared" si="10"/>
        <v>1.2104400000000002</v>
      </c>
      <c r="N13" s="46">
        <f t="shared" si="0"/>
        <v>580.99661060885444</v>
      </c>
      <c r="O13" s="41">
        <f t="shared" si="1"/>
        <v>7.1537881354992641E-3</v>
      </c>
      <c r="P13" s="78"/>
      <c r="Q13" s="78"/>
      <c r="R13" s="43">
        <f t="shared" si="2"/>
        <v>3.5515312532893757E-3</v>
      </c>
      <c r="S13" s="76"/>
      <c r="T13" s="76"/>
      <c r="U13" s="48">
        <f>G13*$C$21</f>
        <v>2.8732480000000001E-3</v>
      </c>
      <c r="V13" s="74"/>
      <c r="W13" s="74"/>
      <c r="X13" s="50">
        <f t="shared" si="4"/>
        <v>0.29786329047227439</v>
      </c>
      <c r="Y13" s="50">
        <f t="shared" si="5"/>
        <v>0.21542942738163046</v>
      </c>
      <c r="Z13" s="51">
        <f t="shared" si="11"/>
        <v>7.3413531551311501E-2</v>
      </c>
      <c r="AA13" s="51">
        <f t="shared" si="6"/>
        <v>5.309628802893529E-2</v>
      </c>
      <c r="AB13" s="52">
        <f>U13^2/(2*$B$28*K13)</f>
        <v>4.804974208127185E-2</v>
      </c>
      <c r="AC13" s="71">
        <f>U13^2/(2*(($B$28+$B$26)*(K13+$B$31+$B$38)))</f>
        <v>3.4751944108288656E-2</v>
      </c>
      <c r="AD13" s="24"/>
      <c r="AX13" s="24"/>
      <c r="AY13" s="59" t="s">
        <v>68</v>
      </c>
      <c r="AZ13" s="43">
        <f>$B$28*AZ11*$C$20</f>
        <v>3.146697349662741E-3</v>
      </c>
      <c r="BA13" s="43">
        <f>$B$28*BA11*$C$20</f>
        <v>3.0807215249853987E-3</v>
      </c>
      <c r="BB13" s="3" t="s">
        <v>91</v>
      </c>
      <c r="BC13" s="89">
        <f>$C$28*BC11*$C$20</f>
        <v>4.1635281880617967E-3</v>
      </c>
    </row>
    <row r="14" spans="1:55" ht="19">
      <c r="A14" s="16" t="s">
        <v>4</v>
      </c>
      <c r="B14" s="16" t="s">
        <v>57</v>
      </c>
      <c r="C14" s="19">
        <v>0.2</v>
      </c>
      <c r="D14" s="21" t="s">
        <v>23</v>
      </c>
      <c r="E14" s="45"/>
      <c r="F14" s="3">
        <v>12</v>
      </c>
      <c r="G14" s="5">
        <v>6.9911000000000001E-3</v>
      </c>
      <c r="H14" s="3">
        <v>1</v>
      </c>
      <c r="I14" s="46">
        <v>88.1</v>
      </c>
      <c r="J14" s="11">
        <v>1.5720000000000001</v>
      </c>
      <c r="K14" s="46">
        <f t="shared" si="9"/>
        <v>138.4932</v>
      </c>
      <c r="L14" s="11">
        <f t="shared" si="12"/>
        <v>31.099999999999994</v>
      </c>
      <c r="M14" s="12">
        <f t="shared" si="10"/>
        <v>1.2104400000000002</v>
      </c>
      <c r="N14" s="46">
        <f t="shared" si="0"/>
        <v>584.76935551429585</v>
      </c>
      <c r="O14" s="41">
        <f t="shared" si="1"/>
        <v>7.2002417933175597E-3</v>
      </c>
      <c r="P14" s="78"/>
      <c r="Q14" s="78"/>
      <c r="R14" s="43">
        <f t="shared" si="2"/>
        <v>3.5745933868676109E-3</v>
      </c>
      <c r="S14" s="76"/>
      <c r="T14" s="76"/>
      <c r="U14" s="48">
        <f>G14*$C$21</f>
        <v>1.9770830799999998E-3</v>
      </c>
      <c r="V14" s="74"/>
      <c r="W14" s="74"/>
      <c r="X14" s="50">
        <f t="shared" si="4"/>
        <v>0.30037423747237713</v>
      </c>
      <c r="Y14" s="50">
        <f t="shared" si="5"/>
        <v>0.21751878694758006</v>
      </c>
      <c r="Z14" s="51">
        <f t="shared" si="11"/>
        <v>7.4032397630859004E-2</v>
      </c>
      <c r="AA14" s="51">
        <f t="shared" si="6"/>
        <v>5.3611246633514124E-2</v>
      </c>
      <c r="AB14" s="52">
        <f>U14^2/(2*$B$28*K14)</f>
        <v>2.2647400403899395E-2</v>
      </c>
      <c r="AC14" s="71">
        <f>U14^2/(2*(($B$28+$B$26)*(K14+$B$31+$B$38)))</f>
        <v>1.6400324824213181E-2</v>
      </c>
      <c r="AD14" s="24"/>
      <c r="AX14" s="24"/>
      <c r="AY14" s="60" t="s">
        <v>28</v>
      </c>
      <c r="AZ14" s="64">
        <f>AZ4*$C$21</f>
        <v>7.1228836000000002E-4</v>
      </c>
      <c r="BA14" s="64">
        <f>BA4*$C$21</f>
        <v>9.3097759999999992E-4</v>
      </c>
      <c r="BB14" s="3" t="s">
        <v>91</v>
      </c>
      <c r="BC14" s="90">
        <f>BC4*$C$21</f>
        <v>3.6274756E-3</v>
      </c>
    </row>
    <row r="15" spans="1:55" ht="19">
      <c r="A15" s="16" t="s">
        <v>58</v>
      </c>
      <c r="B15" s="16" t="s">
        <v>59</v>
      </c>
      <c r="C15" s="19">
        <f>2*C14*(1/(1-C14))</f>
        <v>0.5</v>
      </c>
      <c r="D15" s="16"/>
      <c r="E15" s="45"/>
      <c r="F15" s="3">
        <v>13</v>
      </c>
      <c r="G15" s="5">
        <v>9.5759E-3</v>
      </c>
      <c r="H15" s="3">
        <v>1</v>
      </c>
      <c r="I15" s="46">
        <v>93.8</v>
      </c>
      <c r="J15" s="11">
        <v>1.847</v>
      </c>
      <c r="K15" s="46">
        <f t="shared" si="9"/>
        <v>173.24859999999998</v>
      </c>
      <c r="L15" s="11">
        <f t="shared" si="12"/>
        <v>36.799999999999997</v>
      </c>
      <c r="M15" s="12">
        <f t="shared" si="10"/>
        <v>1.4221900000000001</v>
      </c>
      <c r="N15" s="46">
        <f>$C$18*$C$17*$C$19/$C$20*SQRT(2*$C$6*L15/$C$4)</f>
        <v>636.10428397064663</v>
      </c>
      <c r="O15" s="41">
        <f>$C$18*$C$19*SQRT(2*$C$4/$C$6)*M15*SQRT(L15)</f>
        <v>9.2024856606503398E-3</v>
      </c>
      <c r="P15" s="77">
        <f t="shared" ref="P15" si="28">AVERAGE(O15:O17)</f>
        <v>9.2811568811050349E-3</v>
      </c>
      <c r="Q15" s="77">
        <f t="shared" ref="Q15" si="29">STDEV(O15:O17)</f>
        <v>7.0602921300281479E-5</v>
      </c>
      <c r="R15" s="43">
        <f>$B$28*N15*$C$20</f>
        <v>3.8883948780794866E-3</v>
      </c>
      <c r="S15" s="75">
        <f t="shared" ref="S15" si="30">AVERAGE(R15:R17)</f>
        <v>3.9216364154150288E-3</v>
      </c>
      <c r="T15" s="75">
        <f t="shared" ref="T15" si="31">STDEV(R15:R17)</f>
        <v>2.9832378738210066E-5</v>
      </c>
      <c r="U15" s="48">
        <f>G15*$C$21</f>
        <v>2.7080645200000001E-3</v>
      </c>
      <c r="V15" s="73">
        <f t="shared" ref="V15" si="32">AVERAGE(U15:U17)</f>
        <v>2.8818168400000003E-3</v>
      </c>
      <c r="W15" s="73">
        <f t="shared" ref="W15" si="33">STDEV(U15:U17)</f>
        <v>1.7267383811972424E-4</v>
      </c>
      <c r="X15" s="50">
        <f t="shared" si="4"/>
        <v>0.39222704384219192</v>
      </c>
      <c r="Y15" s="50">
        <f t="shared" si="5"/>
        <v>0.30067301191739465</v>
      </c>
      <c r="Z15" s="51">
        <f t="shared" si="11"/>
        <v>7.0027393340011984E-2</v>
      </c>
      <c r="AA15" s="51">
        <f t="shared" si="6"/>
        <v>5.368152860142119E-2</v>
      </c>
      <c r="AB15" s="52">
        <f>U15^2/(2*$B$28*K15)</f>
        <v>3.3966066101777222E-2</v>
      </c>
      <c r="AC15" s="71">
        <f>U15^2/(2*(($B$28+$B$26)*(K15+$B$31+$B$38)))</f>
        <v>2.6037672715692784E-2</v>
      </c>
      <c r="AD15" s="24"/>
      <c r="AX15" s="91" t="s">
        <v>77</v>
      </c>
      <c r="AY15" s="58" t="s">
        <v>32</v>
      </c>
      <c r="AZ15" s="61">
        <f>AZ12^2/(2*$B$28*AZ8)</f>
        <v>0.10181823336510966</v>
      </c>
      <c r="BA15" s="61">
        <f>BA12^2/(2*$B$28*BA8)</f>
        <v>9.8811805040654607E-2</v>
      </c>
      <c r="BB15" s="3" t="s">
        <v>91</v>
      </c>
      <c r="BC15" s="92">
        <f>BC12^2/(2*$C$28*BC8)</f>
        <v>0.34185347059657845</v>
      </c>
    </row>
    <row r="16" spans="1:55">
      <c r="A16" s="16" t="s">
        <v>55</v>
      </c>
      <c r="B16" s="16" t="s">
        <v>56</v>
      </c>
      <c r="C16" s="16">
        <v>30</v>
      </c>
      <c r="D16" s="21" t="s">
        <v>81</v>
      </c>
      <c r="E16" s="45"/>
      <c r="F16" s="3">
        <v>14</v>
      </c>
      <c r="G16" s="5">
        <v>1.0198E-2</v>
      </c>
      <c r="H16" s="3">
        <v>1</v>
      </c>
      <c r="I16" s="46">
        <v>94.9</v>
      </c>
      <c r="J16" s="11">
        <v>1.847</v>
      </c>
      <c r="K16" s="46">
        <f t="shared" si="9"/>
        <v>175.28030000000001</v>
      </c>
      <c r="L16" s="11">
        <f t="shared" si="12"/>
        <v>37.900000000000006</v>
      </c>
      <c r="M16" s="12">
        <f t="shared" si="10"/>
        <v>1.4221900000000001</v>
      </c>
      <c r="N16" s="46">
        <f t="shared" si="0"/>
        <v>645.54127560698021</v>
      </c>
      <c r="O16" s="41">
        <f>$C$18*$C$19*SQRT(2*$C$4/$C$6)*M16*SQRT(L16)</f>
        <v>9.3390100991762783E-3</v>
      </c>
      <c r="P16" s="78"/>
      <c r="Q16" s="78"/>
      <c r="R16" s="43">
        <f t="shared" si="2"/>
        <v>3.9460815669886467E-3</v>
      </c>
      <c r="S16" s="76"/>
      <c r="T16" s="76"/>
      <c r="U16" s="48">
        <f>G16*$C$21</f>
        <v>2.8839944000000001E-3</v>
      </c>
      <c r="V16" s="74"/>
      <c r="W16" s="74"/>
      <c r="X16" s="50">
        <f t="shared" si="4"/>
        <v>0.39926896315339638</v>
      </c>
      <c r="Y16" s="50">
        <f t="shared" si="5"/>
        <v>0.30690155757583254</v>
      </c>
      <c r="Z16" s="51">
        <f t="shared" si="11"/>
        <v>7.128464283674163E-2</v>
      </c>
      <c r="AA16" s="51">
        <f t="shared" si="6"/>
        <v>5.4793560073007189E-2</v>
      </c>
      <c r="AB16" s="52">
        <f>U16^2/(2*$B$28*K16)</f>
        <v>3.8076120046765333E-2</v>
      </c>
      <c r="AC16" s="71">
        <f>U16^2/(2*(($B$28+$B$26)*(K16+$B$31+$B$38)))</f>
        <v>2.9267540498275915E-2</v>
      </c>
      <c r="AD16" s="24"/>
      <c r="AX16" s="91"/>
      <c r="AY16" s="58" t="s">
        <v>69</v>
      </c>
      <c r="AZ16" s="61">
        <f>AZ12^2/(2*(($B$28+$B$26)*(AZ8+$B$31+$B$38)))</f>
        <v>5.0215893724845355E-2</v>
      </c>
      <c r="BA16" s="61">
        <f>BA12^2/(2*(($B$28+$B$26)*(BA8+$B$31+$B$38)))</f>
        <v>4.842674312083943E-2</v>
      </c>
      <c r="BB16" s="3" t="s">
        <v>91</v>
      </c>
      <c r="BC16" s="92">
        <f>BC12^2/(2*(($C$28+$C$26)*(BC8+$C$31+$C$38)))</f>
        <v>0.26832963020766809</v>
      </c>
    </row>
    <row r="17" spans="1:55" ht="18">
      <c r="A17" s="16" t="s">
        <v>10</v>
      </c>
      <c r="B17" s="16" t="s">
        <v>60</v>
      </c>
      <c r="C17" s="16">
        <v>0.88</v>
      </c>
      <c r="D17" s="21" t="s">
        <v>23</v>
      </c>
      <c r="E17" s="45"/>
      <c r="F17" s="3">
        <v>15</v>
      </c>
      <c r="G17" s="5">
        <v>1.0796999999999999E-2</v>
      </c>
      <c r="H17" s="3">
        <v>1</v>
      </c>
      <c r="I17" s="46">
        <v>94.6</v>
      </c>
      <c r="J17" s="11">
        <v>1.847</v>
      </c>
      <c r="K17" s="46">
        <f t="shared" si="9"/>
        <v>174.72619999999998</v>
      </c>
      <c r="L17" s="11">
        <f t="shared" si="12"/>
        <v>37.599999999999994</v>
      </c>
      <c r="M17" s="12">
        <f t="shared" si="10"/>
        <v>1.4221900000000001</v>
      </c>
      <c r="N17" s="46">
        <f>$C$18*$C$17*$C$19/$C$20*SQRT(2*$C$6*L17/$C$4)</f>
        <v>642.98128690115539</v>
      </c>
      <c r="O17" s="41">
        <f t="shared" si="1"/>
        <v>9.3019748834884865E-3</v>
      </c>
      <c r="P17" s="78"/>
      <c r="Q17" s="78"/>
      <c r="R17" s="43">
        <f t="shared" si="2"/>
        <v>3.9304328011769548E-3</v>
      </c>
      <c r="S17" s="76"/>
      <c r="T17" s="76"/>
      <c r="U17" s="48">
        <f>G17*$C$21</f>
        <v>3.0533915999999997E-3</v>
      </c>
      <c r="V17" s="74"/>
      <c r="W17" s="74"/>
      <c r="X17" s="50">
        <f t="shared" si="4"/>
        <v>0.39736468091798116</v>
      </c>
      <c r="Y17" s="50">
        <f t="shared" si="5"/>
        <v>0.30521389720713477</v>
      </c>
      <c r="Z17" s="51">
        <f t="shared" si="11"/>
        <v>7.0944656282465532E-2</v>
      </c>
      <c r="AA17" s="51">
        <f t="shared" si="6"/>
        <v>5.4492248732245369E-2</v>
      </c>
      <c r="AB17" s="52">
        <f>U17^2/(2*$B$28*K17)</f>
        <v>4.2815788939913842E-2</v>
      </c>
      <c r="AC17" s="71">
        <f>U17^2/(2*(($B$28+$B$26)*(K17+$B$31+$B$38)))</f>
        <v>3.2886601230285389E-2</v>
      </c>
      <c r="AD17" s="24"/>
      <c r="AX17" s="93" t="s">
        <v>78</v>
      </c>
      <c r="AY17" s="59" t="s">
        <v>32</v>
      </c>
      <c r="AZ17" s="62">
        <f>AZ13^2/(2*$B$28*AZ8)</f>
        <v>0.15476842186015582</v>
      </c>
      <c r="BA17" s="62">
        <f>BA13^2/(2*$B$28*BA8)</f>
        <v>0.15019851181719665</v>
      </c>
      <c r="BB17" s="3" t="s">
        <v>91</v>
      </c>
      <c r="BC17" s="94">
        <f>BC13^2/(2*$C$28*BC8)</f>
        <v>5.5945442287244081E-2</v>
      </c>
    </row>
    <row r="18" spans="1:55" ht="19">
      <c r="A18" s="16" t="s">
        <v>61</v>
      </c>
      <c r="B18" s="16" t="s">
        <v>62</v>
      </c>
      <c r="C18" s="19">
        <f>(1+C15/SQRT(2))/(1+C15)</f>
        <v>0.90236892706218252</v>
      </c>
      <c r="D18" s="21" t="s">
        <v>23</v>
      </c>
      <c r="E18" s="45"/>
      <c r="F18" s="3">
        <v>16</v>
      </c>
      <c r="G18" s="5">
        <v>1.0470999999999999E-2</v>
      </c>
      <c r="H18" s="3">
        <v>1</v>
      </c>
      <c r="I18" s="46">
        <v>98</v>
      </c>
      <c r="J18" s="11">
        <v>1.964</v>
      </c>
      <c r="K18" s="46">
        <f t="shared" si="9"/>
        <v>192.47200000000001</v>
      </c>
      <c r="L18" s="11">
        <f t="shared" si="12"/>
        <v>41</v>
      </c>
      <c r="M18" s="12">
        <f t="shared" si="10"/>
        <v>1.5122800000000001</v>
      </c>
      <c r="N18" s="46">
        <f t="shared" si="0"/>
        <v>671.42319366172262</v>
      </c>
      <c r="O18" s="41">
        <f>$C$18*$C$19*SQRT(2*$C$4/$C$6)*M18*SQRT(L18)</f>
        <v>1.0328749778085898E-2</v>
      </c>
      <c r="P18" s="77">
        <f t="shared" ref="P18" si="34">AVERAGE(O18:O20)</f>
        <v>1.0378770557245162E-2</v>
      </c>
      <c r="Q18" s="77">
        <f t="shared" ref="Q18" si="35">STDEV(O18:O20)</f>
        <v>8.663853093802848E-5</v>
      </c>
      <c r="R18" s="43">
        <f t="shared" si="2"/>
        <v>4.1042932315458018E-3</v>
      </c>
      <c r="S18" s="75">
        <f t="shared" ref="S18" si="36">AVERAGE(R18:R20)</f>
        <v>4.1241697848316211E-3</v>
      </c>
      <c r="T18" s="75">
        <f t="shared" ref="T18" si="37">STDEV(R18:R20)</f>
        <v>3.4427200170388709E-5</v>
      </c>
      <c r="U18" s="48">
        <f>G18*$C$21</f>
        <v>2.9611987999999998E-3</v>
      </c>
      <c r="V18" s="73">
        <f t="shared" ref="V18" si="38">AVERAGE(U18:U20)</f>
        <v>3.0217180000000001E-3</v>
      </c>
      <c r="W18" s="73">
        <f t="shared" ref="W18" si="39">STDEV(U18:U20)</f>
        <v>8.8463076590405767E-5</v>
      </c>
      <c r="X18" s="50">
        <f t="shared" si="4"/>
        <v>0.44475918268699954</v>
      </c>
      <c r="Y18" s="50">
        <f t="shared" si="5"/>
        <v>0.34908126020950242</v>
      </c>
      <c r="Z18" s="51">
        <f t="shared" si="11"/>
        <v>7.022733263885006E-2</v>
      </c>
      <c r="AA18" s="51">
        <f t="shared" si="6"/>
        <v>5.5119819293251618E-2</v>
      </c>
      <c r="AB18" s="52">
        <f>U18^2/(2*$B$28*K18)</f>
        <v>3.655649421738507E-2</v>
      </c>
      <c r="AC18" s="71">
        <f>U18^2/(2*(($B$28+$B$26)*(K18+$B$31+$B$38)))</f>
        <v>2.8692352101984342E-2</v>
      </c>
      <c r="AD18" s="24"/>
      <c r="AX18" s="93"/>
      <c r="AY18" s="59" t="s">
        <v>69</v>
      </c>
      <c r="AZ18" s="62">
        <f>AZ13^2/(2*(($B$28+$B$26)*(AZ8+$B$31+$B$38)))</f>
        <v>7.6330479986061253E-2</v>
      </c>
      <c r="BA18" s="62">
        <f>BA13^2/(2*(($B$28+$B$26)*(BA8+$B$31+$B$38)))</f>
        <v>7.3610888353988949E-2</v>
      </c>
      <c r="BB18" s="3" t="s">
        <v>91</v>
      </c>
      <c r="BC18" s="94">
        <f>BC13^2/(2*(($C$28+$C$26)*(BC8+$C$31+$C$38)))</f>
        <v>4.3913024532244986E-2</v>
      </c>
    </row>
    <row r="19" spans="1:55" ht="18">
      <c r="A19" s="16" t="s">
        <v>63</v>
      </c>
      <c r="B19" s="16" t="s">
        <v>83</v>
      </c>
      <c r="C19" s="19">
        <f>(1+COS(RADIANS(C16))^2)/2</f>
        <v>0.875</v>
      </c>
      <c r="D19" s="21" t="s">
        <v>23</v>
      </c>
      <c r="E19" s="45"/>
      <c r="F19" s="3">
        <v>17</v>
      </c>
      <c r="G19" s="5">
        <v>1.1044E-2</v>
      </c>
      <c r="H19" s="3">
        <v>1</v>
      </c>
      <c r="I19" s="46">
        <v>99.2</v>
      </c>
      <c r="J19" s="11">
        <v>1.964</v>
      </c>
      <c r="K19" s="46">
        <f t="shared" si="9"/>
        <v>194.8288</v>
      </c>
      <c r="L19" s="11">
        <f t="shared" si="12"/>
        <v>42.2</v>
      </c>
      <c r="M19" s="12">
        <f t="shared" si="10"/>
        <v>1.5122800000000001</v>
      </c>
      <c r="N19" s="46">
        <f t="shared" si="0"/>
        <v>681.17803679786391</v>
      </c>
      <c r="O19" s="41">
        <f t="shared" si="1"/>
        <v>1.0478812115563691E-2</v>
      </c>
      <c r="P19" s="78"/>
      <c r="Q19" s="78"/>
      <c r="R19" s="43">
        <f t="shared" si="2"/>
        <v>4.163922891403259E-3</v>
      </c>
      <c r="S19" s="76"/>
      <c r="T19" s="76"/>
      <c r="U19" s="48">
        <f>G19*$C$21</f>
        <v>3.1232432E-3</v>
      </c>
      <c r="V19" s="74"/>
      <c r="W19" s="74"/>
      <c r="X19" s="50">
        <f t="shared" si="4"/>
        <v>0.45223890536987499</v>
      </c>
      <c r="Y19" s="50">
        <f t="shared" si="5"/>
        <v>0.35587802192839446</v>
      </c>
      <c r="Z19" s="51">
        <f t="shared" si="11"/>
        <v>7.1408378457225696E-2</v>
      </c>
      <c r="AA19" s="51">
        <f t="shared" si="6"/>
        <v>5.6193025793937965E-2</v>
      </c>
      <c r="AB19" s="52">
        <f>U19^2/(2*$B$28*K19)</f>
        <v>4.0174956975010473E-2</v>
      </c>
      <c r="AC19" s="71">
        <f>U19^2/(2*(($B$28+$B$26)*(K19+$B$31+$B$38)))</f>
        <v>3.1614671027985985E-2</v>
      </c>
      <c r="AD19" s="24"/>
      <c r="AX19" s="95" t="s">
        <v>79</v>
      </c>
      <c r="AY19" s="60" t="s">
        <v>32</v>
      </c>
      <c r="AZ19" s="63">
        <f>AZ14^2/(2*$B$28*AZ8)</f>
        <v>7.9301992646818673E-3</v>
      </c>
      <c r="BA19" s="63">
        <f>BA14^2/(2*$B$28*BA8)</f>
        <v>1.3716370481892816E-2</v>
      </c>
      <c r="BB19" s="3" t="s">
        <v>91</v>
      </c>
      <c r="BC19" s="96">
        <f>BC14^2/(2*$C$28*BC8)</f>
        <v>4.246691303024927E-2</v>
      </c>
    </row>
    <row r="20" spans="1:55" ht="20">
      <c r="A20" s="16" t="s">
        <v>64</v>
      </c>
      <c r="B20" s="16" t="s">
        <v>65</v>
      </c>
      <c r="C20" s="16">
        <v>9.81</v>
      </c>
      <c r="D20" s="21" t="s">
        <v>22</v>
      </c>
      <c r="E20" s="45"/>
      <c r="F20" s="10">
        <v>18</v>
      </c>
      <c r="G20" s="27">
        <v>1.0540000000000001E-2</v>
      </c>
      <c r="H20" s="10">
        <v>1</v>
      </c>
      <c r="I20" s="47">
        <v>98</v>
      </c>
      <c r="J20" s="28">
        <v>1.964</v>
      </c>
      <c r="K20" s="47">
        <f t="shared" si="9"/>
        <v>192.47200000000001</v>
      </c>
      <c r="L20" s="28">
        <f t="shared" si="12"/>
        <v>41</v>
      </c>
      <c r="M20" s="29">
        <f t="shared" si="10"/>
        <v>1.5122800000000001</v>
      </c>
      <c r="N20" s="47">
        <f t="shared" si="0"/>
        <v>671.42319366172262</v>
      </c>
      <c r="O20" s="42">
        <f t="shared" si="1"/>
        <v>1.0328749778085898E-2</v>
      </c>
      <c r="P20" s="78"/>
      <c r="Q20" s="78"/>
      <c r="R20" s="44">
        <f t="shared" si="2"/>
        <v>4.1042932315458018E-3</v>
      </c>
      <c r="S20" s="76"/>
      <c r="T20" s="76"/>
      <c r="U20" s="49">
        <f>G20*$C$21</f>
        <v>2.9807120000000004E-3</v>
      </c>
      <c r="V20" s="74"/>
      <c r="W20" s="74"/>
      <c r="X20" s="53">
        <f t="shared" si="4"/>
        <v>0.44475918268699954</v>
      </c>
      <c r="Y20" s="53">
        <f t="shared" si="5"/>
        <v>0.34908126020950242</v>
      </c>
      <c r="Z20" s="54">
        <f t="shared" si="11"/>
        <v>7.022733263885006E-2</v>
      </c>
      <c r="AA20" s="54">
        <f t="shared" si="6"/>
        <v>5.5119819293251618E-2</v>
      </c>
      <c r="AB20" s="55">
        <f>U20^2/(2*$B$28*K20)</f>
        <v>3.7039869049627298E-2</v>
      </c>
      <c r="AC20" s="72">
        <f>U20^2/(2*(($B$28+$B$26)*(K20+$B$31+$B$38)))</f>
        <v>2.9071741897993171E-2</v>
      </c>
      <c r="AD20" s="24"/>
      <c r="AX20" s="97"/>
      <c r="AY20" s="98" t="s">
        <v>69</v>
      </c>
      <c r="AZ20" s="99">
        <f>AZ14^2/(2*(($B$28+$B$26)*(AZ8+$B$31+$B$38)))</f>
        <v>3.911107375671392E-3</v>
      </c>
      <c r="BA20" s="99">
        <f>BA14^2/(2*(($B$28+$B$26)*(BA8+$B$31+$B$38)))</f>
        <v>6.7222651140073477E-3</v>
      </c>
      <c r="BB20" s="10" t="s">
        <v>91</v>
      </c>
      <c r="BC20" s="70">
        <f>BC14^2/(2*(($C$28+$C$26)*(BC8+$C$31+$C$38)))</f>
        <v>3.3333378331897617E-2</v>
      </c>
    </row>
    <row r="21" spans="1:55">
      <c r="A21" s="17" t="s">
        <v>26</v>
      </c>
      <c r="B21" s="17" t="s">
        <v>23</v>
      </c>
      <c r="C21" s="17">
        <v>0.2828</v>
      </c>
      <c r="D21" s="22" t="s">
        <v>27</v>
      </c>
      <c r="E21" s="45"/>
      <c r="F21" s="3">
        <v>20</v>
      </c>
      <c r="G21" s="5">
        <v>9.3407000000000004E-3</v>
      </c>
      <c r="H21" s="6">
        <v>2</v>
      </c>
      <c r="I21" s="46">
        <v>79.5</v>
      </c>
      <c r="J21" s="11">
        <v>1.4159999999999999</v>
      </c>
      <c r="K21" s="46">
        <f t="shared" si="9"/>
        <v>112.57199999999999</v>
      </c>
      <c r="L21" s="11">
        <f>I21-($C$11+$C$29)</f>
        <v>19.299999999999997</v>
      </c>
      <c r="M21" s="12">
        <f t="shared" si="10"/>
        <v>1.09032</v>
      </c>
      <c r="N21" s="46">
        <f t="shared" si="0"/>
        <v>460.66271790168605</v>
      </c>
      <c r="O21" s="41">
        <f t="shared" si="1"/>
        <v>5.1092393987473457E-3</v>
      </c>
      <c r="P21" s="77">
        <f t="shared" ref="P21" si="40">AVERAGE(O21:O23)</f>
        <v>4.9862332881287627E-3</v>
      </c>
      <c r="Q21" s="77">
        <f t="shared" ref="Q21" si="41">STDEV(O21:O23)</f>
        <v>1.3782795466480249E-4</v>
      </c>
      <c r="R21" s="43">
        <f t="shared" ref="R21:R38" si="42">$C$28*N21*$C$20</f>
        <v>3.3791413099058757E-3</v>
      </c>
      <c r="S21" s="75">
        <f t="shared" ref="S21" si="43">AVERAGE(R21:R23)</f>
        <v>3.2985686152967302E-3</v>
      </c>
      <c r="T21" s="75">
        <f t="shared" ref="T21" si="44">STDEV(R21:R23)</f>
        <v>9.1386768045993648E-5</v>
      </c>
      <c r="U21" s="48">
        <f>G21*$C$21</f>
        <v>2.64154996E-3</v>
      </c>
      <c r="V21" s="73">
        <f t="shared" ref="V21" si="45">AVERAGE(U21:U23)</f>
        <v>2.5271667866666667E-3</v>
      </c>
      <c r="W21" s="73">
        <f t="shared" ref="W21" si="46">STDEV(U21:U23)</f>
        <v>1.471973221235785E-4</v>
      </c>
      <c r="X21" s="50">
        <f t="shared" ref="X21:X38" si="47">O21^2/(2*$C$28*K21)</f>
        <v>0.15505930985353245</v>
      </c>
      <c r="Y21" s="50">
        <f t="shared" ref="Y21:Y38" si="48">O21^2/(2*(($C$28+$C$26)*(K21+$C$31+$C$38)))</f>
        <v>0.10307625233212891</v>
      </c>
      <c r="Z21" s="51">
        <f t="shared" ref="Z21:Z38" si="49">R21^2/(2*$C$28*K21)</f>
        <v>6.7826287887538528E-2</v>
      </c>
      <c r="AA21" s="51">
        <f t="shared" ref="AA21:AA38" si="50">R21^2/(2*(($C$28+$C$26)*(K21+$C$31+$C$38)))</f>
        <v>4.5087776874870894E-2</v>
      </c>
      <c r="AB21" s="52">
        <f>U21^2/(2*$C$28*K21)</f>
        <v>4.1447944680679638E-2</v>
      </c>
      <c r="AC21" s="71">
        <f>U21^2/(2*(($C$28+$C$26)*(K21+$C$31+$C$38)))</f>
        <v>2.7552675222077459E-2</v>
      </c>
      <c r="AD21" s="24"/>
    </row>
    <row r="22" spans="1:55">
      <c r="E22" s="45"/>
      <c r="F22" s="3">
        <v>21</v>
      </c>
      <c r="G22" s="5">
        <v>9.1190000000000004E-3</v>
      </c>
      <c r="H22" s="6">
        <v>2</v>
      </c>
      <c r="I22" s="46">
        <v>77.5</v>
      </c>
      <c r="J22" s="11">
        <v>1.4159999999999999</v>
      </c>
      <c r="K22" s="46">
        <f t="shared" si="9"/>
        <v>109.74</v>
      </c>
      <c r="L22" s="11">
        <f t="shared" ref="L22:L37" si="51">I22-($C$11+$C$29)</f>
        <v>17.299999999999997</v>
      </c>
      <c r="M22" s="12">
        <f t="shared" si="10"/>
        <v>1.09032</v>
      </c>
      <c r="N22" s="46">
        <f t="shared" si="0"/>
        <v>436.14154997709926</v>
      </c>
      <c r="O22" s="41">
        <f t="shared" si="1"/>
        <v>4.8372735712667366E-3</v>
      </c>
      <c r="P22" s="78"/>
      <c r="Q22" s="78"/>
      <c r="R22" s="43">
        <f t="shared" si="42"/>
        <v>3.1992689471530599E-3</v>
      </c>
      <c r="S22" s="76"/>
      <c r="T22" s="76"/>
      <c r="U22" s="48">
        <f>G22*$C$21</f>
        <v>2.5788531999999999E-3</v>
      </c>
      <c r="V22" s="74"/>
      <c r="W22" s="74"/>
      <c r="X22" s="50">
        <f t="shared" si="47"/>
        <v>0.14257785178476073</v>
      </c>
      <c r="Y22" s="50">
        <f t="shared" si="48"/>
        <v>9.3966206472543473E-2</v>
      </c>
      <c r="Z22" s="51">
        <f t="shared" si="49"/>
        <v>6.2366628812385833E-2</v>
      </c>
      <c r="AA22" s="51">
        <f t="shared" si="50"/>
        <v>4.1102846245909729E-2</v>
      </c>
      <c r="AB22" s="52">
        <f>U22^2/(2*$C$28*K22)</f>
        <v>4.0523225798715888E-2</v>
      </c>
      <c r="AC22" s="71">
        <f>U22^2/(2*(($C$28+$C$26)*(K22+$C$31+$C$38)))</f>
        <v>2.670690962635637E-2</v>
      </c>
      <c r="AD22" s="24"/>
    </row>
    <row r="23" spans="1:55">
      <c r="A23" s="14" t="s">
        <v>1</v>
      </c>
      <c r="B23" s="14" t="s">
        <v>86</v>
      </c>
      <c r="C23" s="25" t="s">
        <v>87</v>
      </c>
      <c r="E23" s="45"/>
      <c r="F23" s="3">
        <v>22</v>
      </c>
      <c r="G23" s="5">
        <v>8.3490000000000005E-3</v>
      </c>
      <c r="H23" s="6">
        <v>2</v>
      </c>
      <c r="I23" s="46">
        <v>78.8</v>
      </c>
      <c r="J23" s="11">
        <v>1.415</v>
      </c>
      <c r="K23" s="46">
        <f t="shared" si="9"/>
        <v>111.502</v>
      </c>
      <c r="L23" s="11">
        <f t="shared" si="51"/>
        <v>18.599999999999994</v>
      </c>
      <c r="M23" s="12">
        <f t="shared" si="10"/>
        <v>1.08955</v>
      </c>
      <c r="N23" s="46">
        <f t="shared" si="0"/>
        <v>452.23157657080822</v>
      </c>
      <c r="O23" s="41">
        <f t="shared" si="1"/>
        <v>5.0121868943722048E-3</v>
      </c>
      <c r="P23" s="78"/>
      <c r="Q23" s="78"/>
      <c r="R23" s="43">
        <f t="shared" si="42"/>
        <v>3.3172955888312555E-3</v>
      </c>
      <c r="S23" s="76"/>
      <c r="T23" s="76"/>
      <c r="U23" s="48">
        <f>G23*$C$21</f>
        <v>2.3610972E-3</v>
      </c>
      <c r="V23" s="74"/>
      <c r="W23" s="74"/>
      <c r="X23" s="50">
        <f t="shared" si="47"/>
        <v>0.15065639790963353</v>
      </c>
      <c r="Y23" s="50">
        <f t="shared" si="48"/>
        <v>9.982824242592056E-2</v>
      </c>
      <c r="Z23" s="51">
        <f t="shared" si="49"/>
        <v>6.5993537498020838E-2</v>
      </c>
      <c r="AA23" s="51">
        <f t="shared" si="50"/>
        <v>4.3728769247809288E-2</v>
      </c>
      <c r="AB23" s="52">
        <f>U23^2/(2*$C$28*K23)</f>
        <v>3.3431879955800506E-2</v>
      </c>
      <c r="AC23" s="71">
        <f>U23^2/(2*(($C$28+$C$26)*(K23+$C$31+$C$38)))</f>
        <v>2.2152698878303116E-2</v>
      </c>
      <c r="AD23" s="24"/>
    </row>
    <row r="24" spans="1:55">
      <c r="A24" s="15" t="s">
        <v>39</v>
      </c>
      <c r="B24" s="15">
        <v>1</v>
      </c>
      <c r="C24" s="15">
        <v>2</v>
      </c>
      <c r="E24" s="45"/>
      <c r="F24" s="3">
        <v>23</v>
      </c>
      <c r="G24" s="5">
        <v>5.5852000000000002E-3</v>
      </c>
      <c r="H24" s="6">
        <v>2</v>
      </c>
      <c r="I24" s="46">
        <v>78.2</v>
      </c>
      <c r="J24" s="11">
        <v>0.90600000000000003</v>
      </c>
      <c r="K24" s="46">
        <f t="shared" si="9"/>
        <v>70.84920000000001</v>
      </c>
      <c r="L24" s="11">
        <f t="shared" si="51"/>
        <v>18</v>
      </c>
      <c r="M24" s="12">
        <f t="shared" si="10"/>
        <v>0.69762000000000002</v>
      </c>
      <c r="N24" s="46">
        <f t="shared" si="0"/>
        <v>444.87772750866753</v>
      </c>
      <c r="O24" s="41">
        <f t="shared" si="1"/>
        <v>3.1570306252483742E-3</v>
      </c>
      <c r="P24" s="77">
        <f t="shared" ref="P24" si="52">AVERAGE(O24:O26)</f>
        <v>3.0950778298427157E-3</v>
      </c>
      <c r="Q24" s="77">
        <f t="shared" ref="Q24" si="53">STDEV(O24:O26)</f>
        <v>5.4719766677141284E-5</v>
      </c>
      <c r="R24" s="43">
        <f t="shared" si="42"/>
        <v>3.2633522281315178E-3</v>
      </c>
      <c r="S24" s="75">
        <f t="shared" ref="S24" si="54">AVERAGE(R24:R26)</f>
        <v>3.1958194369060243E-3</v>
      </c>
      <c r="T24" s="75">
        <f t="shared" ref="T24" si="55">STDEV(R24:R26)</f>
        <v>5.9228620319075941E-5</v>
      </c>
      <c r="U24" s="48">
        <f>G24*$C$21</f>
        <v>1.57949456E-3</v>
      </c>
      <c r="V24" s="73">
        <f t="shared" ref="V24" si="56">AVERAGE(U24:U26)</f>
        <v>1.5551172E-3</v>
      </c>
      <c r="W24" s="73">
        <f t="shared" ref="W24" si="57">STDEV(U24:U26)</f>
        <v>9.8110925712668678E-5</v>
      </c>
      <c r="X24" s="50">
        <f t="shared" si="47"/>
        <v>9.4067231546128546E-2</v>
      </c>
      <c r="Y24" s="50">
        <f t="shared" si="48"/>
        <v>5.2221670686309368E-2</v>
      </c>
      <c r="Z24" s="51">
        <f t="shared" si="49"/>
        <v>0.10050986190165717</v>
      </c>
      <c r="AA24" s="51">
        <f t="shared" si="50"/>
        <v>5.5798313851523083E-2</v>
      </c>
      <c r="AB24" s="52">
        <f>U24^2/(2*$C$28*K24)</f>
        <v>2.3545994699340322E-2</v>
      </c>
      <c r="AC24" s="71">
        <f>U24^2/(2*(($C$28+$C$26)*(K24+$C$31+$C$38)))</f>
        <v>1.3071620807375006E-2</v>
      </c>
      <c r="AD24" s="24"/>
    </row>
    <row r="25" spans="1:55">
      <c r="A25" s="16" t="s">
        <v>30</v>
      </c>
      <c r="B25" s="16">
        <v>8</v>
      </c>
      <c r="C25" s="16">
        <v>8</v>
      </c>
      <c r="E25" s="45"/>
      <c r="F25" s="3">
        <v>24</v>
      </c>
      <c r="G25" s="5">
        <v>5.1171000000000003E-3</v>
      </c>
      <c r="H25" s="6">
        <v>2</v>
      </c>
      <c r="I25" s="46">
        <v>77.2</v>
      </c>
      <c r="J25" s="11">
        <v>0.90800000000000003</v>
      </c>
      <c r="K25" s="46">
        <f t="shared" si="9"/>
        <v>70.0976</v>
      </c>
      <c r="L25" s="11">
        <f t="shared" si="51"/>
        <v>17</v>
      </c>
      <c r="M25" s="12">
        <f t="shared" si="10"/>
        <v>0.69916</v>
      </c>
      <c r="N25" s="46">
        <f t="shared" si="0"/>
        <v>432.34343803185607</v>
      </c>
      <c r="O25" s="41">
        <f t="shared" si="1"/>
        <v>3.0748550929709348E-3</v>
      </c>
      <c r="P25" s="78"/>
      <c r="Q25" s="78"/>
      <c r="R25" s="43">
        <f t="shared" si="42"/>
        <v>3.171408309695185E-3</v>
      </c>
      <c r="S25" s="76"/>
      <c r="T25" s="76"/>
      <c r="U25" s="48">
        <f>G25*$C$21</f>
        <v>1.4471158800000001E-3</v>
      </c>
      <c r="V25" s="74"/>
      <c r="W25" s="74"/>
      <c r="X25" s="50">
        <f t="shared" si="47"/>
        <v>9.0190725932391788E-2</v>
      </c>
      <c r="Y25" s="50">
        <f t="shared" si="48"/>
        <v>4.9831933076742364E-2</v>
      </c>
      <c r="Z25" s="51">
        <f t="shared" si="49"/>
        <v>9.5943795375883184E-2</v>
      </c>
      <c r="AA25" s="51">
        <f t="shared" si="50"/>
        <v>5.3010603261843425E-2</v>
      </c>
      <c r="AB25" s="52">
        <f>U25^2/(2*$C$28*K25)</f>
        <v>1.9976490517005861E-2</v>
      </c>
      <c r="AC25" s="71">
        <f>U25^2/(2*(($C$28+$C$26)*(K25+$C$31+$C$38)))</f>
        <v>1.1037355872906827E-2</v>
      </c>
      <c r="AD25" s="24"/>
    </row>
    <row r="26" spans="1:55">
      <c r="A26" s="16" t="s">
        <v>38</v>
      </c>
      <c r="B26" s="18">
        <f>B25* 0.0007436 *$C$5 * 10^-6</f>
        <v>5.4193568000000002E-39</v>
      </c>
      <c r="C26" s="18">
        <f>C25* 0.0007436 *$C$5 * 10^-6</f>
        <v>5.4193568000000002E-39</v>
      </c>
      <c r="E26" s="45"/>
      <c r="F26" s="3">
        <v>25</v>
      </c>
      <c r="G26" s="5">
        <v>5.7946999999999999E-3</v>
      </c>
      <c r="H26" s="6">
        <v>2</v>
      </c>
      <c r="I26" s="46">
        <v>77</v>
      </c>
      <c r="J26" s="11">
        <v>0.90700000000000003</v>
      </c>
      <c r="K26" s="46">
        <f t="shared" si="9"/>
        <v>69.838999999999999</v>
      </c>
      <c r="L26" s="11">
        <f t="shared" si="51"/>
        <v>16.799999999999997</v>
      </c>
      <c r="M26" s="12">
        <f t="shared" si="10"/>
        <v>0.69839000000000007</v>
      </c>
      <c r="N26" s="46">
        <f t="shared" si="0"/>
        <v>429.79271702111373</v>
      </c>
      <c r="O26" s="41">
        <f t="shared" si="1"/>
        <v>3.0533477713088376E-3</v>
      </c>
      <c r="P26" s="78"/>
      <c r="Q26" s="78"/>
      <c r="R26" s="43">
        <f t="shared" si="42"/>
        <v>3.152697772891371E-3</v>
      </c>
      <c r="S26" s="76"/>
      <c r="T26" s="76"/>
      <c r="U26" s="48">
        <f>G26*$C$21</f>
        <v>1.63874116E-3</v>
      </c>
      <c r="V26" s="74"/>
      <c r="W26" s="74"/>
      <c r="X26" s="50">
        <f t="shared" si="47"/>
        <v>8.9262748796105143E-2</v>
      </c>
      <c r="Y26" s="50">
        <f t="shared" si="48"/>
        <v>4.9237625894916384E-2</v>
      </c>
      <c r="Z26" s="51">
        <f t="shared" si="49"/>
        <v>9.5166126194819942E-2</v>
      </c>
      <c r="AA26" s="51">
        <f t="shared" si="50"/>
        <v>5.2493948289136755E-2</v>
      </c>
      <c r="AB26" s="52">
        <f>U26^2/(2*$C$28*K26)</f>
        <v>2.571215250773724E-2</v>
      </c>
      <c r="AC26" s="71">
        <f>U26^2/(2*(($C$28+$C$26)*(K26+$C$31+$C$38)))</f>
        <v>1.4182907911796718E-2</v>
      </c>
      <c r="AD26" s="24"/>
    </row>
    <row r="27" spans="1:55">
      <c r="A27" s="16" t="s">
        <v>29</v>
      </c>
      <c r="B27" s="16">
        <v>10</v>
      </c>
      <c r="C27" s="16">
        <v>12</v>
      </c>
      <c r="E27" s="45"/>
      <c r="F27" s="3">
        <v>26</v>
      </c>
      <c r="G27" s="5">
        <v>7.1723999999999998E-3</v>
      </c>
      <c r="H27" s="6">
        <v>2</v>
      </c>
      <c r="I27" s="46">
        <v>78</v>
      </c>
      <c r="J27" s="11">
        <v>1.1419999999999999</v>
      </c>
      <c r="K27" s="46">
        <f t="shared" si="9"/>
        <v>89.075999999999993</v>
      </c>
      <c r="L27" s="11">
        <f t="shared" si="51"/>
        <v>17.799999999999997</v>
      </c>
      <c r="M27" s="12">
        <f t="shared" si="10"/>
        <v>0.8793399999999999</v>
      </c>
      <c r="N27" s="46">
        <f t="shared" si="0"/>
        <v>442.39928077299362</v>
      </c>
      <c r="O27" s="41">
        <f t="shared" si="1"/>
        <v>3.9572223174032355E-3</v>
      </c>
      <c r="P27" s="77">
        <f t="shared" ref="P27" si="58">AVERAGE(O27:O29)</f>
        <v>3.83694899360076E-3</v>
      </c>
      <c r="Q27" s="77">
        <f t="shared" ref="Q27" si="59">STDEV(O27:O29)</f>
        <v>1.0463907466627804E-4</v>
      </c>
      <c r="R27" s="43">
        <f t="shared" si="42"/>
        <v>3.2451718514188866E-3</v>
      </c>
      <c r="S27" s="75">
        <f t="shared" ref="S27" si="60">AVERAGE(R27:R29)</f>
        <v>3.145639289550048E-3</v>
      </c>
      <c r="T27" s="75">
        <f t="shared" ref="T27" si="61">STDEV(R27:R29)</f>
        <v>8.6725723088324047E-5</v>
      </c>
      <c r="U27" s="48">
        <f>G27*$C$21</f>
        <v>2.0283547199999997E-3</v>
      </c>
      <c r="V27" s="73">
        <f t="shared" ref="V27" si="62">AVERAGE(U27:U29)</f>
        <v>1.7331775066666665E-3</v>
      </c>
      <c r="W27" s="73">
        <f t="shared" ref="W27" si="63">STDEV(U27:U29)</f>
        <v>2.6712924293451751E-4</v>
      </c>
      <c r="X27" s="50">
        <f t="shared" si="47"/>
        <v>0.11755359535465355</v>
      </c>
      <c r="Y27" s="50">
        <f t="shared" si="48"/>
        <v>7.1795360947287556E-2</v>
      </c>
      <c r="Z27" s="51">
        <f t="shared" si="49"/>
        <v>7.9055195612986809E-2</v>
      </c>
      <c r="AA27" s="51">
        <f t="shared" si="50"/>
        <v>4.8282626206958675E-2</v>
      </c>
      <c r="AB27" s="52">
        <f>U27^2/(2*$C$28*K27)</f>
        <v>3.0884660457668585E-2</v>
      </c>
      <c r="AC27" s="71">
        <f>U27^2/(2*(($C$28+$C$26)*(K27+$C$31+$C$38)))</f>
        <v>1.8862675689357015E-2</v>
      </c>
      <c r="AD27" s="24"/>
    </row>
    <row r="28" spans="1:55">
      <c r="A28" s="16" t="s">
        <v>31</v>
      </c>
      <c r="B28" s="18">
        <f>B27* 0.0007436 *$C$3 * 10^-6</f>
        <v>6.2312192799999994E-7</v>
      </c>
      <c r="C28" s="18">
        <f>C27* 0.0007436 *$C$3 * 10^-6</f>
        <v>7.4774631359999995E-7</v>
      </c>
      <c r="E28" s="45"/>
      <c r="F28" s="3">
        <v>27</v>
      </c>
      <c r="G28" s="5">
        <v>5.3325999999999998E-3</v>
      </c>
      <c r="H28" s="6">
        <v>2</v>
      </c>
      <c r="I28" s="46">
        <v>76.5</v>
      </c>
      <c r="J28" s="11">
        <v>1.1419999999999999</v>
      </c>
      <c r="K28" s="46">
        <f t="shared" si="9"/>
        <v>87.363</v>
      </c>
      <c r="L28" s="11">
        <f t="shared" si="51"/>
        <v>16.299999999999997</v>
      </c>
      <c r="M28" s="12">
        <f t="shared" si="10"/>
        <v>0.8793399999999999</v>
      </c>
      <c r="N28" s="46">
        <f t="shared" si="0"/>
        <v>423.34868322974114</v>
      </c>
      <c r="O28" s="41">
        <f t="shared" si="1"/>
        <v>3.7868164125240433E-3</v>
      </c>
      <c r="P28" s="78"/>
      <c r="Q28" s="78"/>
      <c r="R28" s="43">
        <f t="shared" si="42"/>
        <v>3.1054282632465647E-3</v>
      </c>
      <c r="S28" s="76"/>
      <c r="T28" s="76"/>
      <c r="U28" s="48">
        <f>G28*$C$21</f>
        <v>1.5080592799999999E-3</v>
      </c>
      <c r="V28" s="74"/>
      <c r="W28" s="74"/>
      <c r="X28" s="50">
        <f t="shared" si="47"/>
        <v>0.10975812670478559</v>
      </c>
      <c r="Y28" s="50">
        <f t="shared" si="48"/>
        <v>6.6526551812081225E-2</v>
      </c>
      <c r="Z28" s="51">
        <f t="shared" si="49"/>
        <v>7.3812716238783452E-2</v>
      </c>
      <c r="AA28" s="51">
        <f t="shared" si="50"/>
        <v>4.4739334012665617E-2</v>
      </c>
      <c r="AB28" s="52">
        <f>U28^2/(2*$C$28*K28)</f>
        <v>1.7407043377870426E-2</v>
      </c>
      <c r="AC28" s="71">
        <f>U28^2/(2*(($C$28+$C$26)*(K28+$C$31+$C$38)))</f>
        <v>1.0550750162562229E-2</v>
      </c>
      <c r="AD28" s="24"/>
    </row>
    <row r="29" spans="1:55">
      <c r="A29" s="16" t="s">
        <v>35</v>
      </c>
      <c r="B29" s="19">
        <v>47</v>
      </c>
      <c r="C29" s="19">
        <v>50.2</v>
      </c>
      <c r="E29" s="45"/>
      <c r="F29" s="3">
        <v>28</v>
      </c>
      <c r="G29" s="5">
        <v>5.8808999999999997E-3</v>
      </c>
      <c r="H29" s="6">
        <v>2</v>
      </c>
      <c r="I29" s="46">
        <v>76.3</v>
      </c>
      <c r="J29" s="11">
        <v>1.143</v>
      </c>
      <c r="K29" s="46">
        <f t="shared" si="9"/>
        <v>87.210899999999995</v>
      </c>
      <c r="L29" s="11">
        <f t="shared" si="51"/>
        <v>16.099999999999994</v>
      </c>
      <c r="M29" s="12">
        <f>J29*$C$13</f>
        <v>0.88011000000000006</v>
      </c>
      <c r="N29" s="46">
        <f t="shared" si="0"/>
        <v>420.74343582228528</v>
      </c>
      <c r="O29" s="41">
        <f t="shared" si="1"/>
        <v>3.7668082508750009E-3</v>
      </c>
      <c r="P29" s="78"/>
      <c r="Q29" s="78"/>
      <c r="R29" s="43">
        <f t="shared" si="42"/>
        <v>3.0863177539846927E-3</v>
      </c>
      <c r="S29" s="76"/>
      <c r="T29" s="76"/>
      <c r="U29" s="48">
        <f>G29*$C$21</f>
        <v>1.66311852E-3</v>
      </c>
      <c r="V29" s="74"/>
      <c r="W29" s="74"/>
      <c r="X29" s="50">
        <f t="shared" si="47"/>
        <v>0.10879075266660636</v>
      </c>
      <c r="Y29" s="50">
        <f t="shared" si="48"/>
        <v>6.5894941158480852E-2</v>
      </c>
      <c r="Z29" s="51">
        <f t="shared" si="49"/>
        <v>7.3034192117594959E-2</v>
      </c>
      <c r="AA29" s="51">
        <f t="shared" si="50"/>
        <v>4.4237066792749032E-2</v>
      </c>
      <c r="AB29" s="52">
        <f>U29^2/(2*$C$28*K29)</f>
        <v>2.1207591765450159E-2</v>
      </c>
      <c r="AC29" s="71">
        <f>U29^2/(2*(($C$28+$C$26)*(K29+$C$31+$C$38)))</f>
        <v>1.2845512851446424E-2</v>
      </c>
      <c r="AD29" s="24"/>
    </row>
    <row r="30" spans="1:55">
      <c r="A30" s="16" t="s">
        <v>36</v>
      </c>
      <c r="B30" s="19">
        <v>1.0900000000000001</v>
      </c>
      <c r="C30" s="19">
        <v>1.093</v>
      </c>
      <c r="E30" s="45"/>
      <c r="F30" s="3">
        <v>29</v>
      </c>
      <c r="G30" s="5">
        <v>1.0721E-2</v>
      </c>
      <c r="H30" s="6">
        <v>2</v>
      </c>
      <c r="I30" s="46">
        <v>81.900000000000006</v>
      </c>
      <c r="J30" s="11">
        <v>1.806</v>
      </c>
      <c r="K30" s="46">
        <f t="shared" si="9"/>
        <v>147.91140000000001</v>
      </c>
      <c r="L30" s="11">
        <f>I30-($C$11+$C$29)</f>
        <v>21.700000000000003</v>
      </c>
      <c r="M30" s="12">
        <f t="shared" si="10"/>
        <v>1.39062</v>
      </c>
      <c r="N30" s="46">
        <f t="shared" si="0"/>
        <v>488.46593056459795</v>
      </c>
      <c r="O30" s="41">
        <f t="shared" si="1"/>
        <v>6.9097440013496259E-3</v>
      </c>
      <c r="P30" s="77">
        <f t="shared" ref="P30" si="64">AVERAGE(O30:O32)</f>
        <v>6.9053202349701132E-3</v>
      </c>
      <c r="Q30" s="77">
        <f t="shared" ref="Q30" si="65">STDEV(O30:O32)</f>
        <v>8.587314875346027E-5</v>
      </c>
      <c r="R30" s="43">
        <f t="shared" si="42"/>
        <v>3.5830887551979314E-3</v>
      </c>
      <c r="S30" s="75">
        <f t="shared" ref="S30" si="66">AVERAGE(R30:R32)</f>
        <v>3.5801426612776092E-3</v>
      </c>
      <c r="T30" s="75">
        <f t="shared" ref="T30" si="67">STDEV(R30:R32)</f>
        <v>4.5535413543046145E-5</v>
      </c>
      <c r="U30" s="48">
        <f>G30*$C$21</f>
        <v>3.0318987999999997E-3</v>
      </c>
      <c r="V30" s="73">
        <f t="shared" ref="V30" si="68">AVERAGE(U30:U32)</f>
        <v>3.0076722666666669E-3</v>
      </c>
      <c r="W30" s="73">
        <f t="shared" ref="W30" si="69">STDEV(U30:U32)</f>
        <v>5.4927545428257787E-5</v>
      </c>
      <c r="X30" s="50">
        <f t="shared" si="47"/>
        <v>0.2158430111285686</v>
      </c>
      <c r="Y30" s="50">
        <f t="shared" si="48"/>
        <v>0.15597578716351757</v>
      </c>
      <c r="Z30" s="51">
        <f t="shared" si="49"/>
        <v>5.8040241124901186E-2</v>
      </c>
      <c r="AA30" s="51">
        <f t="shared" si="50"/>
        <v>4.1941929225701967E-2</v>
      </c>
      <c r="AB30" s="52">
        <f>U30^2/(2*$C$28*K30)</f>
        <v>4.1556932055974362E-2</v>
      </c>
      <c r="AC30" s="71">
        <f>U30^2/(2*(($C$28+$C$26)*(K30+$C$31+$C$38)))</f>
        <v>3.0030507615882163E-2</v>
      </c>
      <c r="AD30" s="24"/>
    </row>
    <row r="31" spans="1:55">
      <c r="A31" s="35" t="s">
        <v>37</v>
      </c>
      <c r="B31" s="19">
        <f>B29*B30</f>
        <v>51.230000000000004</v>
      </c>
      <c r="C31" s="19">
        <f>C29*C30</f>
        <v>54.868600000000001</v>
      </c>
      <c r="E31" s="45"/>
      <c r="F31" s="3">
        <v>30</v>
      </c>
      <c r="G31" s="5">
        <v>1.0772E-2</v>
      </c>
      <c r="H31" s="6">
        <v>2</v>
      </c>
      <c r="I31" s="46">
        <v>82.4</v>
      </c>
      <c r="J31" s="11">
        <v>1.806</v>
      </c>
      <c r="K31" s="46">
        <f t="shared" si="9"/>
        <v>148.81440000000001</v>
      </c>
      <c r="L31" s="11">
        <f t="shared" si="51"/>
        <v>22.200000000000003</v>
      </c>
      <c r="M31" s="12">
        <f t="shared" si="10"/>
        <v>1.39062</v>
      </c>
      <c r="N31" s="46">
        <f t="shared" si="0"/>
        <v>494.06137000819444</v>
      </c>
      <c r="O31" s="41">
        <f t="shared" si="1"/>
        <v>6.9888959988811984E-3</v>
      </c>
      <c r="P31" s="78"/>
      <c r="Q31" s="78"/>
      <c r="R31" s="43">
        <f t="shared" si="42"/>
        <v>3.6241334932159289E-3</v>
      </c>
      <c r="S31" s="76"/>
      <c r="T31" s="76"/>
      <c r="U31" s="48">
        <f>G31*$C$21</f>
        <v>3.0463216E-3</v>
      </c>
      <c r="V31" s="74"/>
      <c r="W31" s="74"/>
      <c r="X31" s="50">
        <f t="shared" si="47"/>
        <v>0.21947644734784844</v>
      </c>
      <c r="Y31" s="50">
        <f t="shared" si="48"/>
        <v>0.15886881883094975</v>
      </c>
      <c r="Z31" s="51">
        <f t="shared" si="49"/>
        <v>5.901727305739831E-2</v>
      </c>
      <c r="AA31" s="51">
        <f t="shared" si="50"/>
        <v>4.2719866184057848E-2</v>
      </c>
      <c r="AB31" s="52">
        <f>U31^2/(2*$C$28*K31)</f>
        <v>4.1698676011019536E-2</v>
      </c>
      <c r="AC31" s="71">
        <f>U31^2/(2*(($C$28+$C$26)*(K31+$C$31+$C$38)))</f>
        <v>3.0183737183360575E-2</v>
      </c>
      <c r="AD31" s="24"/>
    </row>
    <row r="32" spans="1:55">
      <c r="A32" s="16" t="s">
        <v>70</v>
      </c>
      <c r="B32" s="19">
        <v>0.64</v>
      </c>
      <c r="C32" s="16">
        <v>0.76</v>
      </c>
      <c r="E32" s="45"/>
      <c r="F32" s="3">
        <v>31</v>
      </c>
      <c r="G32" s="5">
        <v>1.0413E-2</v>
      </c>
      <c r="H32" s="6">
        <v>2</v>
      </c>
      <c r="I32" s="46">
        <v>81.3</v>
      </c>
      <c r="J32" s="11">
        <v>1.8069999999999999</v>
      </c>
      <c r="K32" s="46">
        <f t="shared" si="9"/>
        <v>146.9091</v>
      </c>
      <c r="L32" s="11">
        <f t="shared" si="51"/>
        <v>21.099999999999994</v>
      </c>
      <c r="M32" s="12">
        <f t="shared" si="10"/>
        <v>1.3913899999999999</v>
      </c>
      <c r="N32" s="46">
        <f t="shared" si="0"/>
        <v>481.66560901510911</v>
      </c>
      <c r="O32" s="41">
        <f t="shared" si="1"/>
        <v>6.8173207046795152E-3</v>
      </c>
      <c r="P32" s="78"/>
      <c r="Q32" s="78"/>
      <c r="R32" s="43">
        <f t="shared" si="42"/>
        <v>3.5332057354189677E-3</v>
      </c>
      <c r="S32" s="76"/>
      <c r="T32" s="76"/>
      <c r="U32" s="48">
        <f>G32*$C$21</f>
        <v>2.9447964000000001E-3</v>
      </c>
      <c r="V32" s="74"/>
      <c r="W32" s="74"/>
      <c r="X32" s="50">
        <f t="shared" si="47"/>
        <v>0.21154096209929005</v>
      </c>
      <c r="Y32" s="50">
        <f t="shared" si="48"/>
        <v>0.15257824393819716</v>
      </c>
      <c r="Z32" s="51">
        <f t="shared" si="49"/>
        <v>5.6820477498400537E-2</v>
      </c>
      <c r="AA32" s="51">
        <f t="shared" si="50"/>
        <v>4.0982931108948066E-2</v>
      </c>
      <c r="AB32" s="52">
        <f>U32^2/(2*$C$28*K32)</f>
        <v>3.9470949392558428E-2</v>
      </c>
      <c r="AC32" s="71">
        <f>U32^2/(2*(($C$28+$C$26)*(K32+$C$31+$C$38)))</f>
        <v>2.8469229245838935E-2</v>
      </c>
      <c r="AD32" s="24"/>
    </row>
    <row r="33" spans="1:30">
      <c r="A33" s="16" t="s">
        <v>71</v>
      </c>
      <c r="B33" s="19">
        <v>0.50800000000000001</v>
      </c>
      <c r="C33" s="16">
        <v>0.52700000000000002</v>
      </c>
      <c r="E33" s="45"/>
      <c r="F33" s="3">
        <v>32</v>
      </c>
      <c r="G33" s="5">
        <v>1.3624000000000001E-2</v>
      </c>
      <c r="H33" s="6">
        <v>2</v>
      </c>
      <c r="I33" s="46">
        <v>86.1</v>
      </c>
      <c r="J33" s="11">
        <v>2.12</v>
      </c>
      <c r="K33" s="46">
        <f t="shared" si="9"/>
        <v>182.53200000000001</v>
      </c>
      <c r="L33" s="11">
        <f t="shared" si="51"/>
        <v>25.899999999999991</v>
      </c>
      <c r="M33" s="12">
        <f t="shared" si="10"/>
        <v>1.6324000000000001</v>
      </c>
      <c r="N33" s="46">
        <f t="shared" si="0"/>
        <v>533.647271353875</v>
      </c>
      <c r="O33" s="41">
        <f t="shared" si="1"/>
        <v>8.8613540238284584E-3</v>
      </c>
      <c r="P33" s="77">
        <f t="shared" ref="P33" si="70">AVERAGE(O33:O35)</f>
        <v>8.9475527264611804E-3</v>
      </c>
      <c r="Q33" s="77">
        <f t="shared" ref="Q33" si="71">STDEV(O33:O35)</f>
        <v>9.3875630852120263E-5</v>
      </c>
      <c r="R33" s="43">
        <f t="shared" si="42"/>
        <v>3.9145115709912524E-3</v>
      </c>
      <c r="S33" s="75">
        <f t="shared" ref="S33" si="72">AVERAGE(R33:R35)</f>
        <v>3.9519697060482429E-3</v>
      </c>
      <c r="T33" s="75">
        <f t="shared" ref="T33" si="73">STDEV(R33:R35)</f>
        <v>4.1620264145122216E-5</v>
      </c>
      <c r="U33" s="48">
        <f>G33*$C$21</f>
        <v>3.8528672000000003E-3</v>
      </c>
      <c r="V33" s="73">
        <f t="shared" ref="V33" si="74">AVERAGE(U33:U35)</f>
        <v>3.6504766666666673E-3</v>
      </c>
      <c r="W33" s="73">
        <f t="shared" ref="W33" si="75">STDEV(U33:U35)</f>
        <v>2.5184992655860253E-4</v>
      </c>
      <c r="X33" s="50">
        <f t="shared" si="47"/>
        <v>0.28765828474717625</v>
      </c>
      <c r="Y33" s="50">
        <f t="shared" si="48"/>
        <v>0.21941488476858872</v>
      </c>
      <c r="Z33" s="51">
        <f t="shared" si="49"/>
        <v>5.6134760441740129E-2</v>
      </c>
      <c r="AA33" s="51">
        <f t="shared" si="50"/>
        <v>4.2817477009786171E-2</v>
      </c>
      <c r="AB33" s="52">
        <f>U33^2/(2*$C$28*K33)</f>
        <v>5.4380699732397786E-2</v>
      </c>
      <c r="AC33" s="71">
        <f>U33^2/(2*(($C$28+$C$26)*(K33+$C$31+$C$38)))</f>
        <v>4.1479545690492794E-2</v>
      </c>
      <c r="AD33" s="24"/>
    </row>
    <row r="34" spans="1:30">
      <c r="A34" s="35" t="s">
        <v>72</v>
      </c>
      <c r="B34" s="19">
        <f>B32*B33</f>
        <v>0.32512000000000002</v>
      </c>
      <c r="C34" s="19">
        <f>C32*C33</f>
        <v>0.40052000000000004</v>
      </c>
      <c r="E34" s="45"/>
      <c r="F34" s="3">
        <v>33</v>
      </c>
      <c r="G34" s="5">
        <v>1.319E-2</v>
      </c>
      <c r="H34" s="6">
        <v>2</v>
      </c>
      <c r="I34" s="46">
        <v>87.2</v>
      </c>
      <c r="J34" s="11">
        <v>2.12</v>
      </c>
      <c r="K34" s="46">
        <f t="shared" si="9"/>
        <v>184.864</v>
      </c>
      <c r="L34" s="11">
        <f t="shared" si="51"/>
        <v>27</v>
      </c>
      <c r="M34" s="12">
        <f t="shared" si="10"/>
        <v>1.6324000000000001</v>
      </c>
      <c r="N34" s="46">
        <f t="shared" si="0"/>
        <v>544.86171516258537</v>
      </c>
      <c r="O34" s="41">
        <f t="shared" si="1"/>
        <v>9.0475728280906761E-3</v>
      </c>
      <c r="P34" s="78"/>
      <c r="Q34" s="78"/>
      <c r="R34" s="43">
        <f t="shared" si="42"/>
        <v>3.9967739049483909E-3</v>
      </c>
      <c r="S34" s="76"/>
      <c r="T34" s="76"/>
      <c r="U34" s="48">
        <f>G34*$C$21</f>
        <v>3.7301320000000002E-3</v>
      </c>
      <c r="V34" s="74"/>
      <c r="W34" s="74"/>
      <c r="X34" s="50">
        <f t="shared" si="47"/>
        <v>0.29609259969172214</v>
      </c>
      <c r="Y34" s="50">
        <f t="shared" si="48"/>
        <v>0.22652618182516296</v>
      </c>
      <c r="Z34" s="51">
        <f t="shared" si="49"/>
        <v>5.7780665579909185E-2</v>
      </c>
      <c r="AA34" s="51">
        <f t="shared" si="50"/>
        <v>4.4205203273438534E-2</v>
      </c>
      <c r="AB34" s="52">
        <f>U34^2/(2*$C$28*K34)</f>
        <v>5.0328244170347779E-2</v>
      </c>
      <c r="AC34" s="71">
        <f>U34^2/(2*(($C$28+$C$26)*(K34+$C$31+$C$38)))</f>
        <v>3.8503714722162054E-2</v>
      </c>
      <c r="AD34" s="24"/>
    </row>
    <row r="35" spans="1:30">
      <c r="A35" s="35" t="s">
        <v>73</v>
      </c>
      <c r="B35" s="19">
        <v>2.27</v>
      </c>
      <c r="C35" s="19">
        <v>2.89</v>
      </c>
      <c r="E35" s="45"/>
      <c r="F35" s="3">
        <v>34</v>
      </c>
      <c r="G35" s="5">
        <v>1.1911E-2</v>
      </c>
      <c r="H35" s="6">
        <v>2</v>
      </c>
      <c r="I35" s="46">
        <v>86.5</v>
      </c>
      <c r="J35" s="11">
        <v>2.121</v>
      </c>
      <c r="K35" s="46">
        <f t="shared" si="9"/>
        <v>183.4665</v>
      </c>
      <c r="L35" s="11">
        <f t="shared" si="51"/>
        <v>26.299999999999997</v>
      </c>
      <c r="M35" s="12">
        <f t="shared" si="10"/>
        <v>1.63317</v>
      </c>
      <c r="N35" s="46">
        <f t="shared" si="0"/>
        <v>537.75231085794951</v>
      </c>
      <c r="O35" s="41">
        <f t="shared" si="1"/>
        <v>8.9337313274644066E-3</v>
      </c>
      <c r="P35" s="78"/>
      <c r="Q35" s="78"/>
      <c r="R35" s="43">
        <f t="shared" si="42"/>
        <v>3.9446236422050864E-3</v>
      </c>
      <c r="S35" s="76"/>
      <c r="T35" s="76"/>
      <c r="U35" s="48">
        <f>G35*$C$21</f>
        <v>3.3684307999999998E-3</v>
      </c>
      <c r="V35" s="74"/>
      <c r="W35" s="74"/>
      <c r="X35" s="50">
        <f t="shared" si="47"/>
        <v>0.29088727449455815</v>
      </c>
      <c r="Y35" s="50">
        <f t="shared" si="48"/>
        <v>0.22214627512974755</v>
      </c>
      <c r="Z35" s="51">
        <f t="shared" si="49"/>
        <v>5.6711364198873737E-2</v>
      </c>
      <c r="AA35" s="51">
        <f t="shared" si="50"/>
        <v>4.3309623414076182E-2</v>
      </c>
      <c r="AB35" s="52">
        <f>U35^2/(2*$C$28*K35)</f>
        <v>4.1353684233455631E-2</v>
      </c>
      <c r="AC35" s="71">
        <f>U35^2/(2*(($C$28+$C$26)*(K35+$C$31+$C$38)))</f>
        <v>3.1581192169084726E-2</v>
      </c>
      <c r="AD35" s="24"/>
    </row>
    <row r="36" spans="1:30">
      <c r="A36" s="16" t="s">
        <v>74</v>
      </c>
      <c r="B36" s="19">
        <v>0.52800000000000002</v>
      </c>
      <c r="C36" s="16">
        <v>0.52</v>
      </c>
      <c r="E36" s="45"/>
      <c r="F36" s="3">
        <v>35</v>
      </c>
      <c r="G36" s="5">
        <v>1.2643E-2</v>
      </c>
      <c r="H36" s="6">
        <v>2</v>
      </c>
      <c r="I36" s="46">
        <v>93.1</v>
      </c>
      <c r="J36" s="11">
        <v>2.3159999999999998</v>
      </c>
      <c r="K36" s="46">
        <f t="shared" si="9"/>
        <v>215.61959999999996</v>
      </c>
      <c r="L36" s="11">
        <f t="shared" si="51"/>
        <v>32.899999999999991</v>
      </c>
      <c r="M36" s="12">
        <f t="shared" si="10"/>
        <v>1.78332</v>
      </c>
      <c r="N36" s="46">
        <f t="shared" si="0"/>
        <v>601.4539204227807</v>
      </c>
      <c r="O36" s="41">
        <f t="shared" si="1"/>
        <v>1.0910655634494868E-2</v>
      </c>
      <c r="P36" s="77">
        <f t="shared" ref="P36" si="76">AVERAGE(O36:O38)</f>
        <v>1.0782609929000195E-2</v>
      </c>
      <c r="Q36" s="77">
        <f t="shared" ref="Q36" si="77">STDEV(O36:O38)</f>
        <v>4.407788513020407E-4</v>
      </c>
      <c r="R36" s="43">
        <f t="shared" si="42"/>
        <v>4.4118998771227038E-3</v>
      </c>
      <c r="S36" s="75">
        <f t="shared" ref="S36" si="78">AVERAGE(R36:R38)</f>
        <v>4.3600734105489853E-3</v>
      </c>
      <c r="T36" s="75">
        <f t="shared" ref="T36" si="79">STDEV(R36:R38)</f>
        <v>1.7643628514735609E-4</v>
      </c>
      <c r="U36" s="48">
        <f>G36*$C$21</f>
        <v>3.5754403999999997E-3</v>
      </c>
      <c r="V36" s="73">
        <f t="shared" ref="V36" si="80">AVERAGE(U36:U38)</f>
        <v>3.6296437333333334E-3</v>
      </c>
      <c r="W36" s="73">
        <f t="shared" ref="W36" si="81">STDEV(U36:U38)</f>
        <v>5.5319275125161833E-5</v>
      </c>
      <c r="X36" s="50">
        <f t="shared" si="47"/>
        <v>0.36917236604289805</v>
      </c>
      <c r="Y36" s="50">
        <f t="shared" si="48"/>
        <v>0.29222935389920823</v>
      </c>
      <c r="Z36" s="51">
        <f t="shared" si="49"/>
        <v>6.0364107496110722E-2</v>
      </c>
      <c r="AA36" s="51">
        <f t="shared" si="50"/>
        <v>4.7783002615751018E-2</v>
      </c>
      <c r="AB36" s="52">
        <f>U36^2/(2*$C$28*K36)</f>
        <v>3.9644831268001821E-2</v>
      </c>
      <c r="AC36" s="71">
        <f>U36^2/(2*(($C$28+$C$26)*(K36+$C$31+$C$38)))</f>
        <v>3.1382043978733426E-2</v>
      </c>
      <c r="AD36" s="24"/>
    </row>
    <row r="37" spans="1:30">
      <c r="A37" s="35" t="s">
        <v>75</v>
      </c>
      <c r="B37" s="19">
        <f>B35*B36</f>
        <v>1.1985600000000001</v>
      </c>
      <c r="C37" s="19">
        <f>C35*C36</f>
        <v>1.5028000000000001</v>
      </c>
      <c r="E37" s="45"/>
      <c r="F37" s="3">
        <v>36</v>
      </c>
      <c r="G37" s="5">
        <v>1.3034E-2</v>
      </c>
      <c r="H37" s="6">
        <v>2</v>
      </c>
      <c r="I37" s="46">
        <v>94.5</v>
      </c>
      <c r="J37" s="11">
        <v>2.3170000000000002</v>
      </c>
      <c r="K37" s="46">
        <f t="shared" si="9"/>
        <v>218.95650000000001</v>
      </c>
      <c r="L37" s="11">
        <f t="shared" si="51"/>
        <v>34.299999999999997</v>
      </c>
      <c r="M37" s="12">
        <f t="shared" si="10"/>
        <v>1.7840900000000002</v>
      </c>
      <c r="N37" s="46">
        <f t="shared" si="0"/>
        <v>614.11749692190983</v>
      </c>
      <c r="O37" s="41">
        <f t="shared" si="1"/>
        <v>1.1145189020380433E-2</v>
      </c>
      <c r="P37" s="78"/>
      <c r="Q37" s="78"/>
      <c r="R37" s="43">
        <f t="shared" si="42"/>
        <v>4.5047921664624572E-3</v>
      </c>
      <c r="S37" s="76"/>
      <c r="T37" s="76"/>
      <c r="U37" s="48">
        <f>G37*$C$21</f>
        <v>3.6860152E-3</v>
      </c>
      <c r="V37" s="74"/>
      <c r="W37" s="74"/>
      <c r="X37" s="50">
        <f t="shared" si="47"/>
        <v>0.37934359729453448</v>
      </c>
      <c r="Y37" s="50">
        <f t="shared" si="48"/>
        <v>0.3012375233609243</v>
      </c>
      <c r="Z37" s="51">
        <f t="shared" si="49"/>
        <v>6.1973696312334771E-2</v>
      </c>
      <c r="AA37" s="51">
        <f t="shared" si="50"/>
        <v>4.9213438486361796E-2</v>
      </c>
      <c r="AB37" s="52">
        <f>U37^2/(2*$C$28*K37)</f>
        <v>4.149274098227939E-2</v>
      </c>
      <c r="AC37" s="71">
        <f>U37^2/(2*(($C$28+$C$26)*(K37+$C$31+$C$38)))</f>
        <v>3.2949470137632011E-2</v>
      </c>
      <c r="AD37" s="24"/>
    </row>
    <row r="38" spans="1:30">
      <c r="A38" s="36" t="s">
        <v>76</v>
      </c>
      <c r="B38" s="26">
        <f>B37+B34</f>
        <v>1.5236800000000001</v>
      </c>
      <c r="C38" s="26">
        <f>C37+C34</f>
        <v>1.9033200000000001</v>
      </c>
      <c r="E38" s="45"/>
      <c r="F38" s="3">
        <v>37</v>
      </c>
      <c r="G38" s="3">
        <v>1.2827E-2</v>
      </c>
      <c r="H38" s="6">
        <v>2</v>
      </c>
      <c r="I38" s="46">
        <v>89.5</v>
      </c>
      <c r="J38" s="28">
        <v>2.3149999999999999</v>
      </c>
      <c r="K38" s="46">
        <f>I38*J38</f>
        <v>207.1925</v>
      </c>
      <c r="L38" s="11">
        <f t="shared" ref="L38" si="82">I38-($C$11+$C$29)</f>
        <v>29.299999999999997</v>
      </c>
      <c r="M38" s="12">
        <f t="shared" ref="M38" si="83">J38*$C$13</f>
        <v>1.7825500000000001</v>
      </c>
      <c r="N38" s="46">
        <f t="shared" si="0"/>
        <v>567.59455591582048</v>
      </c>
      <c r="O38" s="41">
        <f t="shared" si="1"/>
        <v>1.0291985132125286E-2</v>
      </c>
      <c r="P38" s="78"/>
      <c r="Q38" s="78"/>
      <c r="R38" s="43">
        <f t="shared" si="42"/>
        <v>4.1635281880617967E-3</v>
      </c>
      <c r="S38" s="76"/>
      <c r="T38" s="76"/>
      <c r="U38" s="48">
        <f>G38*$C$21</f>
        <v>3.6274756E-3</v>
      </c>
      <c r="V38" s="74"/>
      <c r="W38" s="74"/>
      <c r="X38" s="50">
        <f t="shared" si="47"/>
        <v>0.34185347059657845</v>
      </c>
      <c r="Y38" s="50">
        <f t="shared" si="48"/>
        <v>0.26832963020766809</v>
      </c>
      <c r="Z38" s="51">
        <f t="shared" si="49"/>
        <v>5.5945442287244081E-2</v>
      </c>
      <c r="AA38" s="51">
        <f t="shared" si="50"/>
        <v>4.3913024532244986E-2</v>
      </c>
      <c r="AB38" s="52">
        <f>U38^2/(2*$C$28*K38)</f>
        <v>4.246691303024927E-2</v>
      </c>
      <c r="AC38" s="71">
        <f>U38^2/(2*(($C$28+$C$26)*(K38+$C$31+$C$38)))</f>
        <v>3.3333378331897617E-2</v>
      </c>
      <c r="AD38" s="24"/>
    </row>
    <row r="39" spans="1:30">
      <c r="D39" s="4"/>
      <c r="F39" s="8"/>
      <c r="G39" s="8"/>
      <c r="H39" s="8"/>
      <c r="I39" s="31"/>
      <c r="J39" s="30"/>
      <c r="K39" s="7"/>
      <c r="L39" s="7"/>
      <c r="M39" s="30"/>
      <c r="N39" s="31"/>
      <c r="O39" s="7"/>
      <c r="P39" s="7"/>
      <c r="Q39" s="30">
        <f>AVERAGE(Q3:Q38)</f>
        <v>9.9961850605416168E-5</v>
      </c>
      <c r="R39" s="7"/>
      <c r="S39" s="7"/>
      <c r="T39" s="30">
        <f>AVERAGE(T3:T38)</f>
        <v>5.5616033445806208E-5</v>
      </c>
      <c r="U39" s="7"/>
      <c r="V39" s="7"/>
      <c r="W39" s="30">
        <f>AVERAGE(W3:W38)</f>
        <v>1.6575945888157819E-4</v>
      </c>
      <c r="X39" s="7"/>
      <c r="Y39" s="7"/>
      <c r="Z39" s="7"/>
      <c r="AA39" s="7"/>
      <c r="AB39" s="7"/>
      <c r="AC39" s="7"/>
    </row>
    <row r="40" spans="1:30">
      <c r="D40" s="4"/>
      <c r="I40" s="2"/>
      <c r="J40" s="1"/>
      <c r="M40" s="1"/>
    </row>
    <row r="41" spans="1:30">
      <c r="D41" s="4"/>
      <c r="I41" s="2"/>
      <c r="J41" s="1"/>
      <c r="M41" s="1"/>
    </row>
    <row r="45" spans="1:30">
      <c r="B45"/>
      <c r="C45"/>
    </row>
    <row r="46" spans="1:30">
      <c r="B46"/>
      <c r="C46"/>
    </row>
    <row r="47" spans="1:30">
      <c r="B47"/>
      <c r="C47"/>
    </row>
    <row r="48" spans="1:30">
      <c r="B48"/>
      <c r="C48"/>
    </row>
    <row r="49" spans="2:3">
      <c r="B49"/>
      <c r="C49"/>
    </row>
    <row r="73" spans="14:14">
      <c r="N73"/>
    </row>
    <row r="74" spans="14:14">
      <c r="N74"/>
    </row>
    <row r="75" spans="14:14">
      <c r="N75"/>
    </row>
    <row r="76" spans="14:14">
      <c r="N76"/>
    </row>
    <row r="77" spans="14:14">
      <c r="N77"/>
    </row>
    <row r="78" spans="14:14">
      <c r="N78"/>
    </row>
    <row r="79" spans="14:14">
      <c r="N79"/>
    </row>
    <row r="80" spans="14:14">
      <c r="N80"/>
    </row>
    <row r="81" spans="14:14">
      <c r="N81"/>
    </row>
    <row r="82" spans="14:14">
      <c r="N82"/>
    </row>
    <row r="83" spans="14:14">
      <c r="N83"/>
    </row>
    <row r="84" spans="14:14">
      <c r="N84"/>
    </row>
    <row r="85" spans="14:14">
      <c r="N85"/>
    </row>
    <row r="86" spans="14:14">
      <c r="N86"/>
    </row>
    <row r="87" spans="14:14">
      <c r="N87"/>
    </row>
    <row r="88" spans="14:14">
      <c r="N88"/>
    </row>
    <row r="89" spans="14:14">
      <c r="N89"/>
    </row>
    <row r="90" spans="14:14">
      <c r="N90"/>
    </row>
    <row r="91" spans="14:14">
      <c r="N91"/>
    </row>
    <row r="92" spans="14:14">
      <c r="N92"/>
    </row>
    <row r="93" spans="14:14">
      <c r="N93"/>
    </row>
    <row r="94" spans="14:14">
      <c r="N94"/>
    </row>
    <row r="95" spans="14:14">
      <c r="N95"/>
    </row>
    <row r="96" spans="14:14">
      <c r="N96"/>
    </row>
    <row r="97" spans="14:14">
      <c r="N97"/>
    </row>
    <row r="98" spans="14:14">
      <c r="N98"/>
    </row>
    <row r="99" spans="14:14">
      <c r="N99"/>
    </row>
    <row r="100" spans="14:14">
      <c r="N100"/>
    </row>
    <row r="101" spans="14:14">
      <c r="N101"/>
    </row>
    <row r="102" spans="14:14">
      <c r="N102"/>
    </row>
    <row r="103" spans="14:14">
      <c r="N103"/>
    </row>
    <row r="104" spans="14:14">
      <c r="N104"/>
    </row>
    <row r="105" spans="14:14">
      <c r="N105"/>
    </row>
    <row r="106" spans="14:14">
      <c r="N106"/>
    </row>
    <row r="107" spans="14:14">
      <c r="N107"/>
    </row>
    <row r="108" spans="14:14">
      <c r="N108"/>
    </row>
    <row r="109" spans="14:14">
      <c r="N109"/>
    </row>
    <row r="110" spans="14:14">
      <c r="N110"/>
    </row>
    <row r="111" spans="14:14">
      <c r="N111"/>
    </row>
  </sheetData>
  <mergeCells count="78">
    <mergeCell ref="P30:P32"/>
    <mergeCell ref="Q30:Q32"/>
    <mergeCell ref="P33:P35"/>
    <mergeCell ref="Q33:Q35"/>
    <mergeCell ref="P36:P38"/>
    <mergeCell ref="Q36:Q38"/>
    <mergeCell ref="P21:P23"/>
    <mergeCell ref="Q21:Q23"/>
    <mergeCell ref="P24:P26"/>
    <mergeCell ref="Q24:Q26"/>
    <mergeCell ref="P27:P29"/>
    <mergeCell ref="Q27:Q29"/>
    <mergeCell ref="P12:P14"/>
    <mergeCell ref="Q12:Q14"/>
    <mergeCell ref="P15:P17"/>
    <mergeCell ref="Q15:Q17"/>
    <mergeCell ref="P18:P20"/>
    <mergeCell ref="Q18:Q20"/>
    <mergeCell ref="P3:P5"/>
    <mergeCell ref="Q3:Q5"/>
    <mergeCell ref="P6:P8"/>
    <mergeCell ref="Q6:Q8"/>
    <mergeCell ref="P9:P11"/>
    <mergeCell ref="Q9:Q11"/>
    <mergeCell ref="S30:S32"/>
    <mergeCell ref="T30:T32"/>
    <mergeCell ref="S33:S35"/>
    <mergeCell ref="T33:T35"/>
    <mergeCell ref="S36:S38"/>
    <mergeCell ref="T36:T38"/>
    <mergeCell ref="S21:S23"/>
    <mergeCell ref="T21:T23"/>
    <mergeCell ref="S24:S26"/>
    <mergeCell ref="T24:T26"/>
    <mergeCell ref="S27:S29"/>
    <mergeCell ref="T27:T29"/>
    <mergeCell ref="S12:S14"/>
    <mergeCell ref="T12:T14"/>
    <mergeCell ref="S15:S17"/>
    <mergeCell ref="T15:T17"/>
    <mergeCell ref="S18:S20"/>
    <mergeCell ref="T18:T20"/>
    <mergeCell ref="S3:S5"/>
    <mergeCell ref="T3:T5"/>
    <mergeCell ref="S6:S8"/>
    <mergeCell ref="T6:T8"/>
    <mergeCell ref="S9:S11"/>
    <mergeCell ref="T9:T11"/>
    <mergeCell ref="V33:V35"/>
    <mergeCell ref="V36:V38"/>
    <mergeCell ref="W3:W5"/>
    <mergeCell ref="W6:W8"/>
    <mergeCell ref="W9:W11"/>
    <mergeCell ref="W12:W14"/>
    <mergeCell ref="W15:W17"/>
    <mergeCell ref="W18:W20"/>
    <mergeCell ref="W21:W23"/>
    <mergeCell ref="W24:W26"/>
    <mergeCell ref="W27:W29"/>
    <mergeCell ref="W30:W32"/>
    <mergeCell ref="W33:W35"/>
    <mergeCell ref="W36:W38"/>
    <mergeCell ref="V18:V20"/>
    <mergeCell ref="V21:V23"/>
    <mergeCell ref="V24:V26"/>
    <mergeCell ref="V27:V29"/>
    <mergeCell ref="V30:V32"/>
    <mergeCell ref="V3:V5"/>
    <mergeCell ref="V6:V8"/>
    <mergeCell ref="V9:V11"/>
    <mergeCell ref="V12:V14"/>
    <mergeCell ref="V15:V17"/>
    <mergeCell ref="AX15:AX16"/>
    <mergeCell ref="AX17:AX18"/>
    <mergeCell ref="AX19:AX20"/>
    <mergeCell ref="X1:Y1"/>
    <mergeCell ref="Z1:AA1"/>
    <mergeCell ref="AB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E4E7-7B8A-E046-AE51-B29F14375314}">
  <dimension ref="A1:H35"/>
  <sheetViews>
    <sheetView topLeftCell="A25" zoomScale="120" zoomScaleNormal="120" workbookViewId="0">
      <selection activeCell="K42" sqref="K42"/>
    </sheetView>
  </sheetViews>
  <sheetFormatPr baseColWidth="10" defaultRowHeight="16"/>
  <sheetData>
    <row r="1" spans="1:8">
      <c r="A1" t="s">
        <v>85</v>
      </c>
      <c r="H1" t="s">
        <v>90</v>
      </c>
    </row>
    <row r="18" spans="1:8">
      <c r="A18" t="s">
        <v>84</v>
      </c>
      <c r="H18" t="s">
        <v>88</v>
      </c>
    </row>
    <row r="35" spans="1:1">
      <c r="A35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Laser Data Thrust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2019-12-09T17:56:48Z</dcterms:created>
  <dcterms:modified xsi:type="dcterms:W3CDTF">2019-12-12T13:29:52Z</dcterms:modified>
</cp:coreProperties>
</file>