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updateLinks="always" codeName="ThisWorkbook" defaultThemeVersion="124226"/>
  <bookViews>
    <workbookView xWindow="10305" yWindow="-15" windowWidth="10200" windowHeight="8310" tabRatio="826" activeTab="1"/>
  </bookViews>
  <sheets>
    <sheet name="Dashboard" sheetId="62" r:id="rId1"/>
    <sheet name="Property_Analysis_Database" sheetId="65" r:id="rId2"/>
    <sheet name="Property_Report_Template" sheetId="64" r:id="rId3"/>
    <sheet name="Loan_Schedules" sheetId="67" r:id="rId4"/>
    <sheet name="Properties_Analysis_Pivot" sheetId="68" state="hidden" r:id="rId5"/>
  </sheets>
  <definedNames>
    <definedName name="Acq._Loan_Amortization__y">Property_Report_Template!$C$17</definedName>
    <definedName name="Acq._Loan_Interest_Rate">Property_Report_Template!$C$18</definedName>
    <definedName name="Acq._Loan_Total_Fees">Property_Report_Template!$C$16</definedName>
    <definedName name="Acq._Monthly_P_I">Property_Report_Template!$C$19</definedName>
    <definedName name="Address">Property_Analysis_Database!$A$6:$A$16</definedName>
    <definedName name="After_Repair_Value">Property_Report_Template!$C$10</definedName>
    <definedName name="Cash_Needed_at_Purchase">Property_Report_Template!$F$27</definedName>
    <definedName name="Down_Payment">Property_Report_Template!$C$14</definedName>
    <definedName name="Est._Rehab_Cost">Property_Report_Template!$C$8</definedName>
    <definedName name="Est._Rehab_Time__m">Property_Report_Template!$F$16</definedName>
    <definedName name="Gross_Income__m">Property_Report_Template!$F$24</definedName>
    <definedName name="Headers" localSheetId="3">#REF!</definedName>
    <definedName name="Headers" localSheetId="1">#REF!</definedName>
    <definedName name="Headers" localSheetId="2">#REF!</definedName>
    <definedName name="Headers">#REF!</definedName>
    <definedName name="Holding_Costs">Property_Report_Template!$F$14</definedName>
    <definedName name="Initial_Cash_on_Cash_ROI__y">Property_Report_Template!$F$29</definedName>
    <definedName name="Initial_Cashflow__m">Property_Report_Template!$F$28</definedName>
    <definedName name="Initial_NOI">Property_Report_Template!$F$25</definedName>
    <definedName name="Insurance__m">Property_Report_Template!$I$14</definedName>
    <definedName name="Monthly_Payment">Property_Report_Template!$AC$15</definedName>
    <definedName name="Other_Expenses__m">Property_Report_Template!$I$16</definedName>
    <definedName name="Pro_Forma_Cap_Rate">Property_Report_Template!$F$30</definedName>
    <definedName name="Property_Taxes__m">Property_Report_Template!$I$15</definedName>
    <definedName name="Purchase_Cap_Rate">Property_Report_Template!$F$31</definedName>
    <definedName name="Purchase_Closing_Cost">Property_Report_Template!$C$7</definedName>
    <definedName name="Purchase_Price">Property_Report_Template!$C$6</definedName>
    <definedName name="Rate">Property_Report_Template!$AG$7</definedName>
    <definedName name="Ref._Cash_on_Cash_ROI__y">Property_Report_Template!$I$28</definedName>
    <definedName name="Ref._Cashflow__m">Property_Report_Template!$I$27</definedName>
    <definedName name="Ref._Gross_Income__m">Property_Report_Template!$I$24</definedName>
    <definedName name="Ref._Interest_Rate">Property_Report_Template!$C$29</definedName>
    <definedName name="Ref._Loan_Amortization__y">Property_Report_Template!$C$28</definedName>
    <definedName name="Ref._Loan_Amount">Property_Report_Template!$C$25</definedName>
    <definedName name="Ref._Loan_Total_Fees">Property_Report_Template!$C$27</definedName>
    <definedName name="Ref._Monthly_P_I">Property_Report_Template!$C$30</definedName>
    <definedName name="Ref._NOI">Property_Report_Template!$I$25</definedName>
    <definedName name="Ref._Total_Expenses__m">Property_Report_Template!$I$26</definedName>
    <definedName name="Row_Titles" localSheetId="3">#REF!</definedName>
    <definedName name="Row_Titles" localSheetId="1">#REF!</definedName>
    <definedName name="Row_Titles" localSheetId="2">#REF!</definedName>
    <definedName name="Row_Titles">#REF!</definedName>
    <definedName name="Slicer_Municipality">#N/A</definedName>
    <definedName name="Slicer_Property_Rank">#N/A</definedName>
    <definedName name="Slicer_Suburb">#N/A</definedName>
    <definedName name="Time_To_Refinance__m">Property_Report_Template!$C$24</definedName>
    <definedName name="Total_Acq._Loan">Property_Report_Template!$C$15</definedName>
    <definedName name="Total_Cash_Invested">Property_Report_Template!$C$31</definedName>
    <definedName name="Total_Cash_Outlay">Property_Report_Template!$F$15</definedName>
    <definedName name="Total_Expenses__m">Property_Report_Template!$F$26</definedName>
    <definedName name="Total_Project_Cost">Property_Report_Template!$C$9</definedName>
  </definedNames>
  <calcPr calcId="144525" iterate="1"/>
  <pivotCaches>
    <pivotCache cacheId="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8" i="65" l="1"/>
  <c r="AC8" i="65" s="1"/>
  <c r="AC9" i="65"/>
  <c r="P15" i="65"/>
  <c r="AI6" i="65"/>
  <c r="AO6" i="65" s="1"/>
  <c r="AI7" i="65"/>
  <c r="AO7" i="65" s="1"/>
  <c r="AI8" i="65"/>
  <c r="AO8" i="65" s="1"/>
  <c r="AI9" i="65"/>
  <c r="AO9" i="65" s="1"/>
  <c r="AI10" i="65"/>
  <c r="AO10" i="65" s="1"/>
  <c r="AI11" i="65"/>
  <c r="AO11" i="65" s="1"/>
  <c r="AI12" i="65"/>
  <c r="AO12" i="65" s="1"/>
  <c r="AI13" i="65"/>
  <c r="AO13" i="65" s="1"/>
  <c r="AI14" i="65"/>
  <c r="AI15" i="65"/>
  <c r="AI16" i="65"/>
  <c r="AO16" i="65" s="1"/>
  <c r="BH6" i="65"/>
  <c r="Y8" i="65"/>
  <c r="Y9" i="65"/>
  <c r="Y10" i="65"/>
  <c r="Y11" i="65"/>
  <c r="Y12" i="65"/>
  <c r="Y13" i="65"/>
  <c r="Y14" i="65"/>
  <c r="Y15" i="65"/>
  <c r="Y16" i="65"/>
  <c r="Y7" i="65"/>
  <c r="S7" i="65"/>
  <c r="S8" i="65"/>
  <c r="S9" i="65"/>
  <c r="S10" i="65"/>
  <c r="S11" i="65"/>
  <c r="S12" i="65"/>
  <c r="S13" i="65"/>
  <c r="S14" i="65"/>
  <c r="S15" i="65"/>
  <c r="S16" i="65"/>
  <c r="S6" i="65"/>
  <c r="R9" i="65"/>
  <c r="R10" i="65"/>
  <c r="R11" i="65"/>
  <c r="R12" i="65"/>
  <c r="R13" i="65"/>
  <c r="R14" i="65"/>
  <c r="R15" i="65"/>
  <c r="R16" i="65"/>
  <c r="R6" i="65"/>
  <c r="R7" i="65"/>
  <c r="R8" i="65"/>
  <c r="CG6" i="65" l="1"/>
  <c r="BI6" i="65"/>
  <c r="BI7" i="65"/>
  <c r="BI8" i="65"/>
  <c r="BI9" i="65"/>
  <c r="BI10" i="65"/>
  <c r="BI11" i="65"/>
  <c r="BI12" i="65"/>
  <c r="BI13" i="65"/>
  <c r="BI14" i="65"/>
  <c r="BI15" i="65"/>
  <c r="BK15" i="65" s="1"/>
  <c r="BI16" i="65"/>
  <c r="D7" i="65"/>
  <c r="D8" i="65"/>
  <c r="D9" i="65"/>
  <c r="D10" i="65"/>
  <c r="D11" i="65"/>
  <c r="D12" i="65"/>
  <c r="D13" i="65"/>
  <c r="D14" i="65"/>
  <c r="D15" i="65"/>
  <c r="D16" i="65"/>
  <c r="D6" i="65"/>
  <c r="P7" i="65"/>
  <c r="BK7" i="65" s="1"/>
  <c r="P8" i="65"/>
  <c r="P9" i="65"/>
  <c r="P10" i="65"/>
  <c r="BK10" i="65" s="1"/>
  <c r="P11" i="65"/>
  <c r="BK11" i="65" s="1"/>
  <c r="P12" i="65"/>
  <c r="P13" i="65"/>
  <c r="P14" i="65"/>
  <c r="CE14" i="65" s="1"/>
  <c r="BH15" i="65"/>
  <c r="BJ15" i="65" s="1"/>
  <c r="P16" i="65"/>
  <c r="AA7" i="65"/>
  <c r="AA9" i="65"/>
  <c r="AA10" i="65"/>
  <c r="AA11" i="65"/>
  <c r="AA12" i="65"/>
  <c r="AA13" i="65"/>
  <c r="AA14" i="65"/>
  <c r="AA15" i="65"/>
  <c r="AA16" i="65"/>
  <c r="AS7" i="65"/>
  <c r="AS8" i="65"/>
  <c r="AS9" i="65"/>
  <c r="AS10" i="65"/>
  <c r="AS11" i="65"/>
  <c r="AS12" i="65"/>
  <c r="AS13" i="65"/>
  <c r="AS14" i="65"/>
  <c r="AS15" i="65"/>
  <c r="AS16" i="65"/>
  <c r="AU7" i="65"/>
  <c r="AU8" i="65"/>
  <c r="AU9" i="65"/>
  <c r="AU10" i="65"/>
  <c r="AU11" i="65"/>
  <c r="AU12" i="65"/>
  <c r="AU13" i="65"/>
  <c r="AU14" i="65"/>
  <c r="AU15" i="65"/>
  <c r="AU16" i="65"/>
  <c r="AW7" i="65"/>
  <c r="AW8" i="65"/>
  <c r="AW9" i="65"/>
  <c r="AW10" i="65"/>
  <c r="AW11" i="65"/>
  <c r="AW12" i="65"/>
  <c r="AW13" i="65"/>
  <c r="AW14" i="65"/>
  <c r="AW15" i="65"/>
  <c r="AW16" i="65"/>
  <c r="AY7" i="65"/>
  <c r="AY8" i="65"/>
  <c r="AY9" i="65"/>
  <c r="AY10" i="65"/>
  <c r="AY11" i="65"/>
  <c r="AY12" i="65"/>
  <c r="AY13" i="65"/>
  <c r="AY14" i="65"/>
  <c r="AY15" i="65"/>
  <c r="AY16" i="65"/>
  <c r="BA7" i="65"/>
  <c r="BA8" i="65"/>
  <c r="BA9" i="65"/>
  <c r="BA10" i="65"/>
  <c r="BA11" i="65"/>
  <c r="BA12" i="65"/>
  <c r="BA13" i="65"/>
  <c r="BA14" i="65"/>
  <c r="BA15" i="65"/>
  <c r="BA16" i="65"/>
  <c r="BG7" i="65"/>
  <c r="BG8" i="65"/>
  <c r="BG9" i="65"/>
  <c r="BG10" i="65"/>
  <c r="BG11" i="65"/>
  <c r="BG12" i="65"/>
  <c r="BG13" i="65"/>
  <c r="BG14" i="65"/>
  <c r="BG15" i="65"/>
  <c r="BG16" i="65"/>
  <c r="BK12" i="65"/>
  <c r="BK16" i="65"/>
  <c r="BN7" i="65"/>
  <c r="CD7" i="65" s="1"/>
  <c r="BN8" i="65"/>
  <c r="CF8" i="65" s="1"/>
  <c r="BN9" i="65"/>
  <c r="BY9" i="65" s="1"/>
  <c r="BN10" i="65"/>
  <c r="CD10" i="65" s="1"/>
  <c r="BN11" i="65"/>
  <c r="CD11" i="65" s="1"/>
  <c r="BN12" i="65"/>
  <c r="CF12" i="65" s="1"/>
  <c r="BN13" i="65"/>
  <c r="BY13" i="65" s="1"/>
  <c r="BN14" i="65"/>
  <c r="CD14" i="65" s="1"/>
  <c r="BN15" i="65"/>
  <c r="CD15" i="65" s="1"/>
  <c r="BN16" i="65"/>
  <c r="CF16" i="65" s="1"/>
  <c r="CE12" i="65"/>
  <c r="CE10" i="65" l="1"/>
  <c r="BK14" i="65"/>
  <c r="BB9" i="65"/>
  <c r="CE11" i="65"/>
  <c r="BH11" i="65"/>
  <c r="BJ11" i="65" s="1"/>
  <c r="BL11" i="65" s="1"/>
  <c r="BM11" i="65" s="1"/>
  <c r="CE7" i="65"/>
  <c r="BH7" i="65"/>
  <c r="BH14" i="65"/>
  <c r="BJ14" i="65" s="1"/>
  <c r="BL14" i="65" s="1"/>
  <c r="BH10" i="65"/>
  <c r="BJ10" i="65" s="1"/>
  <c r="BH13" i="65"/>
  <c r="BJ13" i="65" s="1"/>
  <c r="BH9" i="65"/>
  <c r="BJ9" i="65" s="1"/>
  <c r="BH16" i="65"/>
  <c r="BJ16" i="65" s="1"/>
  <c r="BL16" i="65" s="1"/>
  <c r="BM16" i="65" s="1"/>
  <c r="BH12" i="65"/>
  <c r="BJ12" i="65" s="1"/>
  <c r="BL12" i="65" s="1"/>
  <c r="BM12" i="65" s="1"/>
  <c r="BH8" i="65"/>
  <c r="BJ8" i="65" s="1"/>
  <c r="BL8" i="65" s="1"/>
  <c r="CE15" i="65"/>
  <c r="BB10" i="65"/>
  <c r="AC13" i="65"/>
  <c r="BV13" i="65" s="1"/>
  <c r="BV9" i="65"/>
  <c r="AC16" i="65"/>
  <c r="BV16" i="65" s="1"/>
  <c r="AC12" i="65"/>
  <c r="BV12" i="65" s="1"/>
  <c r="BV8" i="65"/>
  <c r="BU15" i="65"/>
  <c r="BW15" i="65" s="1"/>
  <c r="AC15" i="65"/>
  <c r="BV15" i="65" s="1"/>
  <c r="AC11" i="65"/>
  <c r="BV11" i="65" s="1"/>
  <c r="AC7" i="65"/>
  <c r="BV7" i="65" s="1"/>
  <c r="AC14" i="65"/>
  <c r="BV14" i="65" s="1"/>
  <c r="AC10" i="65"/>
  <c r="BV10" i="65" s="1"/>
  <c r="BL15" i="65"/>
  <c r="BM15" i="65" s="1"/>
  <c r="BK8" i="65"/>
  <c r="BB14" i="65"/>
  <c r="BY15" i="65"/>
  <c r="BY14" i="65"/>
  <c r="BY10" i="65"/>
  <c r="BY16" i="65"/>
  <c r="BY7" i="65"/>
  <c r="CE8" i="65"/>
  <c r="CE16" i="65"/>
  <c r="CE13" i="65"/>
  <c r="CE9" i="65"/>
  <c r="BK13" i="65"/>
  <c r="BK9" i="65"/>
  <c r="BJ7" i="65"/>
  <c r="BL7" i="65" s="1"/>
  <c r="BM7" i="65" s="1"/>
  <c r="BY12" i="65"/>
  <c r="BY11" i="65"/>
  <c r="BY8" i="65"/>
  <c r="CD16" i="65"/>
  <c r="CD12" i="65"/>
  <c r="CD8" i="65"/>
  <c r="CF15" i="65"/>
  <c r="CF11" i="65"/>
  <c r="CF7" i="65"/>
  <c r="CF14" i="65"/>
  <c r="CF10" i="65"/>
  <c r="CF13" i="65"/>
  <c r="CF9" i="65"/>
  <c r="CD13" i="65"/>
  <c r="CD9" i="65"/>
  <c r="BB13" i="65"/>
  <c r="BB15" i="65"/>
  <c r="BB11" i="65"/>
  <c r="BB16" i="65"/>
  <c r="BB12" i="65"/>
  <c r="BB8" i="65"/>
  <c r="BB7" i="65"/>
  <c r="E6" i="62"/>
  <c r="G6" i="62"/>
  <c r="K6" i="62"/>
  <c r="I6" i="62"/>
  <c r="C6" i="62"/>
  <c r="BM14" i="65" l="1"/>
  <c r="BU10" i="65"/>
  <c r="BW10" i="65" s="1"/>
  <c r="BU16" i="65"/>
  <c r="BW16" i="65" s="1"/>
  <c r="BU13" i="65"/>
  <c r="BW13" i="65" s="1"/>
  <c r="BU7" i="65"/>
  <c r="BW7" i="65" s="1"/>
  <c r="BZ7" i="65" s="1"/>
  <c r="CA7" i="65" s="1"/>
  <c r="BU14" i="65"/>
  <c r="BW14" i="65" s="1"/>
  <c r="BZ14" i="65" s="1"/>
  <c r="CB14" i="65" s="1"/>
  <c r="CH14" i="65" s="1"/>
  <c r="BU11" i="65"/>
  <c r="BW11" i="65" s="1"/>
  <c r="BZ11" i="65" s="1"/>
  <c r="CB11" i="65" s="1"/>
  <c r="CH11" i="65" s="1"/>
  <c r="BU8" i="65"/>
  <c r="BW8" i="65" s="1"/>
  <c r="BZ8" i="65" s="1"/>
  <c r="BM8" i="65"/>
  <c r="BU12" i="65"/>
  <c r="BW12" i="65" s="1"/>
  <c r="BZ12" i="65" s="1"/>
  <c r="BU9" i="65"/>
  <c r="BW9" i="65" s="1"/>
  <c r="BZ9" i="65" s="1"/>
  <c r="CA9" i="65" s="1"/>
  <c r="BL9" i="65"/>
  <c r="BM9" i="65" s="1"/>
  <c r="BO9" i="65"/>
  <c r="BP9" i="65" s="1"/>
  <c r="BT9" i="65" s="1"/>
  <c r="BL13" i="65"/>
  <c r="BM13" i="65" s="1"/>
  <c r="BO13" i="65"/>
  <c r="BP13" i="65" s="1"/>
  <c r="BX13" i="65" s="1"/>
  <c r="BL10" i="65"/>
  <c r="BM10" i="65" s="1"/>
  <c r="BO10" i="65"/>
  <c r="BP10" i="65" s="1"/>
  <c r="BO14" i="65"/>
  <c r="BQ14" i="65" s="1"/>
  <c r="BS14" i="65" s="1"/>
  <c r="BZ10" i="65"/>
  <c r="CB10" i="65" s="1"/>
  <c r="CH10" i="65" s="1"/>
  <c r="BZ13" i="65"/>
  <c r="CA13" i="65" s="1"/>
  <c r="BO12" i="65"/>
  <c r="BO16" i="65"/>
  <c r="BZ16" i="65"/>
  <c r="BO15" i="65"/>
  <c r="BZ15" i="65"/>
  <c r="BO11" i="65"/>
  <c r="BO8" i="65"/>
  <c r="BO7" i="65"/>
  <c r="C26" i="64"/>
  <c r="CG14" i="65" l="1"/>
  <c r="BX9" i="65"/>
  <c r="CC9" i="65" s="1"/>
  <c r="BQ10" i="65"/>
  <c r="CG10" i="65" s="1"/>
  <c r="BQ9" i="65"/>
  <c r="CG9" i="65" s="1"/>
  <c r="BP14" i="65"/>
  <c r="BT14" i="65" s="1"/>
  <c r="CB9" i="65"/>
  <c r="CH9" i="65" s="1"/>
  <c r="BR14" i="65"/>
  <c r="CA10" i="65"/>
  <c r="BT13" i="65"/>
  <c r="BQ13" i="65"/>
  <c r="CG13" i="65" s="1"/>
  <c r="CC13" i="65"/>
  <c r="CB13" i="65"/>
  <c r="CH13" i="65" s="1"/>
  <c r="CA14" i="65"/>
  <c r="CA11" i="65"/>
  <c r="CB7" i="65"/>
  <c r="CH7" i="65" s="1"/>
  <c r="BT10" i="65"/>
  <c r="BX10" i="65"/>
  <c r="BP7" i="65"/>
  <c r="BQ7" i="65"/>
  <c r="CG7" i="65" s="1"/>
  <c r="CB8" i="65"/>
  <c r="CH8" i="65" s="1"/>
  <c r="CA8" i="65"/>
  <c r="CB15" i="65"/>
  <c r="CH15" i="65" s="1"/>
  <c r="CA15" i="65"/>
  <c r="BQ12" i="65"/>
  <c r="CG12" i="65" s="1"/>
  <c r="BP12" i="65"/>
  <c r="BP8" i="65"/>
  <c r="BQ8" i="65"/>
  <c r="CG8" i="65" s="1"/>
  <c r="BP15" i="65"/>
  <c r="BQ15" i="65"/>
  <c r="CG15" i="65" s="1"/>
  <c r="BP11" i="65"/>
  <c r="BQ11" i="65"/>
  <c r="CG11" i="65" s="1"/>
  <c r="CB16" i="65"/>
  <c r="CH16" i="65" s="1"/>
  <c r="CA16" i="65"/>
  <c r="BP16" i="65"/>
  <c r="BQ16" i="65"/>
  <c r="CG16" i="65" s="1"/>
  <c r="CB12" i="65"/>
  <c r="CH12" i="65" s="1"/>
  <c r="CA12" i="65"/>
  <c r="BA6" i="65"/>
  <c r="AY6" i="65"/>
  <c r="AW6" i="65"/>
  <c r="AU6" i="65"/>
  <c r="AA6" i="65"/>
  <c r="AC6" i="65" s="1"/>
  <c r="P6" i="65"/>
  <c r="BX14" i="65" l="1"/>
  <c r="BS10" i="65"/>
  <c r="CC10" i="65"/>
  <c r="BR9" i="65"/>
  <c r="BS9" i="65"/>
  <c r="BR10" i="65"/>
  <c r="CI9" i="65"/>
  <c r="CK9" i="65" s="1"/>
  <c r="BR13" i="65"/>
  <c r="CI11" i="65"/>
  <c r="BS13" i="65"/>
  <c r="CI13" i="65"/>
  <c r="CK13" i="65" s="1"/>
  <c r="CI7" i="65"/>
  <c r="CI12" i="65"/>
  <c r="CI16" i="65"/>
  <c r="CI8" i="65"/>
  <c r="CI14" i="65"/>
  <c r="CL14" i="65" s="1"/>
  <c r="CI10" i="65"/>
  <c r="CK10" i="65" s="1"/>
  <c r="CI15" i="65"/>
  <c r="CC14" i="65"/>
  <c r="CK14" i="65"/>
  <c r="BS15" i="65"/>
  <c r="BR15" i="65"/>
  <c r="BX8" i="65"/>
  <c r="CC8" i="65" s="1"/>
  <c r="BT8" i="65"/>
  <c r="BR7" i="65"/>
  <c r="BS7" i="65"/>
  <c r="BR11" i="65"/>
  <c r="BS11" i="65"/>
  <c r="BT15" i="65"/>
  <c r="BX15" i="65"/>
  <c r="CC15" i="65" s="1"/>
  <c r="BX12" i="65"/>
  <c r="CC12" i="65" s="1"/>
  <c r="BT12" i="65"/>
  <c r="BX7" i="65"/>
  <c r="CC7" i="65" s="1"/>
  <c r="BT7" i="65"/>
  <c r="BS16" i="65"/>
  <c r="BR16" i="65"/>
  <c r="BX11" i="65"/>
  <c r="CC11" i="65" s="1"/>
  <c r="BT11" i="65"/>
  <c r="BR12" i="65"/>
  <c r="BS12" i="65"/>
  <c r="BX16" i="65"/>
  <c r="CC16" i="65" s="1"/>
  <c r="BT16" i="65"/>
  <c r="BS8" i="65"/>
  <c r="BR8" i="65"/>
  <c r="CE6" i="65"/>
  <c r="BK6" i="65"/>
  <c r="BJ6" i="65"/>
  <c r="AR6" i="65"/>
  <c r="CL10" i="65" l="1"/>
  <c r="CM10" i="65" s="1"/>
  <c r="CN10" i="65" s="1"/>
  <c r="CL9" i="65"/>
  <c r="CL13" i="65"/>
  <c r="CM13" i="65" s="1"/>
  <c r="CN13" i="65" s="1"/>
  <c r="CM14" i="65"/>
  <c r="CN14" i="65" s="1"/>
  <c r="CL11" i="65"/>
  <c r="CK11" i="65"/>
  <c r="CK8" i="65"/>
  <c r="CL8" i="65"/>
  <c r="CK12" i="65"/>
  <c r="CL12" i="65"/>
  <c r="CK16" i="65"/>
  <c r="CL16" i="65"/>
  <c r="CK7" i="65"/>
  <c r="CL7" i="65"/>
  <c r="CK15" i="65"/>
  <c r="CL15" i="65"/>
  <c r="CM9" i="65"/>
  <c r="CN9" i="65" s="1"/>
  <c r="M2" i="64"/>
  <c r="CM15" i="65" l="1"/>
  <c r="CM11" i="65"/>
  <c r="CN11" i="65" s="1"/>
  <c r="CM16" i="65"/>
  <c r="CN16" i="65" s="1"/>
  <c r="CM12" i="65"/>
  <c r="CN12" i="65" s="1"/>
  <c r="CM8" i="65"/>
  <c r="CN8" i="65" s="1"/>
  <c r="CM7" i="65"/>
  <c r="CN7" i="65" s="1"/>
  <c r="K17" i="67"/>
  <c r="L10" i="67"/>
  <c r="D10" i="67"/>
  <c r="C17" i="67"/>
  <c r="E24" i="64" l="1"/>
  <c r="M16" i="64"/>
  <c r="N16" i="64" s="1"/>
  <c r="M15" i="64"/>
  <c r="N15" i="64" s="1"/>
  <c r="M14" i="64"/>
  <c r="N14" i="64" s="1"/>
  <c r="M10" i="64"/>
  <c r="M9" i="64"/>
  <c r="M8" i="64"/>
  <c r="M7" i="64"/>
  <c r="M6" i="64"/>
  <c r="H28" i="64"/>
  <c r="H27" i="64"/>
  <c r="B24" i="64"/>
  <c r="C24" i="64" s="1"/>
  <c r="H26" i="64"/>
  <c r="H25" i="64"/>
  <c r="H24" i="64"/>
  <c r="E31" i="64"/>
  <c r="E30" i="64"/>
  <c r="E29" i="64"/>
  <c r="E28" i="64"/>
  <c r="E26" i="64"/>
  <c r="E25" i="64"/>
  <c r="E27" i="64"/>
  <c r="H16" i="64"/>
  <c r="I16" i="64" s="1"/>
  <c r="H15" i="64"/>
  <c r="I15" i="64" s="1"/>
  <c r="H14" i="64"/>
  <c r="I14" i="64" s="1"/>
  <c r="E15" i="64"/>
  <c r="E16" i="64"/>
  <c r="F16" i="64" s="1"/>
  <c r="E14" i="64"/>
  <c r="B31" i="64"/>
  <c r="B30" i="64"/>
  <c r="B29" i="64"/>
  <c r="C29" i="64" s="1"/>
  <c r="L6" i="67" s="1"/>
  <c r="P5" i="67" s="1"/>
  <c r="B28" i="64"/>
  <c r="C28" i="64" s="1"/>
  <c r="L7" i="67" s="1"/>
  <c r="L11" i="67" s="1"/>
  <c r="B27" i="64"/>
  <c r="B25" i="64"/>
  <c r="B20" i="64"/>
  <c r="B19" i="64"/>
  <c r="B18" i="64"/>
  <c r="C18" i="64" s="1"/>
  <c r="B17" i="64"/>
  <c r="C17" i="64" s="1"/>
  <c r="B16" i="64"/>
  <c r="B15" i="64"/>
  <c r="B14" i="64"/>
  <c r="C14" i="64" s="1"/>
  <c r="B10" i="64"/>
  <c r="C10" i="64" s="1"/>
  <c r="B9" i="64"/>
  <c r="B8" i="64"/>
  <c r="C8" i="64" s="1"/>
  <c r="B7" i="64"/>
  <c r="C7" i="64" s="1"/>
  <c r="B6" i="64"/>
  <c r="C6" i="64" s="1"/>
  <c r="B2" i="64"/>
  <c r="BN6" i="65"/>
  <c r="BV6" i="65"/>
  <c r="AS6" i="65"/>
  <c r="BU6" i="65"/>
  <c r="BW6" i="65" s="1"/>
  <c r="BG6" i="65"/>
  <c r="CD6" i="65" l="1"/>
  <c r="CF6" i="65"/>
  <c r="C16" i="64"/>
  <c r="BY6" i="65"/>
  <c r="C9" i="64"/>
  <c r="C25" i="64"/>
  <c r="L5" i="67" s="1"/>
  <c r="P16" i="67" s="1"/>
  <c r="N17" i="67" s="1"/>
  <c r="C30" i="64"/>
  <c r="C27" i="64"/>
  <c r="U27" i="64"/>
  <c r="Y27" i="64"/>
  <c r="AC27" i="64"/>
  <c r="AG27" i="64"/>
  <c r="AK27" i="64"/>
  <c r="AO27" i="64"/>
  <c r="O27" i="64"/>
  <c r="S27" i="64"/>
  <c r="V27" i="64"/>
  <c r="Z27" i="64"/>
  <c r="AD27" i="64"/>
  <c r="AH27" i="64"/>
  <c r="AL27" i="64"/>
  <c r="AP27" i="64"/>
  <c r="P27" i="64"/>
  <c r="T27" i="64"/>
  <c r="AQ27" i="64"/>
  <c r="W27" i="64"/>
  <c r="AA27" i="64"/>
  <c r="AE27" i="64"/>
  <c r="AI27" i="64"/>
  <c r="AM27" i="64"/>
  <c r="Q27" i="64"/>
  <c r="N27" i="64"/>
  <c r="X27" i="64"/>
  <c r="AB27" i="64"/>
  <c r="AF27" i="64"/>
  <c r="AJ27" i="64"/>
  <c r="AN27" i="64"/>
  <c r="R27" i="64"/>
  <c r="C15" i="64"/>
  <c r="D5" i="67" s="1"/>
  <c r="H16" i="67" s="1"/>
  <c r="C19" i="64"/>
  <c r="D7" i="67"/>
  <c r="D11" i="67" s="1"/>
  <c r="D6" i="67"/>
  <c r="H5" i="67" s="1"/>
  <c r="F24" i="64"/>
  <c r="BB6" i="65"/>
  <c r="BZ6" i="65" s="1"/>
  <c r="BL6" i="65"/>
  <c r="N7" i="64"/>
  <c r="I24" i="64" l="1"/>
  <c r="CB6" i="65"/>
  <c r="CH6" i="65" s="1"/>
  <c r="N8" i="64"/>
  <c r="P24" i="64"/>
  <c r="AH24" i="64"/>
  <c r="R24" i="64"/>
  <c r="AE24" i="64"/>
  <c r="O24" i="64"/>
  <c r="AC24" i="64"/>
  <c r="N24" i="64"/>
  <c r="AB24" i="64"/>
  <c r="AD24" i="64"/>
  <c r="AQ24" i="64"/>
  <c r="AA24" i="64"/>
  <c r="AO24" i="64"/>
  <c r="Y24" i="64"/>
  <c r="AN24" i="64"/>
  <c r="X24" i="64"/>
  <c r="AP24" i="64"/>
  <c r="Z24" i="64"/>
  <c r="AM24" i="64"/>
  <c r="W24" i="64"/>
  <c r="AK24" i="64"/>
  <c r="U24" i="64"/>
  <c r="AJ24" i="64"/>
  <c r="T24" i="64"/>
  <c r="AL24" i="64"/>
  <c r="V24" i="64"/>
  <c r="AI24" i="64"/>
  <c r="S24" i="64"/>
  <c r="AG24" i="64"/>
  <c r="Q24" i="64"/>
  <c r="AF24" i="64"/>
  <c r="N6" i="64"/>
  <c r="BO6" i="65"/>
  <c r="F14" i="64"/>
  <c r="L13" i="67"/>
  <c r="P6" i="67" s="1"/>
  <c r="D13" i="67"/>
  <c r="H6" i="67" s="1"/>
  <c r="Q21" i="64"/>
  <c r="X21" i="64"/>
  <c r="AB21" i="64"/>
  <c r="AF21" i="64"/>
  <c r="AJ21" i="64"/>
  <c r="AN21" i="64"/>
  <c r="U21" i="64"/>
  <c r="Y21" i="64"/>
  <c r="AC21" i="64"/>
  <c r="AG21" i="64"/>
  <c r="AK21" i="64"/>
  <c r="AO21" i="64"/>
  <c r="V21" i="64"/>
  <c r="Z21" i="64"/>
  <c r="AD21" i="64"/>
  <c r="AH21" i="64"/>
  <c r="AL21" i="64"/>
  <c r="AQ21" i="64"/>
  <c r="AP21" i="64"/>
  <c r="W21" i="64"/>
  <c r="AA21" i="64"/>
  <c r="AE21" i="64"/>
  <c r="AI21" i="64"/>
  <c r="AM21" i="64"/>
  <c r="F17" i="67"/>
  <c r="T21" i="64"/>
  <c r="O21" i="64"/>
  <c r="BM6" i="65"/>
  <c r="C20" i="64"/>
  <c r="S21" i="64"/>
  <c r="R21" i="64"/>
  <c r="F27" i="64"/>
  <c r="P21" i="64"/>
  <c r="N21" i="64"/>
  <c r="BQ6" i="65" l="1"/>
  <c r="BS6" i="65" s="1"/>
  <c r="BP6" i="65"/>
  <c r="F26" i="64"/>
  <c r="F15" i="64"/>
  <c r="L17" i="67"/>
  <c r="O17" i="67" s="1"/>
  <c r="P17" i="67" s="1"/>
  <c r="D17" i="67"/>
  <c r="G17" i="67" s="1"/>
  <c r="H17" i="67" s="1"/>
  <c r="C18" i="67" s="1"/>
  <c r="C31" i="64"/>
  <c r="BR6" i="65" l="1"/>
  <c r="BT6" i="65"/>
  <c r="BX6" i="65"/>
  <c r="N23" i="64"/>
  <c r="O23" i="64" s="1"/>
  <c r="P23" i="64" s="1"/>
  <c r="CA6" i="65"/>
  <c r="CI6" i="65" s="1"/>
  <c r="I26" i="64"/>
  <c r="F31" i="64"/>
  <c r="N9" i="64"/>
  <c r="F29" i="64"/>
  <c r="F28" i="64"/>
  <c r="F25" i="64"/>
  <c r="F30" i="64"/>
  <c r="K18" i="67"/>
  <c r="N18" i="67"/>
  <c r="L18" i="67" s="1"/>
  <c r="O18" i="67" s="1"/>
  <c r="P18" i="67" s="1"/>
  <c r="N19" i="67" s="1"/>
  <c r="L19" i="67" s="1"/>
  <c r="F18" i="67"/>
  <c r="D18" i="67" s="1"/>
  <c r="G18" i="67" s="1"/>
  <c r="H18" i="67" s="1"/>
  <c r="C19" i="67" s="1"/>
  <c r="CC6" i="65" l="1"/>
  <c r="N22" i="64"/>
  <c r="N25" i="64" s="1"/>
  <c r="N26" i="64" s="1"/>
  <c r="I25" i="64"/>
  <c r="I28" i="64"/>
  <c r="I27" i="64"/>
  <c r="K19" i="67"/>
  <c r="O22" i="64"/>
  <c r="O25" i="64" s="1"/>
  <c r="O26" i="64" s="1"/>
  <c r="Q23" i="64"/>
  <c r="P22" i="64"/>
  <c r="P25" i="64" s="1"/>
  <c r="P26" i="64" s="1"/>
  <c r="F19" i="67"/>
  <c r="D19" i="67" s="1"/>
  <c r="G19" i="67" s="1"/>
  <c r="H19" i="67" s="1"/>
  <c r="O19" i="67"/>
  <c r="N10" i="64" l="1"/>
  <c r="CK6" i="65"/>
  <c r="Q22" i="64"/>
  <c r="Q25" i="64" s="1"/>
  <c r="Q26" i="64" s="1"/>
  <c r="R23" i="64"/>
  <c r="R22" i="64" s="1"/>
  <c r="C20" i="67"/>
  <c r="F20" i="67"/>
  <c r="D20" i="67" s="1"/>
  <c r="G20" i="67" s="1"/>
  <c r="P19" i="67"/>
  <c r="CL6" i="65" l="1"/>
  <c r="S23" i="64"/>
  <c r="R25" i="64"/>
  <c r="R26" i="64" s="1"/>
  <c r="N20" i="67"/>
  <c r="L20" i="67" s="1"/>
  <c r="K20" i="67"/>
  <c r="H20" i="67"/>
  <c r="CM6" i="65" l="1"/>
  <c r="T23" i="64"/>
  <c r="S22" i="64"/>
  <c r="S25" i="64" s="1"/>
  <c r="S26" i="64" s="1"/>
  <c r="O20" i="67"/>
  <c r="P20" i="67" s="1"/>
  <c r="C21" i="67"/>
  <c r="F21" i="67"/>
  <c r="CN6" i="65" l="1"/>
  <c r="E11" i="62" s="1"/>
  <c r="CN15" i="65"/>
  <c r="U23" i="64"/>
  <c r="T22" i="64"/>
  <c r="T25" i="64" s="1"/>
  <c r="T26" i="64" s="1"/>
  <c r="D21" i="67"/>
  <c r="G21" i="67" s="1"/>
  <c r="H21" i="67" s="1"/>
  <c r="K21" i="67"/>
  <c r="N21" i="67"/>
  <c r="L21" i="67" s="1"/>
  <c r="J11" i="62" l="1"/>
  <c r="F10" i="62"/>
  <c r="F11" i="62"/>
  <c r="E9" i="62"/>
  <c r="F12" i="62"/>
  <c r="H8" i="62"/>
  <c r="H12" i="62"/>
  <c r="E15" i="62"/>
  <c r="F14" i="62"/>
  <c r="J9" i="62"/>
  <c r="H14" i="62"/>
  <c r="F15" i="62"/>
  <c r="I7" i="62"/>
  <c r="F9" i="62"/>
  <c r="H15" i="62"/>
  <c r="J15" i="62"/>
  <c r="H13" i="62"/>
  <c r="H9" i="62"/>
  <c r="J13" i="62"/>
  <c r="J16" i="62"/>
  <c r="H16" i="62"/>
  <c r="E7" i="62"/>
  <c r="E16" i="62"/>
  <c r="E14" i="62"/>
  <c r="E8" i="62"/>
  <c r="J10" i="62"/>
  <c r="H11" i="62"/>
  <c r="J8" i="62"/>
  <c r="C7" i="62"/>
  <c r="C8" i="62" s="1"/>
  <c r="C9" i="62" s="1"/>
  <c r="C10" i="62" s="1"/>
  <c r="C11" i="62" s="1"/>
  <c r="C12" i="62" s="1"/>
  <c r="C13" i="62" s="1"/>
  <c r="C14" i="62" s="1"/>
  <c r="C15" i="62" s="1"/>
  <c r="C16" i="62" s="1"/>
  <c r="E10" i="62"/>
  <c r="E13" i="62"/>
  <c r="F8" i="62"/>
  <c r="F16" i="62"/>
  <c r="H10" i="62"/>
  <c r="J12" i="62"/>
  <c r="E12" i="62"/>
  <c r="F13" i="62"/>
  <c r="J14" i="62"/>
  <c r="K7" i="62"/>
  <c r="G7" i="62"/>
  <c r="V23" i="64"/>
  <c r="U22" i="64"/>
  <c r="U25" i="64" s="1"/>
  <c r="U26" i="64" s="1"/>
  <c r="O21" i="67"/>
  <c r="P21" i="67" s="1"/>
  <c r="F22" i="67"/>
  <c r="D22" i="67" s="1"/>
  <c r="G22" i="67" s="1"/>
  <c r="H22" i="67" s="1"/>
  <c r="C22" i="67"/>
  <c r="W23" i="64" l="1"/>
  <c r="V22" i="64"/>
  <c r="V25" i="64" s="1"/>
  <c r="V26" i="64" s="1"/>
  <c r="N22" i="67"/>
  <c r="L22" i="67" s="1"/>
  <c r="K22" i="67"/>
  <c r="F23" i="67"/>
  <c r="D23" i="67" s="1"/>
  <c r="C23" i="67"/>
  <c r="X23" i="64" l="1"/>
  <c r="W22" i="64"/>
  <c r="W25" i="64" s="1"/>
  <c r="W26" i="64" s="1"/>
  <c r="O22" i="67"/>
  <c r="P22" i="67" s="1"/>
  <c r="G23" i="67"/>
  <c r="H23" i="67" s="1"/>
  <c r="Y23" i="64" l="1"/>
  <c r="X22" i="64"/>
  <c r="X25" i="64" s="1"/>
  <c r="X26" i="64" s="1"/>
  <c r="C24" i="67"/>
  <c r="F24" i="67"/>
  <c r="D24" i="67" s="1"/>
  <c r="G24" i="67" s="1"/>
  <c r="H24" i="67" s="1"/>
  <c r="K23" i="67"/>
  <c r="N23" i="67"/>
  <c r="L23" i="67" s="1"/>
  <c r="Z23" i="64" l="1"/>
  <c r="Y22" i="64"/>
  <c r="Y25" i="64" s="1"/>
  <c r="Y26" i="64" s="1"/>
  <c r="O23" i="67"/>
  <c r="P23" i="67" s="1"/>
  <c r="F25" i="67"/>
  <c r="D25" i="67" s="1"/>
  <c r="C25" i="67"/>
  <c r="AA23" i="64" l="1"/>
  <c r="Z22" i="64"/>
  <c r="Z25" i="64" s="1"/>
  <c r="Z26" i="64" s="1"/>
  <c r="N24" i="67"/>
  <c r="L24" i="67" s="1"/>
  <c r="K24" i="67"/>
  <c r="G25" i="67"/>
  <c r="H25" i="67" s="1"/>
  <c r="AB23" i="64" l="1"/>
  <c r="AA22" i="64"/>
  <c r="AA25" i="64" s="1"/>
  <c r="AA26" i="64" s="1"/>
  <c r="O24" i="67"/>
  <c r="P24" i="67" s="1"/>
  <c r="F26" i="67"/>
  <c r="D26" i="67" s="1"/>
  <c r="C26" i="67"/>
  <c r="AC23" i="64" l="1"/>
  <c r="AB22" i="64"/>
  <c r="AB25" i="64" s="1"/>
  <c r="AB26" i="64" s="1"/>
  <c r="N25" i="67"/>
  <c r="L25" i="67" s="1"/>
  <c r="K25" i="67"/>
  <c r="G26" i="67"/>
  <c r="H26" i="67" s="1"/>
  <c r="AD23" i="64" l="1"/>
  <c r="AC22" i="64"/>
  <c r="AC25" i="64" s="1"/>
  <c r="AC26" i="64" s="1"/>
  <c r="O25" i="67"/>
  <c r="P25" i="67" s="1"/>
  <c r="F27" i="67"/>
  <c r="D27" i="67" s="1"/>
  <c r="C27" i="67"/>
  <c r="AE23" i="64" l="1"/>
  <c r="AD22" i="64"/>
  <c r="AD25" i="64" s="1"/>
  <c r="AD26" i="64" s="1"/>
  <c r="N26" i="67"/>
  <c r="K26" i="67"/>
  <c r="G27" i="67"/>
  <c r="H27" i="67" s="1"/>
  <c r="AF23" i="64" l="1"/>
  <c r="AE22" i="64"/>
  <c r="AE25" i="64" s="1"/>
  <c r="AE26" i="64" s="1"/>
  <c r="L26" i="67"/>
  <c r="O26" i="67" s="1"/>
  <c r="P26" i="67" s="1"/>
  <c r="F28" i="67"/>
  <c r="D28" i="67" s="1"/>
  <c r="C28" i="67"/>
  <c r="AG23" i="64" l="1"/>
  <c r="AF22" i="64"/>
  <c r="AF25" i="64" s="1"/>
  <c r="AF26" i="64" s="1"/>
  <c r="K27" i="67"/>
  <c r="N27" i="67"/>
  <c r="G28" i="67"/>
  <c r="H28" i="67" s="1"/>
  <c r="AH23" i="64" l="1"/>
  <c r="AG22" i="64"/>
  <c r="AG25" i="64" s="1"/>
  <c r="AG26" i="64" s="1"/>
  <c r="L27" i="67"/>
  <c r="O27" i="67" s="1"/>
  <c r="P27" i="67" s="1"/>
  <c r="F29" i="67"/>
  <c r="D29" i="67" s="1"/>
  <c r="C29" i="67"/>
  <c r="AI23" i="64" l="1"/>
  <c r="AH22" i="64"/>
  <c r="AH25" i="64" s="1"/>
  <c r="AH26" i="64" s="1"/>
  <c r="K28" i="67"/>
  <c r="N28" i="67"/>
  <c r="G29" i="67"/>
  <c r="H29" i="67" s="1"/>
  <c r="AJ23" i="64" l="1"/>
  <c r="AI22" i="64"/>
  <c r="AI25" i="64" s="1"/>
  <c r="AI26" i="64" s="1"/>
  <c r="L28" i="67"/>
  <c r="O28" i="67" s="1"/>
  <c r="P28" i="67" s="1"/>
  <c r="F30" i="67"/>
  <c r="D30" i="67" s="1"/>
  <c r="C30" i="67"/>
  <c r="N29" i="64" l="1"/>
  <c r="N28" i="64" s="1"/>
  <c r="AK23" i="64"/>
  <c r="AJ22" i="64"/>
  <c r="AJ25" i="64" s="1"/>
  <c r="AJ26" i="64" s="1"/>
  <c r="K29" i="67"/>
  <c r="N29" i="67"/>
  <c r="G30" i="67"/>
  <c r="H30" i="67" s="1"/>
  <c r="N30" i="64" l="1"/>
  <c r="N32" i="64" s="1"/>
  <c r="AL23" i="64"/>
  <c r="AK22" i="64"/>
  <c r="AK25" i="64" s="1"/>
  <c r="AK26" i="64" s="1"/>
  <c r="L29" i="67"/>
  <c r="O29" i="67" s="1"/>
  <c r="P29" i="67" s="1"/>
  <c r="F31" i="67"/>
  <c r="D31" i="67" s="1"/>
  <c r="C31" i="67"/>
  <c r="N31" i="64" l="1"/>
  <c r="AM23" i="64"/>
  <c r="AL22" i="64"/>
  <c r="AL25" i="64" s="1"/>
  <c r="AL26" i="64" s="1"/>
  <c r="K30" i="67"/>
  <c r="N30" i="67"/>
  <c r="L30" i="67" s="1"/>
  <c r="O30" i="67" s="1"/>
  <c r="P30" i="67" s="1"/>
  <c r="G31" i="67"/>
  <c r="H31" i="67" s="1"/>
  <c r="AN23" i="64" l="1"/>
  <c r="AM22" i="64"/>
  <c r="AM25" i="64" s="1"/>
  <c r="AM26" i="64" s="1"/>
  <c r="K31" i="67"/>
  <c r="N31" i="67"/>
  <c r="L31" i="67" s="1"/>
  <c r="O31" i="67" s="1"/>
  <c r="P31" i="67" s="1"/>
  <c r="F32" i="67"/>
  <c r="D32" i="67" s="1"/>
  <c r="C32" i="67"/>
  <c r="AO23" i="64" l="1"/>
  <c r="AN22" i="64"/>
  <c r="AN25" i="64" s="1"/>
  <c r="AN26" i="64" s="1"/>
  <c r="K32" i="67"/>
  <c r="N32" i="67"/>
  <c r="L32" i="67" s="1"/>
  <c r="O32" i="67" s="1"/>
  <c r="P32" i="67" s="1"/>
  <c r="G32" i="67"/>
  <c r="H32" i="67" s="1"/>
  <c r="AP23" i="64" l="1"/>
  <c r="AO22" i="64"/>
  <c r="AO25" i="64" s="1"/>
  <c r="AO26" i="64" s="1"/>
  <c r="K33" i="67"/>
  <c r="N33" i="67"/>
  <c r="L33" i="67" s="1"/>
  <c r="O33" i="67" s="1"/>
  <c r="P33" i="67" s="1"/>
  <c r="F33" i="67"/>
  <c r="D33" i="67" s="1"/>
  <c r="C33" i="67"/>
  <c r="AQ23" i="64" l="1"/>
  <c r="AQ22" i="64" s="1"/>
  <c r="AQ25" i="64" s="1"/>
  <c r="AQ26" i="64" s="1"/>
  <c r="AP22" i="64"/>
  <c r="AP25" i="64" s="1"/>
  <c r="AP26" i="64" s="1"/>
  <c r="K34" i="67"/>
  <c r="N34" i="67"/>
  <c r="L34" i="67" s="1"/>
  <c r="G33" i="67"/>
  <c r="H33" i="67" s="1"/>
  <c r="F34" i="67" l="1"/>
  <c r="D34" i="67" s="1"/>
  <c r="O34" i="67"/>
  <c r="P34" i="67" s="1"/>
  <c r="C34" i="67"/>
  <c r="K35" i="67" l="1"/>
  <c r="N35" i="67"/>
  <c r="L35" i="67" s="1"/>
  <c r="G34" i="67"/>
  <c r="H34" i="67" s="1"/>
  <c r="F35" i="67" l="1"/>
  <c r="D35" i="67" s="1"/>
  <c r="O35" i="67"/>
  <c r="P35" i="67" s="1"/>
  <c r="C35" i="67"/>
  <c r="K36" i="67" l="1"/>
  <c r="N36" i="67"/>
  <c r="L36" i="67" s="1"/>
  <c r="G35" i="67"/>
  <c r="H35" i="67" s="1"/>
  <c r="F36" i="67" l="1"/>
  <c r="D36" i="67" s="1"/>
  <c r="O36" i="67"/>
  <c r="P36" i="67" s="1"/>
  <c r="C36" i="67"/>
  <c r="K37" i="67" l="1"/>
  <c r="N37" i="67"/>
  <c r="L37" i="67" s="1"/>
  <c r="G36" i="67"/>
  <c r="H36" i="67" s="1"/>
  <c r="F37" i="67" l="1"/>
  <c r="D37" i="67" s="1"/>
  <c r="O37" i="67"/>
  <c r="P37" i="67" s="1"/>
  <c r="C37" i="67"/>
  <c r="K38" i="67" l="1"/>
  <c r="N38" i="67"/>
  <c r="L38" i="67" s="1"/>
  <c r="G37" i="67"/>
  <c r="H37" i="67" s="1"/>
  <c r="F38" i="67" l="1"/>
  <c r="D38" i="67" s="1"/>
  <c r="O38" i="67"/>
  <c r="P38" i="67" s="1"/>
  <c r="C38" i="67"/>
  <c r="K39" i="67" l="1"/>
  <c r="N39" i="67"/>
  <c r="L39" i="67" s="1"/>
  <c r="G38" i="67"/>
  <c r="H38" i="67" s="1"/>
  <c r="F39" i="67" l="1"/>
  <c r="D39" i="67" s="1"/>
  <c r="O39" i="67"/>
  <c r="P39" i="67" s="1"/>
  <c r="C39" i="67"/>
  <c r="K40" i="67" l="1"/>
  <c r="N40" i="67"/>
  <c r="L40" i="67" s="1"/>
  <c r="G39" i="67"/>
  <c r="H39" i="67" s="1"/>
  <c r="F40" i="67" l="1"/>
  <c r="D40" i="67" s="1"/>
  <c r="O40" i="67"/>
  <c r="P40" i="67" s="1"/>
  <c r="C40" i="67"/>
  <c r="K41" i="67" l="1"/>
  <c r="N41" i="67"/>
  <c r="L41" i="67" s="1"/>
  <c r="G40" i="67"/>
  <c r="H40" i="67" s="1"/>
  <c r="O29" i="64" l="1"/>
  <c r="F41" i="67"/>
  <c r="D41" i="67" s="1"/>
  <c r="O41" i="67"/>
  <c r="P41" i="67" s="1"/>
  <c r="C41" i="67"/>
  <c r="O30" i="64" l="1"/>
  <c r="O28" i="64"/>
  <c r="K42" i="67"/>
  <c r="N42" i="67"/>
  <c r="L42" i="67" s="1"/>
  <c r="G41" i="67"/>
  <c r="H41" i="67" s="1"/>
  <c r="O31" i="64" l="1"/>
  <c r="O32" i="64"/>
  <c r="F42" i="67"/>
  <c r="D42" i="67" s="1"/>
  <c r="O42" i="67"/>
  <c r="P42" i="67" s="1"/>
  <c r="C42" i="67"/>
  <c r="K43" i="67" l="1"/>
  <c r="N43" i="67"/>
  <c r="L43" i="67" s="1"/>
  <c r="G42" i="67"/>
  <c r="H42" i="67" s="1"/>
  <c r="F43" i="67" l="1"/>
  <c r="D43" i="67" s="1"/>
  <c r="O43" i="67"/>
  <c r="P43" i="67" s="1"/>
  <c r="C43" i="67"/>
  <c r="K44" i="67" l="1"/>
  <c r="N44" i="67"/>
  <c r="L44" i="67" s="1"/>
  <c r="G43" i="67"/>
  <c r="H43" i="67" s="1"/>
  <c r="F44" i="67" l="1"/>
  <c r="D44" i="67" s="1"/>
  <c r="O44" i="67"/>
  <c r="P44" i="67" s="1"/>
  <c r="C44" i="67"/>
  <c r="K45" i="67" l="1"/>
  <c r="N45" i="67"/>
  <c r="L45" i="67" s="1"/>
  <c r="G44" i="67"/>
  <c r="H44" i="67" s="1"/>
  <c r="F45" i="67" l="1"/>
  <c r="D45" i="67" s="1"/>
  <c r="O45" i="67"/>
  <c r="P45" i="67" s="1"/>
  <c r="C45" i="67"/>
  <c r="K46" i="67" l="1"/>
  <c r="N46" i="67"/>
  <c r="L46" i="67" s="1"/>
  <c r="G45" i="67"/>
  <c r="H45" i="67" s="1"/>
  <c r="F46" i="67" l="1"/>
  <c r="D46" i="67" s="1"/>
  <c r="O46" i="67"/>
  <c r="P46" i="67" s="1"/>
  <c r="C46" i="67"/>
  <c r="K47" i="67" l="1"/>
  <c r="N47" i="67"/>
  <c r="L47" i="67" s="1"/>
  <c r="G46" i="67"/>
  <c r="H46" i="67" s="1"/>
  <c r="F47" i="67" l="1"/>
  <c r="D47" i="67" s="1"/>
  <c r="O47" i="67"/>
  <c r="P47" i="67" s="1"/>
  <c r="C47" i="67"/>
  <c r="K48" i="67" l="1"/>
  <c r="N48" i="67"/>
  <c r="L48" i="67" s="1"/>
  <c r="G47" i="67"/>
  <c r="H47" i="67" s="1"/>
  <c r="F48" i="67" l="1"/>
  <c r="D48" i="67" s="1"/>
  <c r="O48" i="67"/>
  <c r="P48" i="67" s="1"/>
  <c r="C48" i="67"/>
  <c r="K49" i="67" l="1"/>
  <c r="N49" i="67"/>
  <c r="L49" i="67" s="1"/>
  <c r="G48" i="67"/>
  <c r="H48" i="67" s="1"/>
  <c r="F49" i="67" l="1"/>
  <c r="D49" i="67" s="1"/>
  <c r="O49" i="67"/>
  <c r="P49" i="67" s="1"/>
  <c r="C49" i="67"/>
  <c r="K50" i="67" l="1"/>
  <c r="N50" i="67"/>
  <c r="L50" i="67" s="1"/>
  <c r="G49" i="67"/>
  <c r="H49" i="67" s="1"/>
  <c r="F50" i="67" l="1"/>
  <c r="D50" i="67" s="1"/>
  <c r="O50" i="67"/>
  <c r="P50" i="67" s="1"/>
  <c r="C50" i="67"/>
  <c r="K51" i="67" l="1"/>
  <c r="N51" i="67"/>
  <c r="L51" i="67" s="1"/>
  <c r="G50" i="67"/>
  <c r="H50" i="67" s="1"/>
  <c r="F51" i="67" l="1"/>
  <c r="D51" i="67" s="1"/>
  <c r="O51" i="67"/>
  <c r="P51" i="67" s="1"/>
  <c r="C51" i="67"/>
  <c r="K52" i="67" l="1"/>
  <c r="N52" i="67"/>
  <c r="L52" i="67" s="1"/>
  <c r="G51" i="67"/>
  <c r="H51" i="67" s="1"/>
  <c r="F52" i="67" l="1"/>
  <c r="D52" i="67" s="1"/>
  <c r="O52" i="67"/>
  <c r="P52" i="67" s="1"/>
  <c r="C52" i="67"/>
  <c r="K53" i="67" l="1"/>
  <c r="N53" i="67"/>
  <c r="L53" i="67" s="1"/>
  <c r="G52" i="67"/>
  <c r="H52" i="67" s="1"/>
  <c r="P29" i="64" s="1"/>
  <c r="P30" i="64" l="1"/>
  <c r="P32" i="64" s="1"/>
  <c r="P28" i="64"/>
  <c r="F53" i="67"/>
  <c r="D53" i="67" s="1"/>
  <c r="O53" i="67"/>
  <c r="P53" i="67" s="1"/>
  <c r="C53" i="67"/>
  <c r="P31" i="64" l="1"/>
  <c r="K54" i="67"/>
  <c r="N54" i="67"/>
  <c r="L54" i="67" s="1"/>
  <c r="G53" i="67"/>
  <c r="H53" i="67" s="1"/>
  <c r="F54" i="67" l="1"/>
  <c r="D54" i="67" s="1"/>
  <c r="O54" i="67"/>
  <c r="P54" i="67" s="1"/>
  <c r="C54" i="67"/>
  <c r="K55" i="67" l="1"/>
  <c r="N55" i="67"/>
  <c r="L55" i="67" s="1"/>
  <c r="G54" i="67"/>
  <c r="H54" i="67" s="1"/>
  <c r="F55" i="67" l="1"/>
  <c r="D55" i="67" s="1"/>
  <c r="O55" i="67"/>
  <c r="P55" i="67" s="1"/>
  <c r="C55" i="67"/>
  <c r="K56" i="67" l="1"/>
  <c r="N56" i="67"/>
  <c r="L56" i="67" s="1"/>
  <c r="G55" i="67"/>
  <c r="H55" i="67" s="1"/>
  <c r="F56" i="67" l="1"/>
  <c r="D56" i="67" s="1"/>
  <c r="O56" i="67"/>
  <c r="P56" i="67" s="1"/>
  <c r="C56" i="67"/>
  <c r="K57" i="67" l="1"/>
  <c r="N57" i="67"/>
  <c r="L57" i="67" s="1"/>
  <c r="G56" i="67"/>
  <c r="H56" i="67" s="1"/>
  <c r="F57" i="67" l="1"/>
  <c r="D57" i="67" s="1"/>
  <c r="O57" i="67"/>
  <c r="P57" i="67" s="1"/>
  <c r="C57" i="67"/>
  <c r="K58" i="67" l="1"/>
  <c r="N58" i="67"/>
  <c r="L58" i="67" s="1"/>
  <c r="G57" i="67"/>
  <c r="H57" i="67" s="1"/>
  <c r="F58" i="67" l="1"/>
  <c r="D58" i="67" s="1"/>
  <c r="O58" i="67"/>
  <c r="P58" i="67" s="1"/>
  <c r="C58" i="67"/>
  <c r="K59" i="67" l="1"/>
  <c r="N59" i="67"/>
  <c r="L59" i="67" s="1"/>
  <c r="G58" i="67"/>
  <c r="H58" i="67" s="1"/>
  <c r="F59" i="67" l="1"/>
  <c r="D59" i="67" s="1"/>
  <c r="O59" i="67"/>
  <c r="P59" i="67" s="1"/>
  <c r="C59" i="67"/>
  <c r="K60" i="67" l="1"/>
  <c r="N60" i="67"/>
  <c r="L60" i="67" s="1"/>
  <c r="G59" i="67"/>
  <c r="H59" i="67" s="1"/>
  <c r="F60" i="67" l="1"/>
  <c r="D60" i="67" s="1"/>
  <c r="O60" i="67"/>
  <c r="P60" i="67" s="1"/>
  <c r="C60" i="67"/>
  <c r="K61" i="67" l="1"/>
  <c r="N61" i="67"/>
  <c r="L61" i="67" s="1"/>
  <c r="G60" i="67"/>
  <c r="H60" i="67" s="1"/>
  <c r="F61" i="67" l="1"/>
  <c r="D61" i="67" s="1"/>
  <c r="O61" i="67"/>
  <c r="P61" i="67" s="1"/>
  <c r="C61" i="67"/>
  <c r="K62" i="67" l="1"/>
  <c r="N62" i="67"/>
  <c r="L62" i="67" s="1"/>
  <c r="G61" i="67"/>
  <c r="H61" i="67" s="1"/>
  <c r="F62" i="67" l="1"/>
  <c r="D62" i="67" s="1"/>
  <c r="O62" i="67"/>
  <c r="P62" i="67" s="1"/>
  <c r="C62" i="67"/>
  <c r="K63" i="67" l="1"/>
  <c r="N63" i="67"/>
  <c r="L63" i="67" s="1"/>
  <c r="G62" i="67"/>
  <c r="H62" i="67" s="1"/>
  <c r="F63" i="67" l="1"/>
  <c r="D63" i="67" s="1"/>
  <c r="O63" i="67"/>
  <c r="P63" i="67" s="1"/>
  <c r="C63" i="67"/>
  <c r="K64" i="67" l="1"/>
  <c r="N64" i="67"/>
  <c r="L64" i="67" s="1"/>
  <c r="G63" i="67"/>
  <c r="H63" i="67" s="1"/>
  <c r="F64" i="67" l="1"/>
  <c r="D64" i="67" s="1"/>
  <c r="O64" i="67"/>
  <c r="P64" i="67" s="1"/>
  <c r="C64" i="67"/>
  <c r="K65" i="67" l="1"/>
  <c r="N65" i="67"/>
  <c r="L65" i="67" s="1"/>
  <c r="G64" i="67"/>
  <c r="H64" i="67" s="1"/>
  <c r="Q29" i="64" s="1"/>
  <c r="Q30" i="64" s="1"/>
  <c r="Q31" i="64" l="1"/>
  <c r="Q32" i="64"/>
  <c r="Q28" i="64"/>
  <c r="F65" i="67"/>
  <c r="D65" i="67" s="1"/>
  <c r="O65" i="67"/>
  <c r="P65" i="67" s="1"/>
  <c r="C65" i="67"/>
  <c r="K66" i="67" l="1"/>
  <c r="N66" i="67"/>
  <c r="L66" i="67" s="1"/>
  <c r="G65" i="67"/>
  <c r="H65" i="67" s="1"/>
  <c r="F66" i="67" l="1"/>
  <c r="D66" i="67" s="1"/>
  <c r="O66" i="67"/>
  <c r="P66" i="67" s="1"/>
  <c r="C66" i="67"/>
  <c r="K67" i="67" l="1"/>
  <c r="N67" i="67"/>
  <c r="L67" i="67" s="1"/>
  <c r="G66" i="67"/>
  <c r="H66" i="67" s="1"/>
  <c r="F67" i="67" l="1"/>
  <c r="D67" i="67" s="1"/>
  <c r="O67" i="67"/>
  <c r="P67" i="67" s="1"/>
  <c r="C67" i="67"/>
  <c r="K68" i="67" l="1"/>
  <c r="N68" i="67"/>
  <c r="L68" i="67" s="1"/>
  <c r="G67" i="67"/>
  <c r="H67" i="67" s="1"/>
  <c r="F68" i="67" l="1"/>
  <c r="D68" i="67" s="1"/>
  <c r="O68" i="67"/>
  <c r="P68" i="67" s="1"/>
  <c r="C68" i="67"/>
  <c r="K69" i="67" l="1"/>
  <c r="N69" i="67"/>
  <c r="L69" i="67" s="1"/>
  <c r="G68" i="67"/>
  <c r="H68" i="67" s="1"/>
  <c r="F69" i="67" l="1"/>
  <c r="D69" i="67" s="1"/>
  <c r="O69" i="67"/>
  <c r="P69" i="67" s="1"/>
  <c r="C69" i="67"/>
  <c r="K70" i="67" l="1"/>
  <c r="N70" i="67"/>
  <c r="L70" i="67" s="1"/>
  <c r="G69" i="67"/>
  <c r="H69" i="67" s="1"/>
  <c r="F70" i="67" l="1"/>
  <c r="D70" i="67" s="1"/>
  <c r="O70" i="67"/>
  <c r="P70" i="67" s="1"/>
  <c r="C70" i="67"/>
  <c r="K71" i="67" l="1"/>
  <c r="N71" i="67"/>
  <c r="L71" i="67" s="1"/>
  <c r="G70" i="67"/>
  <c r="H70" i="67" s="1"/>
  <c r="F71" i="67" l="1"/>
  <c r="D71" i="67" s="1"/>
  <c r="O71" i="67"/>
  <c r="P71" i="67" s="1"/>
  <c r="C71" i="67"/>
  <c r="K72" i="67" l="1"/>
  <c r="N72" i="67"/>
  <c r="L72" i="67" s="1"/>
  <c r="G71" i="67"/>
  <c r="H71" i="67" s="1"/>
  <c r="F72" i="67" l="1"/>
  <c r="D72" i="67" s="1"/>
  <c r="O72" i="67"/>
  <c r="P72" i="67" s="1"/>
  <c r="C72" i="67"/>
  <c r="K73" i="67" l="1"/>
  <c r="N73" i="67"/>
  <c r="L73" i="67" s="1"/>
  <c r="G72" i="67"/>
  <c r="H72" i="67" s="1"/>
  <c r="F73" i="67" l="1"/>
  <c r="D73" i="67" s="1"/>
  <c r="O73" i="67"/>
  <c r="P73" i="67" s="1"/>
  <c r="C73" i="67"/>
  <c r="K74" i="67" l="1"/>
  <c r="N74" i="67"/>
  <c r="L74" i="67" s="1"/>
  <c r="G73" i="67"/>
  <c r="H73" i="67" s="1"/>
  <c r="F74" i="67" l="1"/>
  <c r="D74" i="67" s="1"/>
  <c r="O74" i="67"/>
  <c r="P74" i="67" s="1"/>
  <c r="C74" i="67"/>
  <c r="K75" i="67" l="1"/>
  <c r="N75" i="67"/>
  <c r="L75" i="67" s="1"/>
  <c r="G74" i="67"/>
  <c r="H74" i="67" s="1"/>
  <c r="F75" i="67" l="1"/>
  <c r="D75" i="67" s="1"/>
  <c r="O75" i="67"/>
  <c r="P75" i="67" s="1"/>
  <c r="C75" i="67"/>
  <c r="K76" i="67" l="1"/>
  <c r="N76" i="67"/>
  <c r="L76" i="67" s="1"/>
  <c r="G75" i="67"/>
  <c r="H75" i="67" s="1"/>
  <c r="F76" i="67" l="1"/>
  <c r="D76" i="67" s="1"/>
  <c r="O76" i="67"/>
  <c r="P76" i="67" s="1"/>
  <c r="C76" i="67"/>
  <c r="K77" i="67" l="1"/>
  <c r="N77" i="67"/>
  <c r="L77" i="67" s="1"/>
  <c r="G76" i="67"/>
  <c r="H76" i="67" s="1"/>
  <c r="R29" i="64" s="1"/>
  <c r="R30" i="64" s="1"/>
  <c r="R32" i="64" l="1"/>
  <c r="R31" i="64"/>
  <c r="F77" i="67"/>
  <c r="D77" i="67" s="1"/>
  <c r="O77" i="67"/>
  <c r="P77" i="67" s="1"/>
  <c r="C77" i="67"/>
  <c r="K78" i="67" l="1"/>
  <c r="N78" i="67"/>
  <c r="L78" i="67" s="1"/>
  <c r="G77" i="67"/>
  <c r="H77" i="67" s="1"/>
  <c r="F78" i="67" l="1"/>
  <c r="D78" i="67" s="1"/>
  <c r="O78" i="67"/>
  <c r="P78" i="67" s="1"/>
  <c r="C78" i="67"/>
  <c r="K79" i="67" l="1"/>
  <c r="N79" i="67"/>
  <c r="L79" i="67" s="1"/>
  <c r="G78" i="67"/>
  <c r="H78" i="67" s="1"/>
  <c r="F79" i="67" l="1"/>
  <c r="D79" i="67" s="1"/>
  <c r="O79" i="67"/>
  <c r="P79" i="67" s="1"/>
  <c r="C79" i="67"/>
  <c r="K80" i="67" l="1"/>
  <c r="N80" i="67"/>
  <c r="L80" i="67" s="1"/>
  <c r="G79" i="67"/>
  <c r="H79" i="67" s="1"/>
  <c r="F80" i="67" l="1"/>
  <c r="D80" i="67" s="1"/>
  <c r="O80" i="67"/>
  <c r="P80" i="67" s="1"/>
  <c r="C80" i="67"/>
  <c r="K81" i="67" l="1"/>
  <c r="N81" i="67"/>
  <c r="L81" i="67" s="1"/>
  <c r="G80" i="67"/>
  <c r="H80" i="67" s="1"/>
  <c r="F81" i="67" l="1"/>
  <c r="D81" i="67" s="1"/>
  <c r="O81" i="67"/>
  <c r="P81" i="67" s="1"/>
  <c r="C81" i="67"/>
  <c r="K82" i="67" l="1"/>
  <c r="N82" i="67"/>
  <c r="L82" i="67" s="1"/>
  <c r="G81" i="67"/>
  <c r="H81" i="67" s="1"/>
  <c r="F82" i="67" l="1"/>
  <c r="D82" i="67" s="1"/>
  <c r="O82" i="67"/>
  <c r="P82" i="67" s="1"/>
  <c r="C82" i="67"/>
  <c r="K83" i="67" l="1"/>
  <c r="N83" i="67"/>
  <c r="L83" i="67" s="1"/>
  <c r="G82" i="67"/>
  <c r="H82" i="67" s="1"/>
  <c r="F83" i="67" l="1"/>
  <c r="D83" i="67" s="1"/>
  <c r="O83" i="67"/>
  <c r="P83" i="67" s="1"/>
  <c r="C83" i="67"/>
  <c r="K84" i="67" l="1"/>
  <c r="N84" i="67"/>
  <c r="L84" i="67" s="1"/>
  <c r="G83" i="67"/>
  <c r="H83" i="67" s="1"/>
  <c r="F84" i="67" l="1"/>
  <c r="D84" i="67" s="1"/>
  <c r="O84" i="67"/>
  <c r="P84" i="67" s="1"/>
  <c r="C84" i="67"/>
  <c r="K85" i="67" l="1"/>
  <c r="N85" i="67"/>
  <c r="L85" i="67" s="1"/>
  <c r="G84" i="67"/>
  <c r="H84" i="67" s="1"/>
  <c r="F85" i="67" l="1"/>
  <c r="D85" i="67" s="1"/>
  <c r="O85" i="67"/>
  <c r="P85" i="67" s="1"/>
  <c r="C85" i="67"/>
  <c r="K86" i="67" l="1"/>
  <c r="N86" i="67"/>
  <c r="L86" i="67" s="1"/>
  <c r="G85" i="67"/>
  <c r="H85" i="67" s="1"/>
  <c r="F86" i="67" l="1"/>
  <c r="D86" i="67" s="1"/>
  <c r="O86" i="67"/>
  <c r="P86" i="67" s="1"/>
  <c r="C86" i="67"/>
  <c r="K87" i="67" l="1"/>
  <c r="N87" i="67"/>
  <c r="L87" i="67" s="1"/>
  <c r="G86" i="67"/>
  <c r="H86" i="67" s="1"/>
  <c r="F87" i="67" l="1"/>
  <c r="D87" i="67" s="1"/>
  <c r="O87" i="67"/>
  <c r="P87" i="67" s="1"/>
  <c r="C87" i="67"/>
  <c r="K88" i="67" l="1"/>
  <c r="N88" i="67"/>
  <c r="L88" i="67" s="1"/>
  <c r="G87" i="67"/>
  <c r="H87" i="67" s="1"/>
  <c r="F88" i="67" l="1"/>
  <c r="D88" i="67" s="1"/>
  <c r="O88" i="67"/>
  <c r="P88" i="67" s="1"/>
  <c r="C88" i="67"/>
  <c r="K89" i="67" l="1"/>
  <c r="N89" i="67"/>
  <c r="L89" i="67" s="1"/>
  <c r="G88" i="67"/>
  <c r="H88" i="67" s="1"/>
  <c r="S29" i="64" s="1"/>
  <c r="S30" i="64" s="1"/>
  <c r="S32" i="64" l="1"/>
  <c r="S31" i="64"/>
  <c r="F89" i="67"/>
  <c r="D89" i="67" s="1"/>
  <c r="O89" i="67"/>
  <c r="P89" i="67" s="1"/>
  <c r="C89" i="67"/>
  <c r="K90" i="67" l="1"/>
  <c r="N90" i="67"/>
  <c r="L90" i="67" s="1"/>
  <c r="G89" i="67"/>
  <c r="H89" i="67" s="1"/>
  <c r="F90" i="67" l="1"/>
  <c r="D90" i="67" s="1"/>
  <c r="O90" i="67"/>
  <c r="P90" i="67" s="1"/>
  <c r="C90" i="67"/>
  <c r="K91" i="67" l="1"/>
  <c r="N91" i="67"/>
  <c r="L91" i="67" s="1"/>
  <c r="G90" i="67"/>
  <c r="H90" i="67" s="1"/>
  <c r="F91" i="67" l="1"/>
  <c r="D91" i="67" s="1"/>
  <c r="O91" i="67"/>
  <c r="P91" i="67" s="1"/>
  <c r="C91" i="67"/>
  <c r="K92" i="67" l="1"/>
  <c r="N92" i="67"/>
  <c r="L92" i="67" s="1"/>
  <c r="G91" i="67"/>
  <c r="H91" i="67" s="1"/>
  <c r="F92" i="67" l="1"/>
  <c r="D92" i="67" s="1"/>
  <c r="O92" i="67"/>
  <c r="P92" i="67" s="1"/>
  <c r="C92" i="67"/>
  <c r="K93" i="67" l="1"/>
  <c r="N93" i="67"/>
  <c r="L93" i="67" s="1"/>
  <c r="G92" i="67"/>
  <c r="H92" i="67" s="1"/>
  <c r="F93" i="67" l="1"/>
  <c r="D93" i="67" s="1"/>
  <c r="O93" i="67"/>
  <c r="P93" i="67" s="1"/>
  <c r="C93" i="67"/>
  <c r="K94" i="67" l="1"/>
  <c r="N94" i="67"/>
  <c r="L94" i="67" s="1"/>
  <c r="G93" i="67"/>
  <c r="H93" i="67" s="1"/>
  <c r="F94" i="67" l="1"/>
  <c r="D94" i="67" s="1"/>
  <c r="O94" i="67"/>
  <c r="P94" i="67" s="1"/>
  <c r="C94" i="67"/>
  <c r="K95" i="67" l="1"/>
  <c r="N95" i="67"/>
  <c r="L95" i="67" s="1"/>
  <c r="G94" i="67"/>
  <c r="H94" i="67" s="1"/>
  <c r="F95" i="67" l="1"/>
  <c r="D95" i="67" s="1"/>
  <c r="O95" i="67"/>
  <c r="P95" i="67" s="1"/>
  <c r="C95" i="67"/>
  <c r="K96" i="67" l="1"/>
  <c r="N96" i="67"/>
  <c r="L96" i="67" s="1"/>
  <c r="G95" i="67"/>
  <c r="H95" i="67" s="1"/>
  <c r="F96" i="67" l="1"/>
  <c r="D96" i="67" s="1"/>
  <c r="O96" i="67"/>
  <c r="P96" i="67" s="1"/>
  <c r="C96" i="67"/>
  <c r="K97" i="67" l="1"/>
  <c r="N97" i="67"/>
  <c r="L97" i="67" s="1"/>
  <c r="G96" i="67"/>
  <c r="H96" i="67" s="1"/>
  <c r="F97" i="67" l="1"/>
  <c r="D97" i="67" s="1"/>
  <c r="O97" i="67"/>
  <c r="P97" i="67" s="1"/>
  <c r="C97" i="67"/>
  <c r="K98" i="67" l="1"/>
  <c r="N98" i="67"/>
  <c r="L98" i="67" s="1"/>
  <c r="G97" i="67"/>
  <c r="H97" i="67" s="1"/>
  <c r="F98" i="67" l="1"/>
  <c r="D98" i="67" s="1"/>
  <c r="O98" i="67"/>
  <c r="P98" i="67" s="1"/>
  <c r="C98" i="67"/>
  <c r="K99" i="67" l="1"/>
  <c r="N99" i="67"/>
  <c r="L99" i="67" s="1"/>
  <c r="G98" i="67"/>
  <c r="H98" i="67" s="1"/>
  <c r="F99" i="67" l="1"/>
  <c r="D99" i="67" s="1"/>
  <c r="O99" i="67"/>
  <c r="P99" i="67" s="1"/>
  <c r="C99" i="67"/>
  <c r="K100" i="67" l="1"/>
  <c r="N100" i="67"/>
  <c r="L100" i="67" s="1"/>
  <c r="G99" i="67"/>
  <c r="H99" i="67" s="1"/>
  <c r="F100" i="67" l="1"/>
  <c r="D100" i="67" s="1"/>
  <c r="O100" i="67"/>
  <c r="P100" i="67" s="1"/>
  <c r="C100" i="67"/>
  <c r="K101" i="67" l="1"/>
  <c r="N101" i="67"/>
  <c r="L101" i="67" s="1"/>
  <c r="G100" i="67"/>
  <c r="H100" i="67" s="1"/>
  <c r="T29" i="64" s="1"/>
  <c r="T30" i="64" s="1"/>
  <c r="T32" i="64" l="1"/>
  <c r="T31" i="64"/>
  <c r="F101" i="67"/>
  <c r="D101" i="67" s="1"/>
  <c r="O101" i="67"/>
  <c r="P101" i="67" s="1"/>
  <c r="C101" i="67"/>
  <c r="K102" i="67" l="1"/>
  <c r="N102" i="67"/>
  <c r="L102" i="67" s="1"/>
  <c r="G101" i="67"/>
  <c r="H101" i="67" s="1"/>
  <c r="F102" i="67" l="1"/>
  <c r="D102" i="67" s="1"/>
  <c r="O102" i="67"/>
  <c r="P102" i="67" s="1"/>
  <c r="C102" i="67"/>
  <c r="K103" i="67" l="1"/>
  <c r="N103" i="67"/>
  <c r="L103" i="67" s="1"/>
  <c r="G102" i="67"/>
  <c r="H102" i="67" s="1"/>
  <c r="F103" i="67" l="1"/>
  <c r="D103" i="67" s="1"/>
  <c r="O103" i="67"/>
  <c r="P103" i="67" s="1"/>
  <c r="C103" i="67"/>
  <c r="K104" i="67" l="1"/>
  <c r="N104" i="67"/>
  <c r="L104" i="67" s="1"/>
  <c r="G103" i="67"/>
  <c r="H103" i="67" s="1"/>
  <c r="F104" i="67" l="1"/>
  <c r="D104" i="67" s="1"/>
  <c r="O104" i="67"/>
  <c r="P104" i="67" s="1"/>
  <c r="C104" i="67"/>
  <c r="K105" i="67" l="1"/>
  <c r="N105" i="67"/>
  <c r="L105" i="67" s="1"/>
  <c r="G104" i="67"/>
  <c r="H104" i="67" s="1"/>
  <c r="F105" i="67" l="1"/>
  <c r="D105" i="67" s="1"/>
  <c r="O105" i="67"/>
  <c r="P105" i="67" s="1"/>
  <c r="C105" i="67"/>
  <c r="K106" i="67" l="1"/>
  <c r="N106" i="67"/>
  <c r="L106" i="67" s="1"/>
  <c r="G105" i="67"/>
  <c r="H105" i="67" s="1"/>
  <c r="F106" i="67" l="1"/>
  <c r="D106" i="67" s="1"/>
  <c r="O106" i="67"/>
  <c r="P106" i="67" s="1"/>
  <c r="C106" i="67"/>
  <c r="K107" i="67" l="1"/>
  <c r="N107" i="67"/>
  <c r="L107" i="67" s="1"/>
  <c r="G106" i="67"/>
  <c r="H106" i="67" s="1"/>
  <c r="F107" i="67" l="1"/>
  <c r="D107" i="67" s="1"/>
  <c r="O107" i="67"/>
  <c r="P107" i="67" s="1"/>
  <c r="C107" i="67"/>
  <c r="K108" i="67" l="1"/>
  <c r="N108" i="67"/>
  <c r="L108" i="67" s="1"/>
  <c r="G107" i="67"/>
  <c r="H107" i="67" s="1"/>
  <c r="F108" i="67" l="1"/>
  <c r="D108" i="67" s="1"/>
  <c r="O108" i="67"/>
  <c r="P108" i="67" s="1"/>
  <c r="C108" i="67"/>
  <c r="K109" i="67" l="1"/>
  <c r="N109" i="67"/>
  <c r="L109" i="67" s="1"/>
  <c r="G108" i="67"/>
  <c r="H108" i="67" s="1"/>
  <c r="F109" i="67" l="1"/>
  <c r="D109" i="67" s="1"/>
  <c r="O109" i="67"/>
  <c r="P109" i="67" s="1"/>
  <c r="C109" i="67"/>
  <c r="K110" i="67" l="1"/>
  <c r="N110" i="67"/>
  <c r="L110" i="67" s="1"/>
  <c r="G109" i="67"/>
  <c r="H109" i="67" s="1"/>
  <c r="F110" i="67" l="1"/>
  <c r="D110" i="67" s="1"/>
  <c r="O110" i="67"/>
  <c r="P110" i="67" s="1"/>
  <c r="C110" i="67"/>
  <c r="K111" i="67" l="1"/>
  <c r="N111" i="67"/>
  <c r="L111" i="67" s="1"/>
  <c r="G110" i="67"/>
  <c r="H110" i="67" s="1"/>
  <c r="F111" i="67" l="1"/>
  <c r="D111" i="67" s="1"/>
  <c r="O111" i="67"/>
  <c r="P111" i="67" s="1"/>
  <c r="C111" i="67"/>
  <c r="K112" i="67" l="1"/>
  <c r="N112" i="67"/>
  <c r="L112" i="67" s="1"/>
  <c r="G111" i="67"/>
  <c r="H111" i="67" s="1"/>
  <c r="F112" i="67" l="1"/>
  <c r="D112" i="67" s="1"/>
  <c r="O112" i="67"/>
  <c r="P112" i="67" s="1"/>
  <c r="C112" i="67"/>
  <c r="K113" i="67" l="1"/>
  <c r="N113" i="67"/>
  <c r="L113" i="67" s="1"/>
  <c r="G112" i="67"/>
  <c r="H112" i="67" s="1"/>
  <c r="U29" i="64" s="1"/>
  <c r="U28" i="64" l="1"/>
  <c r="U30" i="64"/>
  <c r="F113" i="67"/>
  <c r="D113" i="67" s="1"/>
  <c r="O113" i="67"/>
  <c r="P113" i="67" s="1"/>
  <c r="C113" i="67"/>
  <c r="U32" i="64" l="1"/>
  <c r="U31" i="64"/>
  <c r="K114" i="67"/>
  <c r="N114" i="67"/>
  <c r="L114" i="67" s="1"/>
  <c r="G113" i="67"/>
  <c r="H113" i="67" s="1"/>
  <c r="F114" i="67" l="1"/>
  <c r="D114" i="67" s="1"/>
  <c r="O114" i="67"/>
  <c r="P114" i="67" s="1"/>
  <c r="C114" i="67"/>
  <c r="K115" i="67" l="1"/>
  <c r="N115" i="67"/>
  <c r="L115" i="67" s="1"/>
  <c r="G114" i="67"/>
  <c r="H114" i="67" s="1"/>
  <c r="F115" i="67" l="1"/>
  <c r="D115" i="67" s="1"/>
  <c r="O115" i="67"/>
  <c r="P115" i="67" s="1"/>
  <c r="C115" i="67"/>
  <c r="K116" i="67" l="1"/>
  <c r="N116" i="67"/>
  <c r="L116" i="67" s="1"/>
  <c r="G115" i="67"/>
  <c r="H115" i="67" s="1"/>
  <c r="F116" i="67" l="1"/>
  <c r="D116" i="67" s="1"/>
  <c r="O116" i="67"/>
  <c r="P116" i="67" s="1"/>
  <c r="C116" i="67"/>
  <c r="K117" i="67" l="1"/>
  <c r="N117" i="67"/>
  <c r="L117" i="67" s="1"/>
  <c r="G116" i="67"/>
  <c r="H116" i="67" s="1"/>
  <c r="F117" i="67" l="1"/>
  <c r="D117" i="67" s="1"/>
  <c r="O117" i="67"/>
  <c r="P117" i="67" s="1"/>
  <c r="C117" i="67"/>
  <c r="K118" i="67" l="1"/>
  <c r="N118" i="67"/>
  <c r="L118" i="67" s="1"/>
  <c r="G117" i="67"/>
  <c r="H117" i="67" s="1"/>
  <c r="F118" i="67" l="1"/>
  <c r="D118" i="67" s="1"/>
  <c r="O118" i="67"/>
  <c r="P118" i="67" s="1"/>
  <c r="C118" i="67"/>
  <c r="K119" i="67" l="1"/>
  <c r="N119" i="67"/>
  <c r="L119" i="67" s="1"/>
  <c r="G118" i="67"/>
  <c r="H118" i="67" s="1"/>
  <c r="F119" i="67" l="1"/>
  <c r="D119" i="67" s="1"/>
  <c r="O119" i="67"/>
  <c r="P119" i="67" s="1"/>
  <c r="C119" i="67"/>
  <c r="K120" i="67" l="1"/>
  <c r="N120" i="67"/>
  <c r="L120" i="67" s="1"/>
  <c r="G119" i="67"/>
  <c r="H119" i="67" s="1"/>
  <c r="F120" i="67" l="1"/>
  <c r="D120" i="67" s="1"/>
  <c r="O120" i="67"/>
  <c r="P120" i="67" s="1"/>
  <c r="C120" i="67"/>
  <c r="K121" i="67" l="1"/>
  <c r="N121" i="67"/>
  <c r="L121" i="67" s="1"/>
  <c r="G120" i="67"/>
  <c r="H120" i="67" s="1"/>
  <c r="F121" i="67" l="1"/>
  <c r="D121" i="67" s="1"/>
  <c r="O121" i="67"/>
  <c r="P121" i="67" s="1"/>
  <c r="C121" i="67"/>
  <c r="K122" i="67" l="1"/>
  <c r="N122" i="67"/>
  <c r="L122" i="67" s="1"/>
  <c r="G121" i="67"/>
  <c r="H121" i="67" s="1"/>
  <c r="F122" i="67" l="1"/>
  <c r="D122" i="67" s="1"/>
  <c r="O122" i="67"/>
  <c r="P122" i="67" s="1"/>
  <c r="C122" i="67"/>
  <c r="K123" i="67" l="1"/>
  <c r="N123" i="67"/>
  <c r="L123" i="67" s="1"/>
  <c r="G122" i="67"/>
  <c r="H122" i="67" s="1"/>
  <c r="F123" i="67" l="1"/>
  <c r="D123" i="67" s="1"/>
  <c r="O123" i="67"/>
  <c r="P123" i="67" s="1"/>
  <c r="C123" i="67"/>
  <c r="K124" i="67" l="1"/>
  <c r="N124" i="67"/>
  <c r="L124" i="67" s="1"/>
  <c r="G123" i="67"/>
  <c r="H123" i="67" s="1"/>
  <c r="F124" i="67" l="1"/>
  <c r="D124" i="67" s="1"/>
  <c r="O124" i="67"/>
  <c r="P124" i="67" s="1"/>
  <c r="C124" i="67"/>
  <c r="R28" i="64" l="1"/>
  <c r="K125" i="67"/>
  <c r="N125" i="67"/>
  <c r="L125" i="67" s="1"/>
  <c r="G124" i="67"/>
  <c r="H124" i="67" s="1"/>
  <c r="V29" i="64" s="1"/>
  <c r="V28" i="64" l="1"/>
  <c r="V30" i="64"/>
  <c r="F125" i="67"/>
  <c r="D125" i="67" s="1"/>
  <c r="O125" i="67"/>
  <c r="P125" i="67" s="1"/>
  <c r="C125" i="67"/>
  <c r="V32" i="64" l="1"/>
  <c r="V31" i="64"/>
  <c r="K126" i="67"/>
  <c r="N126" i="67"/>
  <c r="L126" i="67" s="1"/>
  <c r="G125" i="67"/>
  <c r="H125" i="67" s="1"/>
  <c r="F126" i="67" l="1"/>
  <c r="D126" i="67" s="1"/>
  <c r="O126" i="67"/>
  <c r="P126" i="67" s="1"/>
  <c r="C126" i="67"/>
  <c r="K127" i="67" l="1"/>
  <c r="N127" i="67"/>
  <c r="L127" i="67" s="1"/>
  <c r="G126" i="67"/>
  <c r="H126" i="67" s="1"/>
  <c r="F127" i="67" l="1"/>
  <c r="D127" i="67" s="1"/>
  <c r="O127" i="67"/>
  <c r="P127" i="67" s="1"/>
  <c r="C127" i="67"/>
  <c r="K128" i="67" l="1"/>
  <c r="N128" i="67"/>
  <c r="L128" i="67" s="1"/>
  <c r="G127" i="67"/>
  <c r="H127" i="67" s="1"/>
  <c r="F128" i="67" l="1"/>
  <c r="D128" i="67" s="1"/>
  <c r="O128" i="67"/>
  <c r="P128" i="67" s="1"/>
  <c r="C128" i="67"/>
  <c r="K129" i="67" l="1"/>
  <c r="N129" i="67"/>
  <c r="L129" i="67" s="1"/>
  <c r="G128" i="67"/>
  <c r="H128" i="67" s="1"/>
  <c r="F129" i="67" l="1"/>
  <c r="D129" i="67" s="1"/>
  <c r="O129" i="67"/>
  <c r="P129" i="67" s="1"/>
  <c r="C129" i="67"/>
  <c r="K130" i="67" l="1"/>
  <c r="N130" i="67"/>
  <c r="L130" i="67" s="1"/>
  <c r="G129" i="67"/>
  <c r="H129" i="67" s="1"/>
  <c r="F130" i="67" l="1"/>
  <c r="D130" i="67" s="1"/>
  <c r="O130" i="67"/>
  <c r="P130" i="67" s="1"/>
  <c r="C130" i="67"/>
  <c r="K131" i="67" l="1"/>
  <c r="N131" i="67"/>
  <c r="L131" i="67" s="1"/>
  <c r="G130" i="67"/>
  <c r="H130" i="67" s="1"/>
  <c r="F131" i="67" l="1"/>
  <c r="D131" i="67" s="1"/>
  <c r="O131" i="67"/>
  <c r="P131" i="67" s="1"/>
  <c r="C131" i="67"/>
  <c r="K132" i="67" l="1"/>
  <c r="N132" i="67"/>
  <c r="L132" i="67" s="1"/>
  <c r="G131" i="67"/>
  <c r="H131" i="67" s="1"/>
  <c r="F132" i="67" l="1"/>
  <c r="D132" i="67" s="1"/>
  <c r="O132" i="67"/>
  <c r="P132" i="67" s="1"/>
  <c r="C132" i="67"/>
  <c r="K133" i="67" l="1"/>
  <c r="N133" i="67"/>
  <c r="L133" i="67" s="1"/>
  <c r="G132" i="67"/>
  <c r="H132" i="67" s="1"/>
  <c r="F133" i="67" l="1"/>
  <c r="D133" i="67" s="1"/>
  <c r="O133" i="67"/>
  <c r="P133" i="67" s="1"/>
  <c r="C133" i="67"/>
  <c r="K134" i="67" l="1"/>
  <c r="N134" i="67"/>
  <c r="L134" i="67" s="1"/>
  <c r="G133" i="67"/>
  <c r="H133" i="67" s="1"/>
  <c r="F134" i="67" l="1"/>
  <c r="D134" i="67" s="1"/>
  <c r="O134" i="67"/>
  <c r="P134" i="67" s="1"/>
  <c r="C134" i="67"/>
  <c r="K135" i="67" l="1"/>
  <c r="N135" i="67"/>
  <c r="L135" i="67" s="1"/>
  <c r="G134" i="67"/>
  <c r="H134" i="67" s="1"/>
  <c r="F135" i="67" l="1"/>
  <c r="D135" i="67" s="1"/>
  <c r="O135" i="67"/>
  <c r="P135" i="67" s="1"/>
  <c r="C135" i="67"/>
  <c r="K136" i="67" l="1"/>
  <c r="N136" i="67"/>
  <c r="L136" i="67" s="1"/>
  <c r="G135" i="67"/>
  <c r="H135" i="67" s="1"/>
  <c r="F136" i="67" l="1"/>
  <c r="D136" i="67" s="1"/>
  <c r="O136" i="67"/>
  <c r="P136" i="67" s="1"/>
  <c r="C136" i="67"/>
  <c r="K137" i="67" l="1"/>
  <c r="N137" i="67"/>
  <c r="L137" i="67" s="1"/>
  <c r="G136" i="67"/>
  <c r="H136" i="67" s="1"/>
  <c r="W29" i="64" s="1"/>
  <c r="W28" i="64" l="1"/>
  <c r="W30" i="64"/>
  <c r="F137" i="67"/>
  <c r="D137" i="67" s="1"/>
  <c r="O137" i="67"/>
  <c r="P137" i="67" s="1"/>
  <c r="C137" i="67"/>
  <c r="W32" i="64" l="1"/>
  <c r="W31" i="64"/>
  <c r="K138" i="67"/>
  <c r="N138" i="67"/>
  <c r="L138" i="67" s="1"/>
  <c r="G137" i="67"/>
  <c r="H137" i="67" s="1"/>
  <c r="F138" i="67" l="1"/>
  <c r="D138" i="67" s="1"/>
  <c r="O138" i="67"/>
  <c r="P138" i="67" s="1"/>
  <c r="C138" i="67"/>
  <c r="K139" i="67" l="1"/>
  <c r="N139" i="67"/>
  <c r="L139" i="67" s="1"/>
  <c r="G138" i="67"/>
  <c r="H138" i="67" s="1"/>
  <c r="F139" i="67" l="1"/>
  <c r="D139" i="67" s="1"/>
  <c r="O139" i="67"/>
  <c r="P139" i="67" s="1"/>
  <c r="C139" i="67"/>
  <c r="K140" i="67" l="1"/>
  <c r="N140" i="67"/>
  <c r="L140" i="67" s="1"/>
  <c r="G139" i="67"/>
  <c r="H139" i="67" s="1"/>
  <c r="F140" i="67" l="1"/>
  <c r="D140" i="67" s="1"/>
  <c r="O140" i="67"/>
  <c r="P140" i="67" s="1"/>
  <c r="C140" i="67"/>
  <c r="K141" i="67" l="1"/>
  <c r="N141" i="67"/>
  <c r="L141" i="67" s="1"/>
  <c r="G140" i="67"/>
  <c r="H140" i="67" s="1"/>
  <c r="F141" i="67" l="1"/>
  <c r="D141" i="67" s="1"/>
  <c r="O141" i="67"/>
  <c r="P141" i="67" s="1"/>
  <c r="C141" i="67"/>
  <c r="K142" i="67" l="1"/>
  <c r="N142" i="67"/>
  <c r="L142" i="67" s="1"/>
  <c r="G141" i="67"/>
  <c r="H141" i="67" s="1"/>
  <c r="F142" i="67" l="1"/>
  <c r="D142" i="67" s="1"/>
  <c r="O142" i="67"/>
  <c r="P142" i="67" s="1"/>
  <c r="C142" i="67"/>
  <c r="K143" i="67" l="1"/>
  <c r="N143" i="67"/>
  <c r="L143" i="67" s="1"/>
  <c r="G142" i="67"/>
  <c r="H142" i="67" s="1"/>
  <c r="F143" i="67" l="1"/>
  <c r="D143" i="67" s="1"/>
  <c r="O143" i="67"/>
  <c r="P143" i="67" s="1"/>
  <c r="C143" i="67"/>
  <c r="K144" i="67" l="1"/>
  <c r="N144" i="67"/>
  <c r="L144" i="67" s="1"/>
  <c r="G143" i="67"/>
  <c r="H143" i="67" s="1"/>
  <c r="F144" i="67" l="1"/>
  <c r="D144" i="67" s="1"/>
  <c r="O144" i="67"/>
  <c r="P144" i="67" s="1"/>
  <c r="C144" i="67"/>
  <c r="K145" i="67" l="1"/>
  <c r="N145" i="67"/>
  <c r="L145" i="67" s="1"/>
  <c r="G144" i="67"/>
  <c r="H144" i="67" s="1"/>
  <c r="F145" i="67" l="1"/>
  <c r="D145" i="67" s="1"/>
  <c r="O145" i="67"/>
  <c r="P145" i="67" s="1"/>
  <c r="C145" i="67"/>
  <c r="K146" i="67" l="1"/>
  <c r="N146" i="67"/>
  <c r="L146" i="67" s="1"/>
  <c r="G145" i="67"/>
  <c r="H145" i="67" s="1"/>
  <c r="F146" i="67" l="1"/>
  <c r="D146" i="67" s="1"/>
  <c r="O146" i="67"/>
  <c r="P146" i="67" s="1"/>
  <c r="C146" i="67"/>
  <c r="K147" i="67" l="1"/>
  <c r="N147" i="67"/>
  <c r="L147" i="67" s="1"/>
  <c r="G146" i="67"/>
  <c r="H146" i="67" s="1"/>
  <c r="F147" i="67" l="1"/>
  <c r="D147" i="67" s="1"/>
  <c r="O147" i="67"/>
  <c r="P147" i="67" s="1"/>
  <c r="C147" i="67"/>
  <c r="K148" i="67" l="1"/>
  <c r="N148" i="67"/>
  <c r="L148" i="67" s="1"/>
  <c r="G147" i="67"/>
  <c r="H147" i="67" s="1"/>
  <c r="F148" i="67" l="1"/>
  <c r="D148" i="67" s="1"/>
  <c r="O148" i="67"/>
  <c r="P148" i="67" s="1"/>
  <c r="C148" i="67"/>
  <c r="X29" i="64" l="1"/>
  <c r="X30" i="64" s="1"/>
  <c r="K149" i="67"/>
  <c r="N149" i="67"/>
  <c r="L149" i="67" s="1"/>
  <c r="G148" i="67"/>
  <c r="H148" i="67" s="1"/>
  <c r="X28" i="64" l="1"/>
  <c r="X32" i="64"/>
  <c r="X31" i="64"/>
  <c r="F149" i="67"/>
  <c r="D149" i="67" s="1"/>
  <c r="O149" i="67"/>
  <c r="P149" i="67" s="1"/>
  <c r="C149" i="67"/>
  <c r="K150" i="67" l="1"/>
  <c r="N150" i="67"/>
  <c r="L150" i="67" s="1"/>
  <c r="G149" i="67"/>
  <c r="H149" i="67" s="1"/>
  <c r="F150" i="67" l="1"/>
  <c r="D150" i="67" s="1"/>
  <c r="O150" i="67"/>
  <c r="P150" i="67" s="1"/>
  <c r="C150" i="67"/>
  <c r="K151" i="67" l="1"/>
  <c r="N151" i="67"/>
  <c r="L151" i="67" s="1"/>
  <c r="G150" i="67"/>
  <c r="H150" i="67" s="1"/>
  <c r="F151" i="67" l="1"/>
  <c r="D151" i="67" s="1"/>
  <c r="O151" i="67"/>
  <c r="P151" i="67" s="1"/>
  <c r="C151" i="67"/>
  <c r="K152" i="67" l="1"/>
  <c r="N152" i="67"/>
  <c r="L152" i="67" s="1"/>
  <c r="G151" i="67"/>
  <c r="H151" i="67" s="1"/>
  <c r="F152" i="67" l="1"/>
  <c r="D152" i="67" s="1"/>
  <c r="O152" i="67"/>
  <c r="P152" i="67" s="1"/>
  <c r="C152" i="67"/>
  <c r="K153" i="67" l="1"/>
  <c r="N153" i="67"/>
  <c r="L153" i="67" s="1"/>
  <c r="G152" i="67"/>
  <c r="H152" i="67" s="1"/>
  <c r="F153" i="67" l="1"/>
  <c r="D153" i="67" s="1"/>
  <c r="O153" i="67"/>
  <c r="P153" i="67" s="1"/>
  <c r="C153" i="67"/>
  <c r="K154" i="67" l="1"/>
  <c r="N154" i="67"/>
  <c r="L154" i="67" s="1"/>
  <c r="G153" i="67"/>
  <c r="H153" i="67" s="1"/>
  <c r="F154" i="67" l="1"/>
  <c r="D154" i="67" s="1"/>
  <c r="O154" i="67"/>
  <c r="P154" i="67" s="1"/>
  <c r="C154" i="67"/>
  <c r="K155" i="67" l="1"/>
  <c r="N155" i="67"/>
  <c r="L155" i="67" s="1"/>
  <c r="G154" i="67"/>
  <c r="H154" i="67" s="1"/>
  <c r="F155" i="67" l="1"/>
  <c r="D155" i="67" s="1"/>
  <c r="O155" i="67"/>
  <c r="P155" i="67" s="1"/>
  <c r="C155" i="67"/>
  <c r="K156" i="67" l="1"/>
  <c r="N156" i="67"/>
  <c r="L156" i="67" s="1"/>
  <c r="G155" i="67"/>
  <c r="H155" i="67" s="1"/>
  <c r="F156" i="67" l="1"/>
  <c r="D156" i="67" s="1"/>
  <c r="O156" i="67"/>
  <c r="P156" i="67" s="1"/>
  <c r="C156" i="67"/>
  <c r="K157" i="67" l="1"/>
  <c r="N157" i="67"/>
  <c r="L157" i="67" s="1"/>
  <c r="G156" i="67"/>
  <c r="H156" i="67" s="1"/>
  <c r="F157" i="67" l="1"/>
  <c r="D157" i="67" s="1"/>
  <c r="O157" i="67"/>
  <c r="P157" i="67" s="1"/>
  <c r="C157" i="67"/>
  <c r="K158" i="67" l="1"/>
  <c r="N158" i="67"/>
  <c r="L158" i="67" s="1"/>
  <c r="G157" i="67"/>
  <c r="H157" i="67" s="1"/>
  <c r="F158" i="67" l="1"/>
  <c r="D158" i="67" s="1"/>
  <c r="O158" i="67"/>
  <c r="P158" i="67" s="1"/>
  <c r="C158" i="67"/>
  <c r="K159" i="67" l="1"/>
  <c r="N159" i="67"/>
  <c r="L159" i="67" s="1"/>
  <c r="G158" i="67"/>
  <c r="H158" i="67" s="1"/>
  <c r="F159" i="67" l="1"/>
  <c r="D159" i="67" s="1"/>
  <c r="O159" i="67"/>
  <c r="P159" i="67" s="1"/>
  <c r="C159" i="67"/>
  <c r="K160" i="67" l="1"/>
  <c r="N160" i="67"/>
  <c r="L160" i="67" s="1"/>
  <c r="G159" i="67"/>
  <c r="H159" i="67" s="1"/>
  <c r="F160" i="67" l="1"/>
  <c r="D160" i="67" s="1"/>
  <c r="O160" i="67"/>
  <c r="P160" i="67" s="1"/>
  <c r="C160" i="67"/>
  <c r="Y29" i="64" l="1"/>
  <c r="Y28" i="64" s="1"/>
  <c r="K161" i="67"/>
  <c r="N161" i="67"/>
  <c r="L161" i="67" s="1"/>
  <c r="G160" i="67"/>
  <c r="H160" i="67" s="1"/>
  <c r="Y30" i="64" l="1"/>
  <c r="Y32" i="64" s="1"/>
  <c r="F161" i="67"/>
  <c r="D161" i="67" s="1"/>
  <c r="O161" i="67"/>
  <c r="P161" i="67" s="1"/>
  <c r="C161" i="67"/>
  <c r="Y31" i="64" l="1"/>
  <c r="K162" i="67"/>
  <c r="N162" i="67"/>
  <c r="L162" i="67" s="1"/>
  <c r="G161" i="67"/>
  <c r="H161" i="67" s="1"/>
  <c r="F162" i="67" l="1"/>
  <c r="D162" i="67" s="1"/>
  <c r="O162" i="67"/>
  <c r="P162" i="67" s="1"/>
  <c r="C162" i="67"/>
  <c r="K163" i="67" l="1"/>
  <c r="N163" i="67"/>
  <c r="L163" i="67" s="1"/>
  <c r="G162" i="67"/>
  <c r="H162" i="67" s="1"/>
  <c r="F163" i="67" l="1"/>
  <c r="D163" i="67" s="1"/>
  <c r="O163" i="67"/>
  <c r="P163" i="67" s="1"/>
  <c r="C163" i="67"/>
  <c r="K164" i="67" l="1"/>
  <c r="N164" i="67"/>
  <c r="L164" i="67" s="1"/>
  <c r="G163" i="67"/>
  <c r="H163" i="67" s="1"/>
  <c r="F164" i="67" l="1"/>
  <c r="D164" i="67" s="1"/>
  <c r="O164" i="67"/>
  <c r="P164" i="67" s="1"/>
  <c r="C164" i="67"/>
  <c r="K165" i="67" l="1"/>
  <c r="N165" i="67"/>
  <c r="L165" i="67" s="1"/>
  <c r="G164" i="67"/>
  <c r="H164" i="67" s="1"/>
  <c r="F165" i="67" l="1"/>
  <c r="D165" i="67" s="1"/>
  <c r="O165" i="67"/>
  <c r="P165" i="67" s="1"/>
  <c r="C165" i="67"/>
  <c r="K166" i="67" l="1"/>
  <c r="N166" i="67"/>
  <c r="L166" i="67" s="1"/>
  <c r="G165" i="67"/>
  <c r="H165" i="67" s="1"/>
  <c r="F166" i="67" l="1"/>
  <c r="D166" i="67" s="1"/>
  <c r="O166" i="67"/>
  <c r="P166" i="67" s="1"/>
  <c r="C166" i="67"/>
  <c r="K167" i="67" l="1"/>
  <c r="N167" i="67"/>
  <c r="L167" i="67" s="1"/>
  <c r="G166" i="67"/>
  <c r="H166" i="67" s="1"/>
  <c r="F167" i="67" l="1"/>
  <c r="D167" i="67" s="1"/>
  <c r="O167" i="67"/>
  <c r="P167" i="67" s="1"/>
  <c r="C167" i="67"/>
  <c r="K168" i="67" l="1"/>
  <c r="N168" i="67"/>
  <c r="L168" i="67" s="1"/>
  <c r="G167" i="67"/>
  <c r="H167" i="67" s="1"/>
  <c r="F168" i="67" l="1"/>
  <c r="D168" i="67" s="1"/>
  <c r="O168" i="67"/>
  <c r="P168" i="67" s="1"/>
  <c r="C168" i="67"/>
  <c r="K169" i="67" l="1"/>
  <c r="N169" i="67"/>
  <c r="L169" i="67" s="1"/>
  <c r="G168" i="67"/>
  <c r="H168" i="67" s="1"/>
  <c r="F169" i="67" l="1"/>
  <c r="D169" i="67" s="1"/>
  <c r="O169" i="67"/>
  <c r="P169" i="67" s="1"/>
  <c r="C169" i="67"/>
  <c r="K170" i="67" l="1"/>
  <c r="N170" i="67"/>
  <c r="L170" i="67" s="1"/>
  <c r="G169" i="67"/>
  <c r="H169" i="67" s="1"/>
  <c r="F170" i="67" l="1"/>
  <c r="D170" i="67" s="1"/>
  <c r="O170" i="67"/>
  <c r="P170" i="67" s="1"/>
  <c r="C170" i="67"/>
  <c r="K171" i="67" l="1"/>
  <c r="N171" i="67"/>
  <c r="L171" i="67" s="1"/>
  <c r="G170" i="67"/>
  <c r="H170" i="67" s="1"/>
  <c r="F171" i="67" l="1"/>
  <c r="D171" i="67" s="1"/>
  <c r="O171" i="67"/>
  <c r="P171" i="67" s="1"/>
  <c r="C171" i="67"/>
  <c r="K172" i="67" l="1"/>
  <c r="N172" i="67"/>
  <c r="L172" i="67" s="1"/>
  <c r="G171" i="67"/>
  <c r="H171" i="67" s="1"/>
  <c r="F172" i="67" l="1"/>
  <c r="D172" i="67" s="1"/>
  <c r="O172" i="67"/>
  <c r="P172" i="67" s="1"/>
  <c r="C172" i="67"/>
  <c r="Z29" i="64" l="1"/>
  <c r="Z28" i="64" s="1"/>
  <c r="K173" i="67"/>
  <c r="N173" i="67"/>
  <c r="L173" i="67" s="1"/>
  <c r="G172" i="67"/>
  <c r="H172" i="67" s="1"/>
  <c r="Z30" i="64" l="1"/>
  <c r="Z32" i="64" s="1"/>
  <c r="F173" i="67"/>
  <c r="D173" i="67" s="1"/>
  <c r="O173" i="67"/>
  <c r="P173" i="67" s="1"/>
  <c r="C173" i="67"/>
  <c r="Z31" i="64" l="1"/>
  <c r="K174" i="67"/>
  <c r="N174" i="67"/>
  <c r="L174" i="67" s="1"/>
  <c r="G173" i="67"/>
  <c r="H173" i="67" s="1"/>
  <c r="F174" i="67" l="1"/>
  <c r="D174" i="67" s="1"/>
  <c r="O174" i="67"/>
  <c r="P174" i="67" s="1"/>
  <c r="C174" i="67"/>
  <c r="K175" i="67" l="1"/>
  <c r="N175" i="67"/>
  <c r="L175" i="67" s="1"/>
  <c r="G174" i="67"/>
  <c r="H174" i="67" s="1"/>
  <c r="F175" i="67" l="1"/>
  <c r="D175" i="67" s="1"/>
  <c r="O175" i="67"/>
  <c r="P175" i="67" s="1"/>
  <c r="C175" i="67"/>
  <c r="K176" i="67" l="1"/>
  <c r="N176" i="67"/>
  <c r="L176" i="67" s="1"/>
  <c r="G175" i="67"/>
  <c r="H175" i="67" s="1"/>
  <c r="F176" i="67" l="1"/>
  <c r="D176" i="67" s="1"/>
  <c r="O176" i="67"/>
  <c r="P176" i="67" s="1"/>
  <c r="C176" i="67"/>
  <c r="K177" i="67" l="1"/>
  <c r="N177" i="67"/>
  <c r="L177" i="67" s="1"/>
  <c r="G176" i="67"/>
  <c r="H176" i="67" s="1"/>
  <c r="F177" i="67" l="1"/>
  <c r="D177" i="67" s="1"/>
  <c r="O177" i="67"/>
  <c r="P177" i="67" s="1"/>
  <c r="C177" i="67"/>
  <c r="K178" i="67" l="1"/>
  <c r="N178" i="67"/>
  <c r="L178" i="67" s="1"/>
  <c r="G177" i="67"/>
  <c r="H177" i="67" s="1"/>
  <c r="F178" i="67" l="1"/>
  <c r="D178" i="67" s="1"/>
  <c r="O178" i="67"/>
  <c r="P178" i="67" s="1"/>
  <c r="C178" i="67"/>
  <c r="K179" i="67" l="1"/>
  <c r="N179" i="67"/>
  <c r="L179" i="67" s="1"/>
  <c r="G178" i="67"/>
  <c r="H178" i="67" s="1"/>
  <c r="F179" i="67" l="1"/>
  <c r="D179" i="67" s="1"/>
  <c r="O179" i="67"/>
  <c r="P179" i="67" s="1"/>
  <c r="C179" i="67"/>
  <c r="K180" i="67" l="1"/>
  <c r="N180" i="67"/>
  <c r="L180" i="67" s="1"/>
  <c r="G179" i="67"/>
  <c r="H179" i="67" s="1"/>
  <c r="F180" i="67" l="1"/>
  <c r="D180" i="67" s="1"/>
  <c r="O180" i="67"/>
  <c r="P180" i="67" s="1"/>
  <c r="C180" i="67"/>
  <c r="K181" i="67" l="1"/>
  <c r="N181" i="67"/>
  <c r="L181" i="67" s="1"/>
  <c r="G180" i="67"/>
  <c r="H180" i="67" s="1"/>
  <c r="F181" i="67" l="1"/>
  <c r="D181" i="67" s="1"/>
  <c r="O181" i="67"/>
  <c r="P181" i="67" s="1"/>
  <c r="C181" i="67"/>
  <c r="K182" i="67" l="1"/>
  <c r="N182" i="67"/>
  <c r="L182" i="67" s="1"/>
  <c r="G181" i="67"/>
  <c r="H181" i="67" s="1"/>
  <c r="F182" i="67" l="1"/>
  <c r="D182" i="67" s="1"/>
  <c r="O182" i="67"/>
  <c r="P182" i="67" s="1"/>
  <c r="C182" i="67"/>
  <c r="K183" i="67" l="1"/>
  <c r="N183" i="67"/>
  <c r="L183" i="67" s="1"/>
  <c r="G182" i="67"/>
  <c r="H182" i="67" s="1"/>
  <c r="F183" i="67" l="1"/>
  <c r="D183" i="67" s="1"/>
  <c r="O183" i="67"/>
  <c r="P183" i="67" s="1"/>
  <c r="C183" i="67"/>
  <c r="K184" i="67" l="1"/>
  <c r="N184" i="67"/>
  <c r="L184" i="67" s="1"/>
  <c r="G183" i="67"/>
  <c r="H183" i="67" s="1"/>
  <c r="F184" i="67" l="1"/>
  <c r="D184" i="67" s="1"/>
  <c r="O184" i="67"/>
  <c r="P184" i="67" s="1"/>
  <c r="C184" i="67"/>
  <c r="AA29" i="64" l="1"/>
  <c r="AA28" i="64" s="1"/>
  <c r="K185" i="67"/>
  <c r="N185" i="67"/>
  <c r="L185" i="67" s="1"/>
  <c r="G184" i="67"/>
  <c r="H184" i="67" s="1"/>
  <c r="AA30" i="64" l="1"/>
  <c r="AA31" i="64" s="1"/>
  <c r="F185" i="67"/>
  <c r="D185" i="67" s="1"/>
  <c r="O185" i="67"/>
  <c r="P185" i="67" s="1"/>
  <c r="C185" i="67"/>
  <c r="AA32" i="64" l="1"/>
  <c r="K186" i="67"/>
  <c r="N186" i="67"/>
  <c r="L186" i="67" s="1"/>
  <c r="G185" i="67"/>
  <c r="H185" i="67" s="1"/>
  <c r="F186" i="67" l="1"/>
  <c r="D186" i="67" s="1"/>
  <c r="O186" i="67"/>
  <c r="P186" i="67" s="1"/>
  <c r="C186" i="67"/>
  <c r="K187" i="67" l="1"/>
  <c r="N187" i="67"/>
  <c r="L187" i="67" s="1"/>
  <c r="G186" i="67"/>
  <c r="H186" i="67" s="1"/>
  <c r="F187" i="67" l="1"/>
  <c r="D187" i="67" s="1"/>
  <c r="O187" i="67"/>
  <c r="P187" i="67" s="1"/>
  <c r="C187" i="67"/>
  <c r="K188" i="67" l="1"/>
  <c r="N188" i="67"/>
  <c r="L188" i="67" s="1"/>
  <c r="G187" i="67"/>
  <c r="H187" i="67" s="1"/>
  <c r="F188" i="67" l="1"/>
  <c r="D188" i="67" s="1"/>
  <c r="O188" i="67"/>
  <c r="P188" i="67" s="1"/>
  <c r="C188" i="67"/>
  <c r="K189" i="67" l="1"/>
  <c r="N189" i="67"/>
  <c r="L189" i="67" s="1"/>
  <c r="G188" i="67"/>
  <c r="H188" i="67" s="1"/>
  <c r="F189" i="67" l="1"/>
  <c r="D189" i="67" s="1"/>
  <c r="O189" i="67"/>
  <c r="P189" i="67" s="1"/>
  <c r="C189" i="67"/>
  <c r="K190" i="67" l="1"/>
  <c r="N190" i="67"/>
  <c r="L190" i="67" s="1"/>
  <c r="G189" i="67"/>
  <c r="H189" i="67" s="1"/>
  <c r="F190" i="67" l="1"/>
  <c r="D190" i="67" s="1"/>
  <c r="O190" i="67"/>
  <c r="P190" i="67" s="1"/>
  <c r="C190" i="67"/>
  <c r="K191" i="67" l="1"/>
  <c r="N191" i="67"/>
  <c r="L191" i="67" s="1"/>
  <c r="G190" i="67"/>
  <c r="H190" i="67" s="1"/>
  <c r="F191" i="67" l="1"/>
  <c r="D191" i="67" s="1"/>
  <c r="O191" i="67"/>
  <c r="P191" i="67" s="1"/>
  <c r="C191" i="67"/>
  <c r="K192" i="67" l="1"/>
  <c r="N192" i="67"/>
  <c r="L192" i="67" s="1"/>
  <c r="G191" i="67"/>
  <c r="H191" i="67" s="1"/>
  <c r="F192" i="67" l="1"/>
  <c r="D192" i="67" s="1"/>
  <c r="O192" i="67"/>
  <c r="P192" i="67" s="1"/>
  <c r="C192" i="67"/>
  <c r="K193" i="67" l="1"/>
  <c r="N193" i="67"/>
  <c r="L193" i="67" s="1"/>
  <c r="G192" i="67"/>
  <c r="H192" i="67" s="1"/>
  <c r="F193" i="67" l="1"/>
  <c r="D193" i="67" s="1"/>
  <c r="O193" i="67"/>
  <c r="P193" i="67" s="1"/>
  <c r="C193" i="67"/>
  <c r="K194" i="67" l="1"/>
  <c r="N194" i="67"/>
  <c r="L194" i="67" s="1"/>
  <c r="G193" i="67"/>
  <c r="H193" i="67" s="1"/>
  <c r="F194" i="67" l="1"/>
  <c r="D194" i="67" s="1"/>
  <c r="O194" i="67"/>
  <c r="P194" i="67" s="1"/>
  <c r="C194" i="67"/>
  <c r="K195" i="67" l="1"/>
  <c r="N195" i="67"/>
  <c r="L195" i="67" s="1"/>
  <c r="G194" i="67"/>
  <c r="H194" i="67" s="1"/>
  <c r="F195" i="67" l="1"/>
  <c r="D195" i="67" s="1"/>
  <c r="O195" i="67"/>
  <c r="P195" i="67" s="1"/>
  <c r="C195" i="67"/>
  <c r="K196" i="67" l="1"/>
  <c r="N196" i="67"/>
  <c r="L196" i="67" s="1"/>
  <c r="G195" i="67"/>
  <c r="H195" i="67" s="1"/>
  <c r="F196" i="67" l="1"/>
  <c r="D196" i="67" s="1"/>
  <c r="O196" i="67"/>
  <c r="P196" i="67" s="1"/>
  <c r="C196" i="67"/>
  <c r="AB29" i="64" l="1"/>
  <c r="AB28" i="64" s="1"/>
  <c r="K197" i="67"/>
  <c r="N197" i="67"/>
  <c r="L197" i="67" s="1"/>
  <c r="G196" i="67"/>
  <c r="H196" i="67" s="1"/>
  <c r="AB30" i="64" l="1"/>
  <c r="AB32" i="64" s="1"/>
  <c r="F197" i="67"/>
  <c r="D197" i="67" s="1"/>
  <c r="O197" i="67"/>
  <c r="P197" i="67" s="1"/>
  <c r="C197" i="67"/>
  <c r="AB31" i="64" l="1"/>
  <c r="K198" i="67"/>
  <c r="N198" i="67"/>
  <c r="L198" i="67" s="1"/>
  <c r="G197" i="67"/>
  <c r="H197" i="67" s="1"/>
  <c r="F198" i="67" l="1"/>
  <c r="D198" i="67" s="1"/>
  <c r="O198" i="67"/>
  <c r="P198" i="67" s="1"/>
  <c r="C198" i="67"/>
  <c r="K199" i="67" l="1"/>
  <c r="N199" i="67"/>
  <c r="L199" i="67" s="1"/>
  <c r="G198" i="67"/>
  <c r="H198" i="67" s="1"/>
  <c r="F199" i="67" l="1"/>
  <c r="D199" i="67" s="1"/>
  <c r="O199" i="67"/>
  <c r="P199" i="67" s="1"/>
  <c r="C199" i="67"/>
  <c r="K200" i="67" l="1"/>
  <c r="N200" i="67"/>
  <c r="L200" i="67" s="1"/>
  <c r="G199" i="67"/>
  <c r="H199" i="67" s="1"/>
  <c r="F200" i="67" l="1"/>
  <c r="D200" i="67" s="1"/>
  <c r="O200" i="67"/>
  <c r="P200" i="67" s="1"/>
  <c r="C200" i="67"/>
  <c r="K201" i="67" l="1"/>
  <c r="N201" i="67"/>
  <c r="L201" i="67" s="1"/>
  <c r="G200" i="67"/>
  <c r="H200" i="67" s="1"/>
  <c r="F201" i="67" l="1"/>
  <c r="D201" i="67" s="1"/>
  <c r="O201" i="67"/>
  <c r="P201" i="67" s="1"/>
  <c r="C201" i="67"/>
  <c r="K202" i="67" l="1"/>
  <c r="N202" i="67"/>
  <c r="L202" i="67" s="1"/>
  <c r="G201" i="67"/>
  <c r="H201" i="67" s="1"/>
  <c r="F202" i="67" l="1"/>
  <c r="D202" i="67" s="1"/>
  <c r="O202" i="67"/>
  <c r="P202" i="67" s="1"/>
  <c r="C202" i="67"/>
  <c r="K203" i="67" l="1"/>
  <c r="N203" i="67"/>
  <c r="L203" i="67" s="1"/>
  <c r="G202" i="67"/>
  <c r="H202" i="67" s="1"/>
  <c r="F203" i="67" l="1"/>
  <c r="D203" i="67" s="1"/>
  <c r="O203" i="67"/>
  <c r="P203" i="67" s="1"/>
  <c r="C203" i="67"/>
  <c r="K204" i="67" l="1"/>
  <c r="N204" i="67"/>
  <c r="L204" i="67" s="1"/>
  <c r="G203" i="67"/>
  <c r="H203" i="67" s="1"/>
  <c r="F204" i="67" l="1"/>
  <c r="D204" i="67" s="1"/>
  <c r="O204" i="67"/>
  <c r="P204" i="67" s="1"/>
  <c r="C204" i="67"/>
  <c r="K205" i="67" l="1"/>
  <c r="N205" i="67"/>
  <c r="L205" i="67" s="1"/>
  <c r="G204" i="67"/>
  <c r="H204" i="67" s="1"/>
  <c r="F205" i="67" l="1"/>
  <c r="D205" i="67" s="1"/>
  <c r="O205" i="67"/>
  <c r="P205" i="67" s="1"/>
  <c r="C205" i="67"/>
  <c r="K206" i="67" l="1"/>
  <c r="N206" i="67"/>
  <c r="L206" i="67" s="1"/>
  <c r="G205" i="67"/>
  <c r="H205" i="67" s="1"/>
  <c r="F206" i="67" l="1"/>
  <c r="D206" i="67" s="1"/>
  <c r="O206" i="67"/>
  <c r="P206" i="67" s="1"/>
  <c r="C206" i="67"/>
  <c r="K207" i="67" l="1"/>
  <c r="N207" i="67"/>
  <c r="L207" i="67" s="1"/>
  <c r="G206" i="67"/>
  <c r="H206" i="67" s="1"/>
  <c r="F207" i="67" l="1"/>
  <c r="D207" i="67" s="1"/>
  <c r="O207" i="67"/>
  <c r="P207" i="67" s="1"/>
  <c r="C207" i="67"/>
  <c r="K208" i="67" l="1"/>
  <c r="N208" i="67"/>
  <c r="L208" i="67" s="1"/>
  <c r="G207" i="67"/>
  <c r="H207" i="67" s="1"/>
  <c r="F208" i="67" l="1"/>
  <c r="D208" i="67" s="1"/>
  <c r="O208" i="67"/>
  <c r="P208" i="67" s="1"/>
  <c r="C208" i="67"/>
  <c r="AC29" i="64" l="1"/>
  <c r="AC28" i="64" s="1"/>
  <c r="K209" i="67"/>
  <c r="N209" i="67"/>
  <c r="L209" i="67" s="1"/>
  <c r="G208" i="67"/>
  <c r="H208" i="67" s="1"/>
  <c r="AC30" i="64" l="1"/>
  <c r="AC32" i="64" s="1"/>
  <c r="F209" i="67"/>
  <c r="D209" i="67" s="1"/>
  <c r="O209" i="67"/>
  <c r="P209" i="67" s="1"/>
  <c r="C209" i="67"/>
  <c r="AC31" i="64" l="1"/>
  <c r="K210" i="67"/>
  <c r="N210" i="67"/>
  <c r="L210" i="67" s="1"/>
  <c r="G209" i="67"/>
  <c r="H209" i="67" s="1"/>
  <c r="F210" i="67" l="1"/>
  <c r="D210" i="67" s="1"/>
  <c r="O210" i="67"/>
  <c r="P210" i="67" s="1"/>
  <c r="C210" i="67"/>
  <c r="K211" i="67" l="1"/>
  <c r="N211" i="67"/>
  <c r="L211" i="67" s="1"/>
  <c r="G210" i="67"/>
  <c r="H210" i="67" s="1"/>
  <c r="F211" i="67" l="1"/>
  <c r="D211" i="67" s="1"/>
  <c r="O211" i="67"/>
  <c r="P211" i="67" s="1"/>
  <c r="C211" i="67"/>
  <c r="K212" i="67" l="1"/>
  <c r="N212" i="67"/>
  <c r="L212" i="67" s="1"/>
  <c r="G211" i="67"/>
  <c r="H211" i="67" s="1"/>
  <c r="F212" i="67" l="1"/>
  <c r="D212" i="67" s="1"/>
  <c r="O212" i="67"/>
  <c r="P212" i="67" s="1"/>
  <c r="C212" i="67"/>
  <c r="K213" i="67" l="1"/>
  <c r="N213" i="67"/>
  <c r="L213" i="67" s="1"/>
  <c r="G212" i="67"/>
  <c r="H212" i="67" s="1"/>
  <c r="F213" i="67" l="1"/>
  <c r="D213" i="67" s="1"/>
  <c r="O213" i="67"/>
  <c r="P213" i="67" s="1"/>
  <c r="C213" i="67"/>
  <c r="K214" i="67" l="1"/>
  <c r="N214" i="67"/>
  <c r="L214" i="67" s="1"/>
  <c r="G213" i="67"/>
  <c r="H213" i="67" s="1"/>
  <c r="F214" i="67" l="1"/>
  <c r="D214" i="67" s="1"/>
  <c r="O214" i="67"/>
  <c r="P214" i="67" s="1"/>
  <c r="C214" i="67"/>
  <c r="K215" i="67" l="1"/>
  <c r="N215" i="67"/>
  <c r="L215" i="67" s="1"/>
  <c r="G214" i="67"/>
  <c r="H214" i="67" s="1"/>
  <c r="F215" i="67" l="1"/>
  <c r="D215" i="67" s="1"/>
  <c r="O215" i="67"/>
  <c r="P215" i="67" s="1"/>
  <c r="C215" i="67"/>
  <c r="K216" i="67" l="1"/>
  <c r="N216" i="67"/>
  <c r="L216" i="67" s="1"/>
  <c r="G215" i="67"/>
  <c r="H215" i="67" s="1"/>
  <c r="F216" i="67" l="1"/>
  <c r="D216" i="67" s="1"/>
  <c r="O216" i="67"/>
  <c r="P216" i="67" s="1"/>
  <c r="C216" i="67"/>
  <c r="K217" i="67" l="1"/>
  <c r="N217" i="67"/>
  <c r="L217" i="67" s="1"/>
  <c r="G216" i="67"/>
  <c r="H216" i="67" s="1"/>
  <c r="F217" i="67" l="1"/>
  <c r="D217" i="67" s="1"/>
  <c r="O217" i="67"/>
  <c r="P217" i="67" s="1"/>
  <c r="C217" i="67"/>
  <c r="K218" i="67" l="1"/>
  <c r="N218" i="67"/>
  <c r="L218" i="67" s="1"/>
  <c r="G217" i="67"/>
  <c r="H217" i="67" s="1"/>
  <c r="F218" i="67" l="1"/>
  <c r="D218" i="67" s="1"/>
  <c r="O218" i="67"/>
  <c r="P218" i="67" s="1"/>
  <c r="C218" i="67"/>
  <c r="K219" i="67" l="1"/>
  <c r="N219" i="67"/>
  <c r="L219" i="67" s="1"/>
  <c r="G218" i="67"/>
  <c r="H218" i="67" s="1"/>
  <c r="F219" i="67" l="1"/>
  <c r="D219" i="67" s="1"/>
  <c r="O219" i="67"/>
  <c r="P219" i="67" s="1"/>
  <c r="C219" i="67"/>
  <c r="K220" i="67" l="1"/>
  <c r="N220" i="67"/>
  <c r="L220" i="67" s="1"/>
  <c r="G219" i="67"/>
  <c r="H219" i="67" s="1"/>
  <c r="F220" i="67" l="1"/>
  <c r="D220" i="67" s="1"/>
  <c r="O220" i="67"/>
  <c r="P220" i="67" s="1"/>
  <c r="C220" i="67"/>
  <c r="AD29" i="64" l="1"/>
  <c r="AD28" i="64" s="1"/>
  <c r="K221" i="67"/>
  <c r="N221" i="67"/>
  <c r="L221" i="67" s="1"/>
  <c r="G220" i="67"/>
  <c r="H220" i="67" s="1"/>
  <c r="AD30" i="64" l="1"/>
  <c r="AD31" i="64" s="1"/>
  <c r="F221" i="67"/>
  <c r="D221" i="67" s="1"/>
  <c r="O221" i="67"/>
  <c r="P221" i="67" s="1"/>
  <c r="C221" i="67"/>
  <c r="AD32" i="64" l="1"/>
  <c r="K222" i="67"/>
  <c r="N222" i="67"/>
  <c r="L222" i="67" s="1"/>
  <c r="G221" i="67"/>
  <c r="H221" i="67" s="1"/>
  <c r="F222" i="67" l="1"/>
  <c r="D222" i="67" s="1"/>
  <c r="O222" i="67"/>
  <c r="P222" i="67" s="1"/>
  <c r="C222" i="67"/>
  <c r="K223" i="67" l="1"/>
  <c r="N223" i="67"/>
  <c r="L223" i="67" s="1"/>
  <c r="G222" i="67"/>
  <c r="H222" i="67" s="1"/>
  <c r="F223" i="67" l="1"/>
  <c r="D223" i="67" s="1"/>
  <c r="O223" i="67"/>
  <c r="P223" i="67" s="1"/>
  <c r="C223" i="67"/>
  <c r="K224" i="67" l="1"/>
  <c r="N224" i="67"/>
  <c r="L224" i="67" s="1"/>
  <c r="G223" i="67"/>
  <c r="H223" i="67" s="1"/>
  <c r="F224" i="67" l="1"/>
  <c r="D224" i="67" s="1"/>
  <c r="O224" i="67"/>
  <c r="P224" i="67" s="1"/>
  <c r="C224" i="67"/>
  <c r="K225" i="67" l="1"/>
  <c r="N225" i="67"/>
  <c r="L225" i="67" s="1"/>
  <c r="G224" i="67"/>
  <c r="H224" i="67" s="1"/>
  <c r="F225" i="67" l="1"/>
  <c r="D225" i="67" s="1"/>
  <c r="O225" i="67"/>
  <c r="P225" i="67" s="1"/>
  <c r="C225" i="67"/>
  <c r="K226" i="67" l="1"/>
  <c r="N226" i="67"/>
  <c r="L226" i="67" s="1"/>
  <c r="G225" i="67"/>
  <c r="H225" i="67" s="1"/>
  <c r="F226" i="67" l="1"/>
  <c r="D226" i="67" s="1"/>
  <c r="O226" i="67"/>
  <c r="P226" i="67" s="1"/>
  <c r="C226" i="67"/>
  <c r="K227" i="67" l="1"/>
  <c r="N227" i="67"/>
  <c r="L227" i="67" s="1"/>
  <c r="G226" i="67"/>
  <c r="H226" i="67" s="1"/>
  <c r="F227" i="67" l="1"/>
  <c r="D227" i="67" s="1"/>
  <c r="O227" i="67"/>
  <c r="P227" i="67" s="1"/>
  <c r="C227" i="67"/>
  <c r="K228" i="67" l="1"/>
  <c r="N228" i="67"/>
  <c r="L228" i="67" s="1"/>
  <c r="G227" i="67"/>
  <c r="H227" i="67" s="1"/>
  <c r="F228" i="67" l="1"/>
  <c r="D228" i="67" s="1"/>
  <c r="O228" i="67"/>
  <c r="P228" i="67" s="1"/>
  <c r="C228" i="67"/>
  <c r="K229" i="67" l="1"/>
  <c r="N229" i="67"/>
  <c r="L229" i="67" s="1"/>
  <c r="G228" i="67"/>
  <c r="H228" i="67" s="1"/>
  <c r="F229" i="67" l="1"/>
  <c r="D229" i="67" s="1"/>
  <c r="O229" i="67"/>
  <c r="P229" i="67" s="1"/>
  <c r="C229" i="67"/>
  <c r="K230" i="67" l="1"/>
  <c r="N230" i="67"/>
  <c r="L230" i="67" s="1"/>
  <c r="G229" i="67"/>
  <c r="H229" i="67" s="1"/>
  <c r="F230" i="67" l="1"/>
  <c r="D230" i="67" s="1"/>
  <c r="O230" i="67"/>
  <c r="P230" i="67" s="1"/>
  <c r="C230" i="67"/>
  <c r="K231" i="67" l="1"/>
  <c r="N231" i="67"/>
  <c r="L231" i="67" s="1"/>
  <c r="G230" i="67"/>
  <c r="H230" i="67" s="1"/>
  <c r="F231" i="67" l="1"/>
  <c r="D231" i="67" s="1"/>
  <c r="O231" i="67"/>
  <c r="P231" i="67" s="1"/>
  <c r="C231" i="67"/>
  <c r="K232" i="67" l="1"/>
  <c r="N232" i="67"/>
  <c r="L232" i="67" s="1"/>
  <c r="G231" i="67"/>
  <c r="H231" i="67" s="1"/>
  <c r="F232" i="67" l="1"/>
  <c r="D232" i="67" s="1"/>
  <c r="O232" i="67"/>
  <c r="P232" i="67" s="1"/>
  <c r="C232" i="67"/>
  <c r="AE29" i="64" l="1"/>
  <c r="AE28" i="64" s="1"/>
  <c r="K233" i="67"/>
  <c r="N233" i="67"/>
  <c r="L233" i="67" s="1"/>
  <c r="G232" i="67"/>
  <c r="H232" i="67" s="1"/>
  <c r="AE30" i="64" l="1"/>
  <c r="AE32" i="64" s="1"/>
  <c r="F233" i="67"/>
  <c r="D233" i="67" s="1"/>
  <c r="O233" i="67"/>
  <c r="P233" i="67" s="1"/>
  <c r="C233" i="67"/>
  <c r="AE31" i="64" l="1"/>
  <c r="K234" i="67"/>
  <c r="N234" i="67"/>
  <c r="L234" i="67" s="1"/>
  <c r="G233" i="67"/>
  <c r="H233" i="67" s="1"/>
  <c r="F234" i="67" l="1"/>
  <c r="D234" i="67" s="1"/>
  <c r="O234" i="67"/>
  <c r="P234" i="67" s="1"/>
  <c r="C234" i="67"/>
  <c r="K235" i="67" l="1"/>
  <c r="N235" i="67"/>
  <c r="L235" i="67" s="1"/>
  <c r="G234" i="67"/>
  <c r="H234" i="67" s="1"/>
  <c r="F235" i="67" l="1"/>
  <c r="D235" i="67" s="1"/>
  <c r="O235" i="67"/>
  <c r="P235" i="67" s="1"/>
  <c r="C235" i="67"/>
  <c r="K236" i="67" l="1"/>
  <c r="N236" i="67"/>
  <c r="L236" i="67" s="1"/>
  <c r="G235" i="67"/>
  <c r="H235" i="67" s="1"/>
  <c r="F236" i="67" l="1"/>
  <c r="D236" i="67" s="1"/>
  <c r="O236" i="67"/>
  <c r="P236" i="67" s="1"/>
  <c r="C236" i="67"/>
  <c r="K237" i="67" l="1"/>
  <c r="N237" i="67"/>
  <c r="L237" i="67" s="1"/>
  <c r="G236" i="67"/>
  <c r="H236" i="67" s="1"/>
  <c r="F237" i="67" l="1"/>
  <c r="D237" i="67" s="1"/>
  <c r="O237" i="67"/>
  <c r="P237" i="67" s="1"/>
  <c r="C237" i="67"/>
  <c r="K238" i="67" l="1"/>
  <c r="N238" i="67"/>
  <c r="L238" i="67" s="1"/>
  <c r="G237" i="67"/>
  <c r="H237" i="67" s="1"/>
  <c r="F238" i="67" l="1"/>
  <c r="D238" i="67" s="1"/>
  <c r="O238" i="67"/>
  <c r="P238" i="67" s="1"/>
  <c r="C238" i="67"/>
  <c r="K239" i="67" l="1"/>
  <c r="N239" i="67"/>
  <c r="L239" i="67" s="1"/>
  <c r="G238" i="67"/>
  <c r="H238" i="67" s="1"/>
  <c r="F239" i="67" l="1"/>
  <c r="D239" i="67" s="1"/>
  <c r="O239" i="67"/>
  <c r="P239" i="67" s="1"/>
  <c r="C239" i="67"/>
  <c r="K240" i="67" l="1"/>
  <c r="N240" i="67"/>
  <c r="L240" i="67" s="1"/>
  <c r="G239" i="67"/>
  <c r="H239" i="67" s="1"/>
  <c r="F240" i="67" l="1"/>
  <c r="D240" i="67" s="1"/>
  <c r="O240" i="67"/>
  <c r="P240" i="67" s="1"/>
  <c r="C240" i="67"/>
  <c r="K241" i="67" l="1"/>
  <c r="N241" i="67"/>
  <c r="L241" i="67" s="1"/>
  <c r="G240" i="67"/>
  <c r="H240" i="67" s="1"/>
  <c r="F241" i="67" l="1"/>
  <c r="D241" i="67" s="1"/>
  <c r="O241" i="67"/>
  <c r="P241" i="67" s="1"/>
  <c r="C241" i="67"/>
  <c r="K242" i="67" l="1"/>
  <c r="N242" i="67"/>
  <c r="L242" i="67" s="1"/>
  <c r="G241" i="67"/>
  <c r="H241" i="67" s="1"/>
  <c r="F242" i="67" l="1"/>
  <c r="D242" i="67" s="1"/>
  <c r="O242" i="67"/>
  <c r="P242" i="67" s="1"/>
  <c r="C242" i="67"/>
  <c r="K243" i="67" l="1"/>
  <c r="N243" i="67"/>
  <c r="L243" i="67" s="1"/>
  <c r="G242" i="67"/>
  <c r="H242" i="67" s="1"/>
  <c r="F243" i="67" l="1"/>
  <c r="D243" i="67" s="1"/>
  <c r="O243" i="67"/>
  <c r="P243" i="67" s="1"/>
  <c r="C243" i="67"/>
  <c r="K244" i="67" l="1"/>
  <c r="N244" i="67"/>
  <c r="L244" i="67" s="1"/>
  <c r="G243" i="67"/>
  <c r="H243" i="67" s="1"/>
  <c r="F244" i="67" l="1"/>
  <c r="D244" i="67" s="1"/>
  <c r="O244" i="67"/>
  <c r="P244" i="67" s="1"/>
  <c r="C244" i="67"/>
  <c r="AF29" i="64" l="1"/>
  <c r="AF28" i="64" s="1"/>
  <c r="S28" i="64"/>
  <c r="K245" i="67"/>
  <c r="N245" i="67"/>
  <c r="L245" i="67" s="1"/>
  <c r="G244" i="67"/>
  <c r="H244" i="67" s="1"/>
  <c r="AF30" i="64" l="1"/>
  <c r="AF32" i="64" s="1"/>
  <c r="F245" i="67"/>
  <c r="D245" i="67" s="1"/>
  <c r="O245" i="67"/>
  <c r="P245" i="67" s="1"/>
  <c r="C245" i="67"/>
  <c r="AF31" i="64" l="1"/>
  <c r="K246" i="67"/>
  <c r="N246" i="67"/>
  <c r="L246" i="67" s="1"/>
  <c r="G245" i="67"/>
  <c r="H245" i="67" s="1"/>
  <c r="F246" i="67" l="1"/>
  <c r="D246" i="67" s="1"/>
  <c r="O246" i="67"/>
  <c r="P246" i="67" s="1"/>
  <c r="C246" i="67"/>
  <c r="K247" i="67" l="1"/>
  <c r="N247" i="67"/>
  <c r="L247" i="67" s="1"/>
  <c r="G246" i="67"/>
  <c r="H246" i="67" s="1"/>
  <c r="F247" i="67" l="1"/>
  <c r="D247" i="67" s="1"/>
  <c r="O247" i="67"/>
  <c r="P247" i="67" s="1"/>
  <c r="C247" i="67"/>
  <c r="K248" i="67" l="1"/>
  <c r="N248" i="67"/>
  <c r="L248" i="67" s="1"/>
  <c r="G247" i="67"/>
  <c r="H247" i="67" s="1"/>
  <c r="F248" i="67" l="1"/>
  <c r="D248" i="67" s="1"/>
  <c r="O248" i="67"/>
  <c r="P248" i="67" s="1"/>
  <c r="C248" i="67"/>
  <c r="K249" i="67" l="1"/>
  <c r="N249" i="67"/>
  <c r="L249" i="67" s="1"/>
  <c r="G248" i="67"/>
  <c r="H248" i="67" s="1"/>
  <c r="F249" i="67" l="1"/>
  <c r="D249" i="67" s="1"/>
  <c r="O249" i="67"/>
  <c r="P249" i="67" s="1"/>
  <c r="C249" i="67"/>
  <c r="K250" i="67" l="1"/>
  <c r="N250" i="67"/>
  <c r="L250" i="67" s="1"/>
  <c r="G249" i="67"/>
  <c r="H249" i="67" s="1"/>
  <c r="F250" i="67" l="1"/>
  <c r="D250" i="67" s="1"/>
  <c r="O250" i="67"/>
  <c r="P250" i="67" s="1"/>
  <c r="C250" i="67"/>
  <c r="K251" i="67" l="1"/>
  <c r="N251" i="67"/>
  <c r="L251" i="67" s="1"/>
  <c r="G250" i="67"/>
  <c r="H250" i="67" s="1"/>
  <c r="F251" i="67" l="1"/>
  <c r="D251" i="67" s="1"/>
  <c r="O251" i="67"/>
  <c r="P251" i="67" s="1"/>
  <c r="C251" i="67"/>
  <c r="K252" i="67" l="1"/>
  <c r="N252" i="67"/>
  <c r="L252" i="67" s="1"/>
  <c r="G251" i="67"/>
  <c r="H251" i="67" s="1"/>
  <c r="F252" i="67" l="1"/>
  <c r="D252" i="67" s="1"/>
  <c r="O252" i="67"/>
  <c r="P252" i="67" s="1"/>
  <c r="C252" i="67"/>
  <c r="K253" i="67" l="1"/>
  <c r="N253" i="67"/>
  <c r="L253" i="67" s="1"/>
  <c r="G252" i="67"/>
  <c r="H252" i="67" s="1"/>
  <c r="F253" i="67" l="1"/>
  <c r="D253" i="67" s="1"/>
  <c r="O253" i="67"/>
  <c r="P253" i="67" s="1"/>
  <c r="C253" i="67"/>
  <c r="K254" i="67" l="1"/>
  <c r="N254" i="67"/>
  <c r="L254" i="67" s="1"/>
  <c r="G253" i="67"/>
  <c r="H253" i="67" s="1"/>
  <c r="F254" i="67" l="1"/>
  <c r="D254" i="67" s="1"/>
  <c r="O254" i="67"/>
  <c r="P254" i="67" s="1"/>
  <c r="C254" i="67"/>
  <c r="K255" i="67" l="1"/>
  <c r="N255" i="67"/>
  <c r="L255" i="67" s="1"/>
  <c r="G254" i="67"/>
  <c r="H254" i="67" s="1"/>
  <c r="F255" i="67" l="1"/>
  <c r="D255" i="67" s="1"/>
  <c r="O255" i="67"/>
  <c r="P255" i="67" s="1"/>
  <c r="C255" i="67"/>
  <c r="K256" i="67" l="1"/>
  <c r="N256" i="67"/>
  <c r="L256" i="67" s="1"/>
  <c r="G255" i="67"/>
  <c r="H255" i="67" s="1"/>
  <c r="F256" i="67" l="1"/>
  <c r="D256" i="67" s="1"/>
  <c r="O256" i="67"/>
  <c r="P256" i="67" s="1"/>
  <c r="C256" i="67"/>
  <c r="AG29" i="64" l="1"/>
  <c r="AG30" i="64" s="1"/>
  <c r="K257" i="67"/>
  <c r="N257" i="67"/>
  <c r="L257" i="67" s="1"/>
  <c r="G256" i="67"/>
  <c r="H256" i="67" s="1"/>
  <c r="AG28" i="64" l="1"/>
  <c r="AG32" i="64"/>
  <c r="AG31" i="64"/>
  <c r="F257" i="67"/>
  <c r="H8" i="67" s="1"/>
  <c r="H9" i="67" s="1"/>
  <c r="O257" i="67"/>
  <c r="P257" i="67" s="1"/>
  <c r="C257" i="67"/>
  <c r="D257" i="67" l="1"/>
  <c r="G257" i="67" s="1"/>
  <c r="K258" i="67"/>
  <c r="N258" i="67"/>
  <c r="L258" i="67" s="1"/>
  <c r="H257" i="67" l="1"/>
  <c r="H7" i="67"/>
  <c r="O258" i="67"/>
  <c r="P258" i="67" s="1"/>
  <c r="K259" i="67" l="1"/>
  <c r="N259" i="67"/>
  <c r="L259" i="67" s="1"/>
  <c r="O259" i="67" l="1"/>
  <c r="P259" i="67" s="1"/>
  <c r="K260" i="67" l="1"/>
  <c r="N260" i="67"/>
  <c r="L260" i="67" s="1"/>
  <c r="O260" i="67" l="1"/>
  <c r="P260" i="67" s="1"/>
  <c r="K261" i="67" l="1"/>
  <c r="N261" i="67"/>
  <c r="L261" i="67" s="1"/>
  <c r="O261" i="67" l="1"/>
  <c r="P261" i="67" s="1"/>
  <c r="K262" i="67" l="1"/>
  <c r="N262" i="67"/>
  <c r="L262" i="67" s="1"/>
  <c r="O262" i="67" l="1"/>
  <c r="P262" i="67" s="1"/>
  <c r="K263" i="67" l="1"/>
  <c r="N263" i="67"/>
  <c r="L263" i="67" s="1"/>
  <c r="O263" i="67" l="1"/>
  <c r="P263" i="67" s="1"/>
  <c r="K264" i="67" l="1"/>
  <c r="N264" i="67"/>
  <c r="L264" i="67" s="1"/>
  <c r="O264" i="67" l="1"/>
  <c r="P264" i="67" s="1"/>
  <c r="K265" i="67" l="1"/>
  <c r="N265" i="67"/>
  <c r="L265" i="67" s="1"/>
  <c r="O265" i="67" l="1"/>
  <c r="P265" i="67" s="1"/>
  <c r="K266" i="67" l="1"/>
  <c r="N266" i="67"/>
  <c r="L266" i="67" s="1"/>
  <c r="O266" i="67" l="1"/>
  <c r="P266" i="67" s="1"/>
  <c r="K267" i="67" l="1"/>
  <c r="N267" i="67"/>
  <c r="L267" i="67" s="1"/>
  <c r="O267" i="67" l="1"/>
  <c r="P267" i="67" s="1"/>
  <c r="K268" i="67" l="1"/>
  <c r="N268" i="67"/>
  <c r="L268" i="67" s="1"/>
  <c r="O268" i="67" l="1"/>
  <c r="P268" i="67" s="1"/>
  <c r="AH29" i="64" l="1"/>
  <c r="AH28" i="64" s="1"/>
  <c r="K269" i="67"/>
  <c r="N269" i="67"/>
  <c r="L269" i="67" s="1"/>
  <c r="AH30" i="64" l="1"/>
  <c r="AH32" i="64" s="1"/>
  <c r="O269" i="67"/>
  <c r="P269" i="67" s="1"/>
  <c r="AH31" i="64" l="1"/>
  <c r="K270" i="67"/>
  <c r="N270" i="67"/>
  <c r="L270" i="67" s="1"/>
  <c r="O270" i="67" l="1"/>
  <c r="P270" i="67" s="1"/>
  <c r="K271" i="67" l="1"/>
  <c r="N271" i="67"/>
  <c r="L271" i="67" s="1"/>
  <c r="O271" i="67" l="1"/>
  <c r="P271" i="67" s="1"/>
  <c r="K272" i="67" l="1"/>
  <c r="N272" i="67"/>
  <c r="L272" i="67" s="1"/>
  <c r="O272" i="67" l="1"/>
  <c r="P272" i="67" s="1"/>
  <c r="K273" i="67" l="1"/>
  <c r="N273" i="67"/>
  <c r="L273" i="67" s="1"/>
  <c r="O273" i="67" l="1"/>
  <c r="P273" i="67" s="1"/>
  <c r="K274" i="67" l="1"/>
  <c r="N274" i="67"/>
  <c r="L274" i="67" s="1"/>
  <c r="O274" i="67" l="1"/>
  <c r="P274" i="67" s="1"/>
  <c r="K275" i="67" l="1"/>
  <c r="N275" i="67"/>
  <c r="L275" i="67" s="1"/>
  <c r="O275" i="67" l="1"/>
  <c r="P275" i="67" s="1"/>
  <c r="K276" i="67" l="1"/>
  <c r="N276" i="67"/>
  <c r="L276" i="67" s="1"/>
  <c r="O276" i="67" l="1"/>
  <c r="P276" i="67" s="1"/>
  <c r="K277" i="67" l="1"/>
  <c r="N277" i="67"/>
  <c r="L277" i="67" s="1"/>
  <c r="O277" i="67" l="1"/>
  <c r="P277" i="67" s="1"/>
  <c r="K278" i="67" l="1"/>
  <c r="N278" i="67"/>
  <c r="L278" i="67" s="1"/>
  <c r="O278" i="67" l="1"/>
  <c r="P278" i="67" s="1"/>
  <c r="K279" i="67" l="1"/>
  <c r="N279" i="67"/>
  <c r="L279" i="67" s="1"/>
  <c r="O279" i="67" l="1"/>
  <c r="P279" i="67" s="1"/>
  <c r="K280" i="67" l="1"/>
  <c r="N280" i="67"/>
  <c r="L280" i="67" s="1"/>
  <c r="O280" i="67" l="1"/>
  <c r="P280" i="67" s="1"/>
  <c r="AI29" i="64" l="1"/>
  <c r="AI30" i="64" s="1"/>
  <c r="K281" i="67"/>
  <c r="N281" i="67"/>
  <c r="L281" i="67" s="1"/>
  <c r="AI28" i="64" l="1"/>
  <c r="AI32" i="64"/>
  <c r="AI31" i="64"/>
  <c r="O281" i="67"/>
  <c r="P281" i="67" s="1"/>
  <c r="K282" i="67" l="1"/>
  <c r="N282" i="67"/>
  <c r="L282" i="67" s="1"/>
  <c r="O282" i="67" l="1"/>
  <c r="P282" i="67" s="1"/>
  <c r="K283" i="67" l="1"/>
  <c r="N283" i="67"/>
  <c r="L283" i="67" s="1"/>
  <c r="O283" i="67" l="1"/>
  <c r="P283" i="67" s="1"/>
  <c r="K284" i="67" l="1"/>
  <c r="N284" i="67"/>
  <c r="L284" i="67" s="1"/>
  <c r="O284" i="67" l="1"/>
  <c r="P284" i="67" s="1"/>
  <c r="K285" i="67" l="1"/>
  <c r="N285" i="67"/>
  <c r="L285" i="67" s="1"/>
  <c r="O285" i="67" l="1"/>
  <c r="P285" i="67" s="1"/>
  <c r="K286" i="67" l="1"/>
  <c r="N286" i="67"/>
  <c r="L286" i="67" s="1"/>
  <c r="O286" i="67" l="1"/>
  <c r="P286" i="67" s="1"/>
  <c r="K287" i="67" l="1"/>
  <c r="N287" i="67"/>
  <c r="L287" i="67" s="1"/>
  <c r="O287" i="67" l="1"/>
  <c r="P287" i="67" s="1"/>
  <c r="K288" i="67" l="1"/>
  <c r="N288" i="67"/>
  <c r="L288" i="67" s="1"/>
  <c r="O288" i="67" l="1"/>
  <c r="P288" i="67" s="1"/>
  <c r="K289" i="67" l="1"/>
  <c r="N289" i="67"/>
  <c r="L289" i="67" s="1"/>
  <c r="O289" i="67" l="1"/>
  <c r="P289" i="67" s="1"/>
  <c r="K290" i="67" l="1"/>
  <c r="N290" i="67"/>
  <c r="L290" i="67" s="1"/>
  <c r="O290" i="67" l="1"/>
  <c r="P290" i="67" s="1"/>
  <c r="K291" i="67" l="1"/>
  <c r="N291" i="67"/>
  <c r="L291" i="67" s="1"/>
  <c r="O291" i="67" l="1"/>
  <c r="P291" i="67" s="1"/>
  <c r="K292" i="67" l="1"/>
  <c r="N292" i="67"/>
  <c r="L292" i="67" s="1"/>
  <c r="O292" i="67" l="1"/>
  <c r="P292" i="67" s="1"/>
  <c r="AJ29" i="64" l="1"/>
  <c r="AJ30" i="64" s="1"/>
  <c r="K293" i="67"/>
  <c r="N293" i="67"/>
  <c r="L293" i="67" s="1"/>
  <c r="AJ28" i="64" l="1"/>
  <c r="AJ32" i="64"/>
  <c r="AJ31" i="64"/>
  <c r="O293" i="67"/>
  <c r="P293" i="67" s="1"/>
  <c r="K294" i="67" l="1"/>
  <c r="N294" i="67"/>
  <c r="L294" i="67" s="1"/>
  <c r="O294" i="67" l="1"/>
  <c r="P294" i="67" s="1"/>
  <c r="K295" i="67" l="1"/>
  <c r="N295" i="67"/>
  <c r="L295" i="67" s="1"/>
  <c r="O295" i="67" l="1"/>
  <c r="P295" i="67" s="1"/>
  <c r="K296" i="67" l="1"/>
  <c r="N296" i="67"/>
  <c r="L296" i="67" s="1"/>
  <c r="O296" i="67" l="1"/>
  <c r="P296" i="67" s="1"/>
  <c r="K297" i="67" l="1"/>
  <c r="N297" i="67"/>
  <c r="L297" i="67" s="1"/>
  <c r="O297" i="67" l="1"/>
  <c r="P297" i="67" s="1"/>
  <c r="K298" i="67" l="1"/>
  <c r="N298" i="67"/>
  <c r="L298" i="67" s="1"/>
  <c r="O298" i="67" l="1"/>
  <c r="P298" i="67" s="1"/>
  <c r="K299" i="67" l="1"/>
  <c r="N299" i="67"/>
  <c r="L299" i="67" s="1"/>
  <c r="O299" i="67" l="1"/>
  <c r="P299" i="67" s="1"/>
  <c r="K300" i="67" l="1"/>
  <c r="N300" i="67"/>
  <c r="L300" i="67" s="1"/>
  <c r="O300" i="67" l="1"/>
  <c r="P300" i="67" s="1"/>
  <c r="K301" i="67" l="1"/>
  <c r="N301" i="67"/>
  <c r="L301" i="67" s="1"/>
  <c r="O301" i="67" l="1"/>
  <c r="P301" i="67" s="1"/>
  <c r="K302" i="67" l="1"/>
  <c r="N302" i="67"/>
  <c r="L302" i="67" s="1"/>
  <c r="O302" i="67" l="1"/>
  <c r="P302" i="67" s="1"/>
  <c r="K303" i="67" l="1"/>
  <c r="N303" i="67"/>
  <c r="L303" i="67" s="1"/>
  <c r="O303" i="67" l="1"/>
  <c r="P303" i="67" s="1"/>
  <c r="K304" i="67" l="1"/>
  <c r="N304" i="67"/>
  <c r="L304" i="67" s="1"/>
  <c r="O304" i="67" l="1"/>
  <c r="P304" i="67" s="1"/>
  <c r="AK29" i="64" l="1"/>
  <c r="AK30" i="64" s="1"/>
  <c r="K305" i="67"/>
  <c r="N305" i="67"/>
  <c r="L305" i="67" s="1"/>
  <c r="AK28" i="64" l="1"/>
  <c r="AK32" i="64"/>
  <c r="AK31" i="64"/>
  <c r="O305" i="67"/>
  <c r="P305" i="67" s="1"/>
  <c r="K306" i="67" l="1"/>
  <c r="N306" i="67"/>
  <c r="L306" i="67" s="1"/>
  <c r="O306" i="67" l="1"/>
  <c r="P306" i="67" s="1"/>
  <c r="K307" i="67" l="1"/>
  <c r="N307" i="67"/>
  <c r="L307" i="67" s="1"/>
  <c r="O307" i="67" l="1"/>
  <c r="P307" i="67" s="1"/>
  <c r="K308" i="67" l="1"/>
  <c r="N308" i="67"/>
  <c r="L308" i="67" s="1"/>
  <c r="O308" i="67" l="1"/>
  <c r="P308" i="67" s="1"/>
  <c r="K309" i="67" l="1"/>
  <c r="N309" i="67"/>
  <c r="L309" i="67" s="1"/>
  <c r="O309" i="67" l="1"/>
  <c r="P309" i="67" s="1"/>
  <c r="K310" i="67" l="1"/>
  <c r="N310" i="67"/>
  <c r="L310" i="67" s="1"/>
  <c r="O310" i="67" l="1"/>
  <c r="P310" i="67" s="1"/>
  <c r="K311" i="67" l="1"/>
  <c r="N311" i="67"/>
  <c r="L311" i="67" s="1"/>
  <c r="O311" i="67" l="1"/>
  <c r="P311" i="67" s="1"/>
  <c r="K312" i="67" l="1"/>
  <c r="N312" i="67"/>
  <c r="L312" i="67" s="1"/>
  <c r="O312" i="67" l="1"/>
  <c r="P312" i="67" s="1"/>
  <c r="K313" i="67" l="1"/>
  <c r="N313" i="67"/>
  <c r="L313" i="67" s="1"/>
  <c r="O313" i="67" l="1"/>
  <c r="P313" i="67" s="1"/>
  <c r="K314" i="67" l="1"/>
  <c r="N314" i="67"/>
  <c r="L314" i="67" s="1"/>
  <c r="O314" i="67" l="1"/>
  <c r="P314" i="67" s="1"/>
  <c r="K315" i="67" l="1"/>
  <c r="N315" i="67"/>
  <c r="L315" i="67" s="1"/>
  <c r="O315" i="67" l="1"/>
  <c r="P315" i="67" s="1"/>
  <c r="K316" i="67" l="1"/>
  <c r="N316" i="67"/>
  <c r="L316" i="67" s="1"/>
  <c r="O316" i="67" l="1"/>
  <c r="P316" i="67" s="1"/>
  <c r="AL29" i="64" l="1"/>
  <c r="AL28" i="64" s="1"/>
  <c r="K317" i="67"/>
  <c r="N317" i="67"/>
  <c r="L317" i="67" s="1"/>
  <c r="AL30" i="64" l="1"/>
  <c r="AL32" i="64" s="1"/>
  <c r="O317" i="67"/>
  <c r="P317" i="67" s="1"/>
  <c r="AL31" i="64" l="1"/>
  <c r="K318" i="67"/>
  <c r="N318" i="67"/>
  <c r="L318" i="67" s="1"/>
  <c r="O318" i="67" l="1"/>
  <c r="P318" i="67" s="1"/>
  <c r="K319" i="67" l="1"/>
  <c r="N319" i="67"/>
  <c r="L319" i="67" s="1"/>
  <c r="O319" i="67" l="1"/>
  <c r="P319" i="67" s="1"/>
  <c r="K320" i="67" l="1"/>
  <c r="N320" i="67"/>
  <c r="L320" i="67" s="1"/>
  <c r="O320" i="67" l="1"/>
  <c r="P320" i="67" s="1"/>
  <c r="K321" i="67" l="1"/>
  <c r="N321" i="67"/>
  <c r="L321" i="67" s="1"/>
  <c r="O321" i="67" l="1"/>
  <c r="P321" i="67" s="1"/>
  <c r="K322" i="67" l="1"/>
  <c r="N322" i="67"/>
  <c r="L322" i="67" s="1"/>
  <c r="O322" i="67" l="1"/>
  <c r="P322" i="67" s="1"/>
  <c r="K323" i="67" l="1"/>
  <c r="N323" i="67"/>
  <c r="L323" i="67" s="1"/>
  <c r="O323" i="67" l="1"/>
  <c r="P323" i="67" s="1"/>
  <c r="K324" i="67" l="1"/>
  <c r="N324" i="67"/>
  <c r="L324" i="67" s="1"/>
  <c r="O324" i="67" l="1"/>
  <c r="P324" i="67" s="1"/>
  <c r="K325" i="67" l="1"/>
  <c r="N325" i="67"/>
  <c r="L325" i="67" s="1"/>
  <c r="O325" i="67" l="1"/>
  <c r="P325" i="67" s="1"/>
  <c r="K326" i="67" l="1"/>
  <c r="N326" i="67"/>
  <c r="L326" i="67" s="1"/>
  <c r="O326" i="67" l="1"/>
  <c r="P326" i="67" s="1"/>
  <c r="K327" i="67" l="1"/>
  <c r="N327" i="67"/>
  <c r="L327" i="67" s="1"/>
  <c r="O327" i="67" l="1"/>
  <c r="P327" i="67" s="1"/>
  <c r="K328" i="67" l="1"/>
  <c r="N328" i="67"/>
  <c r="L328" i="67" s="1"/>
  <c r="O328" i="67" l="1"/>
  <c r="P328" i="67" s="1"/>
  <c r="AM29" i="64" l="1"/>
  <c r="AM28" i="64" s="1"/>
  <c r="K329" i="67"/>
  <c r="N329" i="67"/>
  <c r="L329" i="67" s="1"/>
  <c r="AM30" i="64" l="1"/>
  <c r="AM32" i="64" s="1"/>
  <c r="O329" i="67"/>
  <c r="P329" i="67" s="1"/>
  <c r="AM31" i="64" l="1"/>
  <c r="K330" i="67"/>
  <c r="N330" i="67"/>
  <c r="L330" i="67" s="1"/>
  <c r="O330" i="67" l="1"/>
  <c r="P330" i="67" s="1"/>
  <c r="K331" i="67" l="1"/>
  <c r="N331" i="67"/>
  <c r="L331" i="67" s="1"/>
  <c r="O331" i="67" l="1"/>
  <c r="P331" i="67" s="1"/>
  <c r="K332" i="67" l="1"/>
  <c r="N332" i="67"/>
  <c r="L332" i="67" s="1"/>
  <c r="O332" i="67" l="1"/>
  <c r="P332" i="67" s="1"/>
  <c r="K333" i="67" l="1"/>
  <c r="N333" i="67"/>
  <c r="L333" i="67" s="1"/>
  <c r="O333" i="67" l="1"/>
  <c r="P333" i="67" s="1"/>
  <c r="K334" i="67" l="1"/>
  <c r="N334" i="67"/>
  <c r="L334" i="67" s="1"/>
  <c r="O334" i="67" l="1"/>
  <c r="P334" i="67" s="1"/>
  <c r="K335" i="67" l="1"/>
  <c r="N335" i="67"/>
  <c r="L335" i="67" s="1"/>
  <c r="O335" i="67" l="1"/>
  <c r="P335" i="67" s="1"/>
  <c r="K336" i="67" l="1"/>
  <c r="N336" i="67"/>
  <c r="L336" i="67" s="1"/>
  <c r="O336" i="67" l="1"/>
  <c r="P336" i="67" s="1"/>
  <c r="K337" i="67" l="1"/>
  <c r="N337" i="67"/>
  <c r="L337" i="67" s="1"/>
  <c r="O337" i="67" l="1"/>
  <c r="P337" i="67" s="1"/>
  <c r="K338" i="67" l="1"/>
  <c r="N338" i="67"/>
  <c r="L338" i="67" s="1"/>
  <c r="O338" i="67" l="1"/>
  <c r="P338" i="67" s="1"/>
  <c r="K339" i="67" l="1"/>
  <c r="N339" i="67"/>
  <c r="L339" i="67" s="1"/>
  <c r="O339" i="67" l="1"/>
  <c r="P339" i="67" s="1"/>
  <c r="K340" i="67" l="1"/>
  <c r="N340" i="67"/>
  <c r="L340" i="67" s="1"/>
  <c r="O340" i="67" l="1"/>
  <c r="P340" i="67" s="1"/>
  <c r="AN29" i="64" l="1"/>
  <c r="AN28" i="64" s="1"/>
  <c r="K341" i="67"/>
  <c r="N341" i="67"/>
  <c r="L341" i="67" s="1"/>
  <c r="AN30" i="64" l="1"/>
  <c r="AN32" i="64" s="1"/>
  <c r="O341" i="67"/>
  <c r="P341" i="67" s="1"/>
  <c r="AN31" i="64" l="1"/>
  <c r="K342" i="67"/>
  <c r="N342" i="67"/>
  <c r="L342" i="67" s="1"/>
  <c r="O342" i="67" l="1"/>
  <c r="P342" i="67" s="1"/>
  <c r="K343" i="67" l="1"/>
  <c r="N343" i="67"/>
  <c r="L343" i="67" s="1"/>
  <c r="O343" i="67" l="1"/>
  <c r="P343" i="67" s="1"/>
  <c r="K344" i="67" l="1"/>
  <c r="N344" i="67"/>
  <c r="L344" i="67" s="1"/>
  <c r="O344" i="67" l="1"/>
  <c r="P344" i="67" s="1"/>
  <c r="K345" i="67" l="1"/>
  <c r="N345" i="67"/>
  <c r="L345" i="67" s="1"/>
  <c r="O345" i="67" l="1"/>
  <c r="P345" i="67" s="1"/>
  <c r="K346" i="67" l="1"/>
  <c r="N346" i="67"/>
  <c r="L346" i="67" s="1"/>
  <c r="O346" i="67" l="1"/>
  <c r="P346" i="67" s="1"/>
  <c r="K347" i="67" l="1"/>
  <c r="N347" i="67"/>
  <c r="L347" i="67" s="1"/>
  <c r="O347" i="67" l="1"/>
  <c r="P347" i="67" s="1"/>
  <c r="K348" i="67" l="1"/>
  <c r="N348" i="67"/>
  <c r="L348" i="67" s="1"/>
  <c r="O348" i="67" l="1"/>
  <c r="P348" i="67" s="1"/>
  <c r="K349" i="67" l="1"/>
  <c r="N349" i="67"/>
  <c r="L349" i="67" s="1"/>
  <c r="O349" i="67" l="1"/>
  <c r="P349" i="67" s="1"/>
  <c r="K350" i="67" l="1"/>
  <c r="N350" i="67"/>
  <c r="L350" i="67" s="1"/>
  <c r="O350" i="67" l="1"/>
  <c r="P350" i="67" s="1"/>
  <c r="K351" i="67" l="1"/>
  <c r="N351" i="67"/>
  <c r="L351" i="67" s="1"/>
  <c r="O351" i="67" l="1"/>
  <c r="P351" i="67" s="1"/>
  <c r="K352" i="67" l="1"/>
  <c r="N352" i="67"/>
  <c r="L352" i="67" s="1"/>
  <c r="O352" i="67" l="1"/>
  <c r="P352" i="67" s="1"/>
  <c r="AO29" i="64" l="1"/>
  <c r="AO30" i="64" s="1"/>
  <c r="K353" i="67"/>
  <c r="N353" i="67"/>
  <c r="L353" i="67" s="1"/>
  <c r="AO28" i="64" l="1"/>
  <c r="AO32" i="64"/>
  <c r="AO31" i="64"/>
  <c r="O353" i="67"/>
  <c r="P353" i="67" s="1"/>
  <c r="K354" i="67" l="1"/>
  <c r="N354" i="67"/>
  <c r="L354" i="67" s="1"/>
  <c r="O354" i="67" l="1"/>
  <c r="P354" i="67" s="1"/>
  <c r="K355" i="67" l="1"/>
  <c r="N355" i="67"/>
  <c r="L355" i="67" s="1"/>
  <c r="O355" i="67" l="1"/>
  <c r="P355" i="67" s="1"/>
  <c r="K356" i="67" l="1"/>
  <c r="N356" i="67"/>
  <c r="L356" i="67" s="1"/>
  <c r="O356" i="67" l="1"/>
  <c r="P356" i="67" s="1"/>
  <c r="K357" i="67" l="1"/>
  <c r="N357" i="67"/>
  <c r="L357" i="67" s="1"/>
  <c r="O357" i="67" l="1"/>
  <c r="P357" i="67" s="1"/>
  <c r="K358" i="67" l="1"/>
  <c r="N358" i="67"/>
  <c r="L358" i="67" s="1"/>
  <c r="O358" i="67" l="1"/>
  <c r="P358" i="67" s="1"/>
  <c r="K359" i="67" l="1"/>
  <c r="N359" i="67"/>
  <c r="L359" i="67" s="1"/>
  <c r="O359" i="67" l="1"/>
  <c r="P359" i="67" s="1"/>
  <c r="K360" i="67" l="1"/>
  <c r="N360" i="67"/>
  <c r="L360" i="67" s="1"/>
  <c r="O360" i="67" l="1"/>
  <c r="P360" i="67" s="1"/>
  <c r="K361" i="67" l="1"/>
  <c r="N361" i="67"/>
  <c r="L361" i="67" s="1"/>
  <c r="O361" i="67" l="1"/>
  <c r="P361" i="67" s="1"/>
  <c r="K362" i="67" l="1"/>
  <c r="N362" i="67"/>
  <c r="L362" i="67" s="1"/>
  <c r="O362" i="67" l="1"/>
  <c r="P362" i="67" s="1"/>
  <c r="K363" i="67" l="1"/>
  <c r="N363" i="67"/>
  <c r="L363" i="67" s="1"/>
  <c r="O363" i="67" l="1"/>
  <c r="P363" i="67" s="1"/>
  <c r="K364" i="67" l="1"/>
  <c r="N364" i="67"/>
  <c r="L364" i="67" s="1"/>
  <c r="O364" i="67" l="1"/>
  <c r="P364" i="67" s="1"/>
  <c r="AP29" i="64" l="1"/>
  <c r="T28" i="64"/>
  <c r="K365" i="67"/>
  <c r="N365" i="67"/>
  <c r="L365" i="67" s="1"/>
  <c r="AP28" i="64" l="1"/>
  <c r="AP30" i="64"/>
  <c r="O365" i="67"/>
  <c r="P365" i="67" s="1"/>
  <c r="AP32" i="64" l="1"/>
  <c r="AP31" i="64"/>
  <c r="K366" i="67"/>
  <c r="N366" i="67"/>
  <c r="L366" i="67" s="1"/>
  <c r="O366" i="67" l="1"/>
  <c r="P366" i="67" s="1"/>
  <c r="K367" i="67" l="1"/>
  <c r="N367" i="67"/>
  <c r="L367" i="67" s="1"/>
  <c r="O367" i="67" l="1"/>
  <c r="P367" i="67" s="1"/>
  <c r="K368" i="67" l="1"/>
  <c r="N368" i="67"/>
  <c r="L368" i="67" s="1"/>
  <c r="O368" i="67" l="1"/>
  <c r="P368" i="67" s="1"/>
  <c r="K369" i="67" l="1"/>
  <c r="N369" i="67"/>
  <c r="L369" i="67" s="1"/>
  <c r="O369" i="67" l="1"/>
  <c r="P369" i="67" s="1"/>
  <c r="K370" i="67" l="1"/>
  <c r="N370" i="67"/>
  <c r="L370" i="67" s="1"/>
  <c r="O370" i="67" l="1"/>
  <c r="P370" i="67" s="1"/>
  <c r="K371" i="67" l="1"/>
  <c r="N371" i="67"/>
  <c r="L371" i="67" s="1"/>
  <c r="O371" i="67" l="1"/>
  <c r="P371" i="67" s="1"/>
  <c r="K372" i="67" l="1"/>
  <c r="N372" i="67"/>
  <c r="L372" i="67" s="1"/>
  <c r="O372" i="67" l="1"/>
  <c r="P372" i="67" s="1"/>
  <c r="K373" i="67" l="1"/>
  <c r="N373" i="67"/>
  <c r="L373" i="67" s="1"/>
  <c r="O373" i="67" l="1"/>
  <c r="P373" i="67" s="1"/>
  <c r="K374" i="67" l="1"/>
  <c r="N374" i="67"/>
  <c r="L374" i="67" s="1"/>
  <c r="O374" i="67" l="1"/>
  <c r="P374" i="67" s="1"/>
  <c r="K375" i="67" l="1"/>
  <c r="N375" i="67"/>
  <c r="L375" i="67" s="1"/>
  <c r="O375" i="67" l="1"/>
  <c r="P375" i="67" s="1"/>
  <c r="K376" i="67" l="1"/>
  <c r="N376" i="67"/>
  <c r="L376" i="67" s="1"/>
  <c r="P8" i="67" l="1"/>
  <c r="P9" i="67" s="1"/>
  <c r="O376" i="67"/>
  <c r="P376" i="67" l="1"/>
  <c r="P7" i="67"/>
  <c r="AQ29" i="64" l="1"/>
  <c r="AQ30" i="64" s="1"/>
  <c r="AQ28" i="64" l="1"/>
  <c r="AQ32" i="64"/>
  <c r="AQ31" i="64"/>
</calcChain>
</file>

<file path=xl/comments1.xml><?xml version="1.0" encoding="utf-8"?>
<comments xmlns="http://schemas.openxmlformats.org/spreadsheetml/2006/main">
  <authors>
    <author>Coen</author>
  </authors>
  <commentList>
    <comment ref="AK4" authorId="0">
      <text>
        <r>
          <rPr>
            <sz val="9"/>
            <color indexed="81"/>
            <rFont val="Tahoma"/>
            <family val="2"/>
          </rPr>
          <t xml:space="preserve">
The following options are all expenses in absolute dollars.</t>
        </r>
      </text>
    </comment>
    <comment ref="AT4" authorId="0">
      <text>
        <r>
          <rPr>
            <sz val="9"/>
            <color indexed="81"/>
            <rFont val="Tahoma"/>
            <family val="2"/>
          </rPr>
          <t>The following options are all expenses based on a percentage of the Gross Monthly Rent plus any Other Income received on the property.</t>
        </r>
      </text>
    </comment>
    <comment ref="BC4" authorId="0">
      <text>
        <r>
          <rPr>
            <sz val="9"/>
            <color indexed="81"/>
            <rFont val="Tahoma"/>
            <family val="2"/>
          </rPr>
          <t>The following three fields are completely optional, but will help you project the investment into the future to estimate what the cash flow, equity, and value will be in the years to come. If unsure, leave blank or just include your best estimate for inflation.</t>
        </r>
      </text>
    </comment>
    <comment ref="J5" authorId="0">
      <text>
        <r>
          <rPr>
            <sz val="9"/>
            <color indexed="81"/>
            <rFont val="Tahoma"/>
            <family val="2"/>
          </rPr>
          <t>How much are the annual (whole year) property taxes for the property? If unsure, this information is typically publicly available on your county's assessors website.</t>
        </r>
      </text>
    </comment>
    <comment ref="K5" authorId="0">
      <text>
        <r>
          <rPr>
            <sz val="9"/>
            <color indexed="81"/>
            <rFont val="Tahoma"/>
            <family val="2"/>
          </rPr>
          <t>This is the cost that you plan to buy the property for. If you are unsure of what to put here, just take a guess at what you think you can get the property for and then run the calculator. You can always come back later and adjust this number until you find the perfect purchase price.</t>
        </r>
      </text>
    </comment>
    <comment ref="L5" authorId="0">
      <text>
        <r>
          <rPr>
            <sz val="9"/>
            <color indexed="81"/>
            <rFont val="Tahoma"/>
            <family val="2"/>
          </rPr>
          <t xml:space="preserve">This is the estimated worth of the property after all repairs have been completed. This is the number upon which many other calculations is based, so it is incredibly important that you have this number as accurate as possible. If you are unsure of how to estimate this number, see Estimating ARV Primer or ask a local real estate agent for help.
</t>
        </r>
      </text>
    </comment>
    <comment ref="M5" authorId="0">
      <text>
        <r>
          <rPr>
            <sz val="9"/>
            <color indexed="81"/>
            <rFont val="Tahoma"/>
            <family val="2"/>
          </rPr>
          <t>How much money is it going to take to fix up this property? You can either enter one master number here, or expand the section to get more specific with each category of the house rehab process. For more help on estimating rehab costs, don't miss J Scott's book The Book on Estimating Rehab Costs'. Pick up a copy today.</t>
        </r>
      </text>
    </comment>
    <comment ref="N5" authorId="0">
      <text>
        <r>
          <rPr>
            <sz val="9"/>
            <color indexed="81"/>
            <rFont val="Tahoma"/>
            <family val="2"/>
          </rPr>
          <t>If you plan on paying all cash for the property and not using a loan, check this box, as the rest of the questions on this page pertain to the costs associated with obtaining a loan.</t>
        </r>
      </text>
    </comment>
    <comment ref="P5" authorId="0">
      <text>
        <r>
          <rPr>
            <sz val="9"/>
            <color indexed="81"/>
            <rFont val="Tahoma"/>
            <family val="2"/>
          </rPr>
          <t>How much money do you plan to put toward the purchase? You can enter either a percentage here or a specific loan amount you plan on obtaining. For example, if you are buying a $100,000 house and wanted to put down $20,000, you could choose '20%' OR you could choose a loan amount of $80,000.</t>
        </r>
      </text>
    </comment>
    <comment ref="Q5" authorId="0">
      <text>
        <r>
          <rPr>
            <sz val="9"/>
            <color indexed="81"/>
            <rFont val="Tahoma"/>
            <family val="2"/>
          </rPr>
          <t>What rate do you think you'll get on your loan? To check loan rates, be sure to visit BiggerPockets.com/rates.</t>
        </r>
      </text>
    </comment>
    <comment ref="R5" authorId="0">
      <text>
        <r>
          <rPr>
            <sz val="9"/>
            <color indexed="81"/>
            <rFont val="Tahoma"/>
            <family val="2"/>
          </rPr>
          <t>website to check all costs: 
https://www.ooba.co.za/home-loan/transfer-cost-calculator/</t>
        </r>
      </text>
    </comment>
    <comment ref="S5" authorId="0">
      <text>
        <r>
          <rPr>
            <sz val="9"/>
            <color indexed="81"/>
            <rFont val="Tahoma"/>
            <family val="2"/>
          </rPr>
          <t>website to check all costs: 
https://www.ooba.co.za/home-loan/transfer-cost-calculator/</t>
        </r>
      </text>
    </comment>
    <comment ref="T5" authorId="0">
      <text>
        <r>
          <rPr>
            <sz val="9"/>
            <color indexed="81"/>
            <rFont val="Tahoma"/>
            <family val="2"/>
          </rPr>
          <t>For the purpose of this calculation, would you like to include the previous two fees with the loan, or do you plan on paying them out of pocket? Some lenders allow you to include the loan fees into the loan, others require you to pay them upfront. If you are unsure, plan on paying them out of pocket.</t>
        </r>
      </text>
    </comment>
    <comment ref="U5" authorId="0">
      <text>
        <r>
          <rPr>
            <b/>
            <sz val="9"/>
            <color indexed="81"/>
            <rFont val="Tahoma"/>
            <family val="2"/>
          </rPr>
          <t>Current calculated fields are not able to account for interest only loans so will need to update this in the next version.</t>
        </r>
        <r>
          <rPr>
            <sz val="9"/>
            <color indexed="81"/>
            <rFont val="Tahoma"/>
            <family val="2"/>
          </rPr>
          <t xml:space="preserve">
Loans typically contain two parts: the interest (the profit for the lender) and the principle (the amount you are paying off each month.) However, some loans are interest-only, which means the principle balance is never paid down. This is most common when using hard money loans. If unsure, choose “no.</t>
        </r>
      </text>
    </comment>
    <comment ref="V5" authorId="0">
      <text>
        <r>
          <rPr>
            <sz val="9"/>
            <color indexed="81"/>
            <rFont val="Tahoma"/>
            <family val="2"/>
          </rPr>
          <t>PMI is short for Private Mortgage Insurance, a monthly fee often added to bank loans when the down payment supplied is less than 20%. PMI rates differ depending on the specific bank, your credit and other factors, but typically fall between $45 and $65 per month per $100,000 financed. Select whether the PMI should be applied to your initial loan.</t>
        </r>
      </text>
    </comment>
    <comment ref="W5" authorId="0">
      <text>
        <r>
          <rPr>
            <sz val="9"/>
            <color indexed="81"/>
            <rFont val="Tahoma"/>
            <family val="2"/>
          </rPr>
          <t>How long do you expect the term length to be on the loan to be? 30 years is the most common for residential properties, 20 or 25 is more common for commercial properties.</t>
        </r>
      </text>
    </comment>
    <comment ref="X5" authorId="0">
      <text>
        <r>
          <rPr>
            <sz val="9"/>
            <color indexed="81"/>
            <rFont val="Tahoma"/>
            <family val="2"/>
          </rPr>
          <t>How many months do you plan on spending rehabbing the property? (Minimum 1 month)</t>
        </r>
      </text>
    </comment>
    <comment ref="Y5" authorId="0">
      <text>
        <r>
          <rPr>
            <sz val="9"/>
            <color indexed="81"/>
            <rFont val="Tahoma"/>
            <family val="2"/>
          </rPr>
          <t>How many months do you plan on waiting before refinancing the original loan? (Minimum 1 month)</t>
        </r>
      </text>
    </comment>
    <comment ref="Z5" authorId="0">
      <text>
        <r>
          <rPr>
            <b/>
            <sz val="9"/>
            <color indexed="81"/>
            <rFont val="Tahoma"/>
            <family val="2"/>
          </rPr>
          <t>Max 70%</t>
        </r>
        <r>
          <rPr>
            <sz val="9"/>
            <color indexed="81"/>
            <rFont val="Tahoma"/>
            <family val="2"/>
          </rPr>
          <t xml:space="preserve">
</t>
        </r>
      </text>
    </comment>
    <comment ref="AA5" authorId="0">
      <text>
        <r>
          <rPr>
            <sz val="9"/>
            <color indexed="81"/>
            <rFont val="Tahoma"/>
            <family val="2"/>
          </rPr>
          <t>When using the BRRRR Strategy, you will typically refinance your short term loan into a long term loan as soon as possible. Typically, this second loan is a fixed-rate mortgage from a bank or credit union. To determine the loan amount, most banks will lend 70% of the “After Repair Value.” In other words, if the property will be worth $100,000 when it has been all fixed up, a bank will likely lend no more than $70,000.</t>
        </r>
      </text>
    </comment>
    <comment ref="AB5" authorId="0">
      <text>
        <r>
          <rPr>
            <sz val="9"/>
            <color indexed="81"/>
            <rFont val="Tahoma"/>
            <family val="2"/>
          </rPr>
          <t xml:space="preserve">Expected interest rate on the refinance loan.
</t>
        </r>
      </text>
    </comment>
    <comment ref="AC5" authorId="0">
      <text>
        <r>
          <rPr>
            <sz val="9"/>
            <color indexed="81"/>
            <rFont val="Tahoma"/>
            <family val="2"/>
          </rPr>
          <t xml:space="preserve">Often when you take out a loan, you will pay 'points' (aka: fees) on the loan. One point is equal to 1% of the loan amount. For example, a $100,000 loan with 2 points would be $2,000. Enter the total points charged by the lender here. Note: this is most common with hard money lenders.
</t>
        </r>
        <r>
          <rPr>
            <b/>
            <sz val="9"/>
            <color indexed="81"/>
            <rFont val="Tahoma"/>
            <family val="2"/>
          </rPr>
          <t xml:space="preserve">
Closing Costs could be charged again. Need to check this</t>
        </r>
      </text>
    </comment>
    <comment ref="AD5" authorId="0">
      <text>
        <r>
          <rPr>
            <sz val="9"/>
            <color indexed="81"/>
            <rFont val="Tahoma"/>
            <family val="2"/>
          </rPr>
          <t>Are there any other fees that the lender will charge you to obtain the loan? If so, add them here.</t>
        </r>
      </text>
    </comment>
    <comment ref="AE5" authorId="0">
      <text>
        <r>
          <rPr>
            <sz val="9"/>
            <color indexed="81"/>
            <rFont val="Tahoma"/>
            <family val="2"/>
          </rPr>
          <t>For the purpose of this calculation, would you like to include the previous two fees with the loan, or do you plan on paying them out of pocket? Some lenders allow you to include the loan fees into the loan, others require you to pay them upfront. If you are unsure, plan on paying them out of pocket.</t>
        </r>
      </text>
    </comment>
    <comment ref="AF5" authorId="0">
      <text>
        <r>
          <rPr>
            <sz val="9"/>
            <color indexed="81"/>
            <rFont val="Tahoma"/>
            <family val="2"/>
          </rPr>
          <t>Loans typically contain two parts: the interest (the profit for the lender) and the principle (the amount you are paying off each month.) However, some loans are interest-only, which means the principle balance is never paid down. This is most common when using hard money loans. If unsure, choose “no.</t>
        </r>
      </text>
    </comment>
    <comment ref="AG5" authorId="0">
      <text>
        <r>
          <rPr>
            <sz val="9"/>
            <color indexed="81"/>
            <rFont val="Tahoma"/>
            <family val="2"/>
          </rPr>
          <t>PMI is short for Private Mortgage Insurance, a monthly fee often added to bank loans when the down payment supplied is less than 20%. PMI rates differ depending on the specific bank, your credit and other factors, but typically fall between $45 and $65 per month per $100,000 financed. Select whether the PMI should be applied to your refinanced loan.</t>
        </r>
      </text>
    </comment>
    <comment ref="AH5" authorId="0">
      <text>
        <r>
          <rPr>
            <sz val="9"/>
            <color indexed="81"/>
            <rFont val="Tahoma"/>
            <family val="2"/>
          </rPr>
          <t>How long do you expect the term length to be on the loan to be? 30 years is the most common for residential properties, 20 or 25 is more common for commercial properties.</t>
        </r>
      </text>
    </comment>
    <comment ref="AI5" authorId="0">
      <text>
        <r>
          <rPr>
            <sz val="9"/>
            <color indexed="81"/>
            <rFont val="Tahoma"/>
            <family val="2"/>
          </rPr>
          <t>How much rent will the property receive each month? Either enter a master number here, or expand the section to break down the numbers into specific units. If unsure on rental price, consider using Craigslist.org, Zillow.com, or RentOMeter.com to estimate potential rents or ask a local landlord.</t>
        </r>
      </text>
    </comment>
    <comment ref="AJ5" authorId="0">
      <text>
        <r>
          <rPr>
            <sz val="9"/>
            <color indexed="81"/>
            <rFont val="Tahoma"/>
            <family val="2"/>
          </rPr>
          <t>Is there any other source of income on the property, such as laundry or extra storage? Include those numbers here.</t>
        </r>
      </text>
    </comment>
    <comment ref="AM5" authorId="0">
      <text>
        <r>
          <rPr>
            <sz val="9"/>
            <color indexed="81"/>
            <rFont val="Tahoma"/>
            <family val="2"/>
          </rPr>
          <t>PMI is short for Private Mortgage Insurance, a monthly fee often added to bank loans when the down payment supplied is less than 20%. PMI rates differ depending on the specific bank, your credit and other factors, but typically fall between $45 and $65 per month per $100,000 financed.</t>
        </r>
      </text>
    </comment>
    <comment ref="AQ5" authorId="0">
      <text>
        <r>
          <rPr>
            <sz val="9"/>
            <color indexed="81"/>
            <rFont val="Tahoma"/>
            <family val="2"/>
          </rPr>
          <t>This is the monthly expense for property taxes, based on the value you entered in on page one of this analysis. If you would like to change this value, please navigate back to page one of this analysis by pressing "previous step" on the bottom left side of this page (twice) and you will be able to manipulate this value by changing the annual property taxes value on page one. This value will automatically be calculated and displayed here.</t>
        </r>
      </text>
    </comment>
    <comment ref="AR5" authorId="0">
      <text>
        <r>
          <rPr>
            <sz val="9"/>
            <color indexed="81"/>
            <rFont val="Tahoma"/>
            <family val="2"/>
          </rPr>
          <t>Enter the total value or provide a cost breakdown</t>
        </r>
      </text>
    </comment>
    <comment ref="AU5" authorId="0">
      <text>
        <r>
          <rPr>
            <sz val="9"/>
            <color indexed="81"/>
            <rFont val="Tahoma"/>
            <family val="2"/>
          </rPr>
          <t>Vacancy rate is the cost of the property sitting empty due to tenant turnover. This number can vary depending on the area, so consult with a local property manager or landlord as to the local norms. Typical vacancy rates are between 3%-10% of the gross monthly rent, but again, that can depend on the area.</t>
        </r>
      </text>
    </comment>
    <comment ref="AV5" authorId="0">
      <text>
        <r>
          <rPr>
            <sz val="9"/>
            <color indexed="81"/>
            <rFont val="Tahoma"/>
            <family val="2"/>
          </rPr>
          <t>All properties require ongoing maintenance when things break (and with tenants - they will.) This number can be expressed as a percentage of the rent or as an actual dollar amount per month. Although repairs will depend on numerous factors such as the location and age of the property, typical repairs tend to be between 5-15% of the gross monthly rent.</t>
        </r>
      </text>
    </comment>
    <comment ref="AX5" authorId="0">
      <text>
        <r>
          <rPr>
            <sz val="9"/>
            <color indexed="81"/>
            <rFont val="Tahoma"/>
            <family val="2"/>
          </rPr>
          <t>CapEx, short for Capital Expenditures, are the large less-than-frequent improvements done to a property such as roofs, parking lots, siding, or appliances. CapEx will depend on numerous factors such as property type, the location of the property, and the age of the property. More on estimating Capital Expenditures.</t>
        </r>
      </text>
    </comment>
    <comment ref="AY5" authorId="0">
      <text>
        <r>
          <rPr>
            <sz val="9"/>
            <color indexed="81"/>
            <rFont val="Tahoma"/>
            <family val="2"/>
          </rPr>
          <t>CapEx, short for Capital Expenditures, are the large less-than-frequent improvements done to a property such as roofs, parking lots, siding, or appliances. CapEx will depend on numerous factors such as property type, the location of the property, and the age of the property. More on estimating Capital Expenditures.</t>
        </r>
      </text>
    </comment>
    <comment ref="AZ5" authorId="0">
      <text>
        <r>
          <rPr>
            <sz val="9"/>
            <color indexed="81"/>
            <rFont val="Tahoma"/>
            <family val="2"/>
          </rPr>
          <t>How much does a local property manager charge to manage the property each month? This number is usually expressed as a percentage. This rate may differ based on location and property type, but typical rates hover between 7-12% of the Gross Monthly Rent.</t>
        </r>
      </text>
    </comment>
    <comment ref="BA5" authorId="0">
      <text>
        <r>
          <rPr>
            <sz val="9"/>
            <color indexed="81"/>
            <rFont val="Tahoma"/>
            <family val="2"/>
          </rPr>
          <t>How much does a local property manager charge to manage the property each month? This number is usually expressed as a percentage. This rate may differ based on location and property type, but typical rates hover between 7-12% of the Gross Monthly Rent.</t>
        </r>
      </text>
    </comment>
    <comment ref="BC5" authorId="0">
      <text>
        <r>
          <rPr>
            <sz val="9"/>
            <color indexed="81"/>
            <rFont val="Tahoma"/>
            <family val="2"/>
          </rPr>
          <t>How much do you expect the rental income to rise each year? For example, if the property will rent for $1000 today and you think next year it will rent for 1020, enter 2% into the field below. Be sure to use a conservative number that accounts for both the ups AND downs in the market.</t>
        </r>
      </text>
    </comment>
    <comment ref="BD5" authorId="0">
      <text>
        <r>
          <rPr>
            <sz val="9"/>
            <color indexed="81"/>
            <rFont val="Tahoma"/>
            <family val="2"/>
          </rPr>
          <t>How much do you expect the value of the property to increase? In other words, what will appreciation be like for the property in the coming years, as expressed in a percentage. For example, if the property is worth $100,000 today and you think next year it will be worth $103,000, enter 3% into the field below. Be sure to use a conservative number that accounts for both the ups AND downs in the market.</t>
        </r>
      </text>
    </comment>
    <comment ref="BE5" authorId="0">
      <text>
        <r>
          <rPr>
            <sz val="9"/>
            <color indexed="81"/>
            <rFont val="Tahoma"/>
            <family val="2"/>
          </rPr>
          <t>Expenses tend to go up, but by how much? In this field, enter in a percentage you think inflation will cause your expenses to rise over time.</t>
        </r>
      </text>
    </comment>
    <comment ref="BF5" authorId="0">
      <text>
        <r>
          <rPr>
            <sz val="9"/>
            <color indexed="81"/>
            <rFont val="Tahoma"/>
            <family val="2"/>
          </rPr>
          <t>When you go to sell the property, what percent of the sale's price do you expect to spend on agent fees, closing costs, and other costs associated with the sale? For example, a real estate agent might charge 6% and you might spend another 2-3% in other charges. If unsure, you can leave this field blank or talk to a local title company and ask what percent most people pay for sales expenses.</t>
        </r>
      </text>
    </comment>
    <comment ref="BH5" authorId="0">
      <text>
        <r>
          <rPr>
            <sz val="9"/>
            <color indexed="81"/>
            <rFont val="Tahoma"/>
            <family val="2"/>
          </rPr>
          <t xml:space="preserve">This total depends on whether the fees are included
or excluded in the total loan amount
IF fees wrapped then fees added to loan amount
</t>
        </r>
      </text>
    </comment>
    <comment ref="BJ5" authorId="0">
      <text>
        <r>
          <rPr>
            <b/>
            <sz val="9"/>
            <color indexed="81"/>
            <rFont val="Tahoma"/>
            <family val="2"/>
          </rPr>
          <t>Amortized Loan Payment Formula</t>
        </r>
        <r>
          <rPr>
            <sz val="9"/>
            <color indexed="81"/>
            <rFont val="Tahoma"/>
            <family val="2"/>
          </rPr>
          <t xml:space="preserve">
Calculate your monthly payment (P) using your principal balance or total loan amount (a), periodic interest rate (r), which is your annual rate divided by the number of payment periods, and your total number of payment periods (n)
</t>
        </r>
        <r>
          <rPr>
            <b/>
            <sz val="9"/>
            <color indexed="81"/>
            <rFont val="Tahoma"/>
            <family val="2"/>
          </rPr>
          <t xml:space="preserve">Amortization Payment Example
</t>
        </r>
        <r>
          <rPr>
            <sz val="9"/>
            <color indexed="81"/>
            <rFont val="Tahoma"/>
            <family val="2"/>
          </rPr>
          <t xml:space="preserve">Suppose you were to borrow $100,000 at 6% for 30 years, to be repaid monthly. To calculate the monthly payment, convert percentages to decimal format, then follow the formula:
a: $100,000, the amount of the loan
r: 0.005 (6% annual rate—expressed as 0.06—divided by 12 monthly payments per year)
n: 360 (12 monthly payments per year times 30 years)
</t>
        </r>
      </text>
    </comment>
    <comment ref="BL5" authorId="0">
      <text>
        <r>
          <rPr>
            <sz val="9"/>
            <color indexed="81"/>
            <rFont val="Tahoma"/>
            <family val="2"/>
          </rPr>
          <t>This does not include the monthly variable provisional costs and is only considering the fixed cash requirements</t>
        </r>
      </text>
    </comment>
    <comment ref="BM5" authorId="0">
      <text>
        <r>
          <rPr>
            <sz val="9"/>
            <color indexed="81"/>
            <rFont val="Tahoma"/>
            <family val="2"/>
          </rPr>
          <t>This is all the cash required up until the point where a tenant can inhabit the property. 
Biggerpockets did not account for the Acq. Loan fees which I don't understand so I have included it
BP total is 103,362.39 which is 8500 less than my total. 
---
GPT seems to agree with me 
Total cash outlay is the total amount of cash that an investor puts into a real estate investment, including the down payment, closing costs, and any additional expenses incurred during the acquisition and holding period, such as repairs, maintenance, property taxes, insurance, and management fees. It also includes any financing costs such as loan origination fees, discount points, and interest paid during the holding period. Essentially, it's the total amount of cash that the investor has to invest in the property.</t>
        </r>
      </text>
    </comment>
    <comment ref="BQ5" authorId="0">
      <text>
        <r>
          <rPr>
            <sz val="9"/>
            <color indexed="81"/>
            <rFont val="Tahoma"/>
            <family val="2"/>
          </rPr>
          <t>Net Operating Income = (Gross Operating Income + Other Income) - Operating Expenses
Does not include monthly loan payments as this is a financing cost and not an operational expense</t>
        </r>
      </text>
    </comment>
    <comment ref="BR5" authorId="0">
      <text>
        <r>
          <rPr>
            <sz val="9"/>
            <color indexed="81"/>
            <rFont val="Tahoma"/>
            <family val="2"/>
          </rPr>
          <t xml:space="preserve">The purchase cap rate is used to evaluate the initial return on investment for a property at the time of purchase. It can also be compared to the typical cap rate for the area to determine if the property is priced appropriately. A higher purchase cap rate indicates a higher potential return on investment, while a lower cap rate suggests a lower potential return. However, it's important to consider other factors such as the property's location, condition, and potential for growth when evaluating a real estate investment.
</t>
        </r>
        <r>
          <rPr>
            <b/>
            <sz val="9"/>
            <color indexed="81"/>
            <rFont val="Tahoma"/>
            <family val="2"/>
          </rPr>
          <t xml:space="preserve">Purchase Cap Rate = Net Operating Income / Purchase Price
---
Same as just cap rate:
</t>
        </r>
        <r>
          <rPr>
            <sz val="9"/>
            <color indexed="81"/>
            <rFont val="Tahoma"/>
            <family val="2"/>
          </rPr>
          <t>The formula for cap rate is:
Net Operating Income (NOI) / Current Market Value (or Purchase Price) = Cap Rate
Where:
NOI = Gross rental income – operating expenses (excluding debt service and income taxes)
Current Market Value (or Purchase Price) = The property’s current market value or purchase price
Cap Rate = The rate of return on a real estate investment property based on the expected income generated by the property. It is expressed as a percentage.
The cap rate formula only uses the property's net operating income and the purchase price. It does not take into account any additional closing costs or fees associated with the acquisition of the property.</t>
        </r>
      </text>
    </comment>
    <comment ref="BS5" authorId="0">
      <text>
        <r>
          <rPr>
            <sz val="9"/>
            <color indexed="81"/>
            <rFont val="Tahoma"/>
            <family val="2"/>
          </rPr>
          <t xml:space="preserve">Pro Forma Cap Rate = (Net Operating Income / Total Acquisition Cost) x 100
Where:
Net Operating Income = Total Gross Monthly Rent - Total Monthly Operating Expenses
Total Acquisition Cost = Purchase Price + Purchase Closing Cost + Estimated Repair Cost + All Other Acquisition Costs
Typical Cap Rate for Your Area = the average cap rate for similar properties in your area
So, the complete formula using the column headers in your database would be:
Pro Forma Cap Rate = ((Total Gross Monthly Rent - Total Monthly Operating Expenses) / (Purchase Price + Purchase Closing Cost + Estimated Repair Cost + All Other Acquisition Costs)) / (Typical Cap Rate for Your Area) x 100
--- 
</t>
        </r>
        <r>
          <rPr>
            <b/>
            <sz val="9"/>
            <color indexed="81"/>
            <rFont val="Tahoma"/>
            <family val="2"/>
          </rPr>
          <t>NB.
Pro Forma Cap Rate is calculated by dividing the initial Net Operating Income (NOI) by the total project cost, which includes the purchase price, purchase closing cost, estimated rehab cost, and holding costs. By including holding costs, the calculation provides a more comprehensive assessment of the property's expected return on investment.</t>
        </r>
      </text>
    </comment>
    <comment ref="BT5" authorId="0">
      <text>
        <r>
          <rPr>
            <b/>
            <sz val="9"/>
            <color indexed="81"/>
            <rFont val="Tahoma"/>
            <family val="2"/>
          </rPr>
          <t>Coen:</t>
        </r>
        <r>
          <rPr>
            <sz val="9"/>
            <color indexed="81"/>
            <rFont val="Tahoma"/>
            <family val="2"/>
          </rPr>
          <t xml:space="preserve">
</t>
        </r>
      </text>
    </comment>
    <comment ref="BU5" authorId="0">
      <text>
        <r>
          <rPr>
            <sz val="9"/>
            <color indexed="81"/>
            <rFont val="Tahoma"/>
            <family val="2"/>
          </rPr>
          <t>This total depends on whether the fees are included
or excluded in the total loan amount
IF fees wrapped then fees added to loan amount</t>
        </r>
      </text>
    </comment>
    <comment ref="BW5" authorId="0">
      <text>
        <r>
          <rPr>
            <b/>
            <sz val="9"/>
            <color indexed="81"/>
            <rFont val="Tahoma"/>
            <family val="2"/>
          </rPr>
          <t>Amortized Loan Payment Formula</t>
        </r>
        <r>
          <rPr>
            <sz val="9"/>
            <color indexed="81"/>
            <rFont val="Tahoma"/>
            <family val="2"/>
          </rPr>
          <t xml:space="preserve">
Calculate your monthly payment (P) using your principal balance or total loan amount (a), periodic interest rate (r), which is your annual rate divided by the number of payment periods, and your total number of payment periods (n)
</t>
        </r>
        <r>
          <rPr>
            <b/>
            <sz val="9"/>
            <color indexed="81"/>
            <rFont val="Tahoma"/>
            <family val="2"/>
          </rPr>
          <t xml:space="preserve">
Amortization Payment Example</t>
        </r>
        <r>
          <rPr>
            <sz val="9"/>
            <color indexed="81"/>
            <rFont val="Tahoma"/>
            <family val="2"/>
          </rPr>
          <t xml:space="preserve">
Suppose you were to borrow $100,000 at 6% for 30 years, to be repaid monthly. To calculate the monthly payment, convert percentages to decimal format, then follow the formula:
a: $100,000, the amount of the loan
r: 0.005 (6% annual rate—expressed as 0.06—divided by 12 monthly payments per year)
n: 360 (12 monthly payments per year times 30 years)</t>
        </r>
      </text>
    </comment>
    <comment ref="BX5" authorId="0">
      <text>
        <r>
          <rPr>
            <sz val="9"/>
            <color indexed="81"/>
            <rFont val="Tahoma"/>
            <family val="2"/>
          </rPr>
          <t xml:space="preserve">The total net cash still locked up in the property, calculated as the cash needed at purchase minus the initial cash flow generated during the initial rental period. </t>
        </r>
      </text>
    </comment>
    <comment ref="BY5" authorId="0">
      <text>
        <r>
          <rPr>
            <sz val="9"/>
            <color indexed="81"/>
            <rFont val="Tahoma"/>
            <family val="2"/>
          </rPr>
          <t xml:space="preserve">If the refinance period is more than a year then provision is made for a rental increase as per expectation. 
Current formula only accounts for either 12 month or 24month hold. If more than 24 months till refinance then another IF statement needs to be added to calculate number of years of growth
--
Currently the formula takes time to refinance into account (rounded to the nearest year) and then calculates expected income based on the assumed annual income growth (%)
</t>
        </r>
      </text>
    </comment>
    <comment ref="BZ5" authorId="0">
      <text>
        <r>
          <rPr>
            <sz val="9"/>
            <color indexed="81"/>
            <rFont val="Tahoma"/>
            <family val="2"/>
          </rPr>
          <t>Currently the formula takes time to refinance into account (rounded to the nearest year) and then calculates expected expenses based on the assumed annual expense growth (%)</t>
        </r>
      </text>
    </comment>
    <comment ref="CC5" authorId="0">
      <text>
        <r>
          <rPr>
            <sz val="9"/>
            <color indexed="81"/>
            <rFont val="Tahoma"/>
            <family val="2"/>
          </rPr>
          <t xml:space="preserve">The cash-on-cash return on investment expressed as a percentage per year . </t>
        </r>
        <r>
          <rPr>
            <b/>
            <sz val="9"/>
            <color indexed="81"/>
            <rFont val="Tahoma"/>
            <family val="2"/>
          </rPr>
          <t xml:space="preserve">This is at the time of refinancing. </t>
        </r>
      </text>
    </comment>
    <comment ref="CD5" authorId="0">
      <text>
        <r>
          <rPr>
            <sz val="9"/>
            <color indexed="81"/>
            <rFont val="Tahoma"/>
            <family val="2"/>
          </rPr>
          <t xml:space="preserve">This rule is a check stating that if the income / cost of the property is =2% then good starting point
value = gross income / (purchase cost + closing cost + rehab cost)
</t>
        </r>
      </text>
    </comment>
    <comment ref="CF5" authorId="0">
      <text>
        <r>
          <rPr>
            <b/>
            <sz val="9"/>
            <color indexed="81"/>
            <rFont val="Tahoma"/>
            <family val="2"/>
          </rPr>
          <t xml:space="preserve">GRM = Total Acquisition Cost / Gross Annual Rental Income
But bigger pockets calculate purely on purchase cost not total acquisition cost
</t>
        </r>
        <r>
          <rPr>
            <sz val="9"/>
            <color indexed="81"/>
            <rFont val="Tahoma"/>
            <family val="2"/>
          </rPr>
          <t xml:space="preserve">
A "good" gross rent multiplier (GRM) can vary depending on a number of factors, such as the location of the property, the condition of the property, and the local rental market. Generally, a lower GRM is considered more desirable, as it indicates that the property is generating a higher amount of rental income relative to its value.
---
The Gross Rent Multiplier is calculated by dividing the total acquisition cost of the property (including purchase price, closing costs, and estimated rehab cost) by the annual gross rental income. It is a measure used to assess the relationship between the property's purchase price and its income potential.
The resulting value of the Gross Rent Multiplier indicates how many years it would take for the property's gross rental income to recoup the total acquisition cost. Lower values generally indicate a more favorable investment, as it suggests a shorter payback period for the initial investment based on rental income.</t>
        </r>
      </text>
    </comment>
    <comment ref="CG5" authorId="0">
      <text>
        <r>
          <rPr>
            <sz val="9"/>
            <color indexed="81"/>
            <rFont val="Tahoma"/>
            <family val="2"/>
          </rPr>
          <t xml:space="preserve">The debt coverage ratio (DCR) is a financial metric used to assess a property's ability to generate enough income to cover its debt obligations. It is a measure of the property's cash flow relative to its debt service, and it helps lenders and investors evaluate the risk of a property investment.
The formula to calculate the debt coverage ratio is as follows:
DCR = Net Operating Income (NOI) / Annual Debt Service
Where:
NOI is the property's annual income minus its operating expenses (excluding debt service).
Annual Debt Service is the total amount of principal and interest payments due on the property's debt for a year.
</t>
        </r>
        <r>
          <rPr>
            <b/>
            <sz val="9"/>
            <color indexed="81"/>
            <rFont val="Tahoma"/>
            <family val="2"/>
          </rPr>
          <t xml:space="preserve">
Generally, a DCR of 1.20 or higher is considered a healthy ratio, indicating that the property generates enough income to comfortably cover its debt obligations. A lower DCR may indicate a higher risk of default and may make it more difficult to obtain financing or secure favorable loan terms.</t>
        </r>
      </text>
    </comment>
    <comment ref="CH5" authorId="0">
      <text>
        <r>
          <rPr>
            <sz val="9"/>
            <color indexed="81"/>
            <rFont val="Tahoma"/>
            <family val="2"/>
          </rPr>
          <t xml:space="preserve">The debt coverage ratio (DCR) is a financial metric used to assess a property's ability to generate enough income to cover its debt obligations. It is a measure of the property's cash flow relative to its debt service, and it helps lenders and investors evaluate the risk of a property investment.
The formula to calculate the debt coverage ratio is as follows:
DCR = Net Operating Income (NOI) / Annual Debt Service
Where:
NOI is the property's annual income minus its operating expenses (excluding debt service).
Annual Debt Service is the total amount of principal and interest payments due on the property's debt for a year.
</t>
        </r>
        <r>
          <rPr>
            <b/>
            <sz val="9"/>
            <color indexed="81"/>
            <rFont val="Tahoma"/>
            <family val="2"/>
          </rPr>
          <t xml:space="preserve">
Generally, a DCR of 1.20 or higher is considered a healthy ratio, indicating that the property generates enough income to comfortably cover its debt obligations. A lower DCR may indicate a higher risk of default and may make it more difficult to obtain financing or secure favorable loan terms.</t>
        </r>
      </text>
    </comment>
    <comment ref="CI5" authorId="0">
      <text>
        <r>
          <rPr>
            <sz val="9"/>
            <color indexed="81"/>
            <rFont val="Tahoma"/>
            <family val="2"/>
          </rPr>
          <t>Initial check whether to proceed or not depends on whether the debts can be covered and whether there is positive monthly cashflow. There is a positive cashflow and all debt can be covered then the investment is feasible</t>
        </r>
      </text>
    </comment>
    <comment ref="CK5" authorId="0">
      <text>
        <r>
          <rPr>
            <sz val="9"/>
            <color indexed="81"/>
            <rFont val="Tahoma"/>
            <family val="2"/>
          </rPr>
          <t>Calculated relative to the R500 min to make it worth the effort
Initial and Ref. Cashflow is averaged / 500</t>
        </r>
      </text>
    </comment>
    <comment ref="CL5" authorId="0">
      <text>
        <r>
          <rPr>
            <sz val="9"/>
            <color indexed="81"/>
            <rFont val="Tahoma"/>
            <family val="2"/>
          </rPr>
          <t xml:space="preserve">Sum of the two coverage ratios. 
</t>
        </r>
      </text>
    </comment>
    <comment ref="CM5" authorId="0">
      <text>
        <r>
          <rPr>
            <sz val="9"/>
            <color indexed="81"/>
            <rFont val="Tahoma"/>
            <family val="2"/>
          </rPr>
          <t>Sum of the 2 scores</t>
        </r>
      </text>
    </comment>
  </commentList>
</comments>
</file>

<file path=xl/comments2.xml><?xml version="1.0" encoding="utf-8"?>
<comments xmlns="http://schemas.openxmlformats.org/spreadsheetml/2006/main">
  <authors>
    <author>Coen</author>
  </authors>
  <commentList>
    <comment ref="M23" authorId="0">
      <text>
        <r>
          <rPr>
            <sz val="9"/>
            <color indexed="81"/>
            <rFont val="Tahoma"/>
            <family val="2"/>
          </rPr>
          <t xml:space="preserve">BP does not factor Variable-expenses into operating expenses during the rehab period.
My calculation does factor it in. 
</t>
        </r>
      </text>
    </comment>
    <comment ref="M32" authorId="0">
      <text>
        <r>
          <rPr>
            <sz val="9"/>
            <color indexed="81"/>
            <rFont val="Tahoma"/>
            <family val="2"/>
          </rPr>
          <t xml:space="preserve">Need to do some more research on this indicator as something looks wrong here
</t>
        </r>
      </text>
    </comment>
  </commentList>
</comments>
</file>

<file path=xl/sharedStrings.xml><?xml version="1.0" encoding="utf-8"?>
<sst xmlns="http://schemas.openxmlformats.org/spreadsheetml/2006/main" count="346" uniqueCount="214">
  <si>
    <t>Province</t>
  </si>
  <si>
    <t>Municipality</t>
  </si>
  <si>
    <t>Suburb</t>
  </si>
  <si>
    <t>City</t>
  </si>
  <si>
    <t>Annual Property Taxes</t>
  </si>
  <si>
    <t>Bedrooms</t>
  </si>
  <si>
    <t>Bathrooms</t>
  </si>
  <si>
    <t>Property Type</t>
  </si>
  <si>
    <t>Purchase Info</t>
  </si>
  <si>
    <t>Purchase Price</t>
  </si>
  <si>
    <t>After Repair Value</t>
  </si>
  <si>
    <t>Cash Purchase</t>
  </si>
  <si>
    <t>Down Payment</t>
  </si>
  <si>
    <t>Pay loan fees/points out of pocket</t>
  </si>
  <si>
    <t>Income</t>
  </si>
  <si>
    <t>Fixed Landlord-Paid Expenses</t>
  </si>
  <si>
    <t>Variable Landlord-Paid Expenses</t>
  </si>
  <si>
    <t>Repairs &amp; Maintenance (%)</t>
  </si>
  <si>
    <t>Capital Expenditures (%)</t>
  </si>
  <si>
    <t>Management Fees (%)</t>
  </si>
  <si>
    <t>Future Assumptions</t>
  </si>
  <si>
    <t>Annual Income Growth (%)</t>
  </si>
  <si>
    <t>Annual PV Growth (%)</t>
  </si>
  <si>
    <t>Annual Expense Growth (%)</t>
  </si>
  <si>
    <t>Sales Expenses (%)</t>
  </si>
  <si>
    <t>Total Project Cost</t>
  </si>
  <si>
    <t>Rehab Period</t>
  </si>
  <si>
    <t>Holding Costs</t>
  </si>
  <si>
    <t>Total Cash Outlay</t>
  </si>
  <si>
    <t>Initial Rental Period</t>
  </si>
  <si>
    <t>Pro Forma Cap Rate</t>
  </si>
  <si>
    <t>Purchase Cap Rate</t>
  </si>
  <si>
    <t xml:space="preserve">Financial Info </t>
  </si>
  <si>
    <t>2% Rule</t>
  </si>
  <si>
    <t>Total Initial Equity</t>
  </si>
  <si>
    <t>Gross Rent Multiplier</t>
  </si>
  <si>
    <t>Analysis Over Time</t>
  </si>
  <si>
    <t>Total Annual Income</t>
  </si>
  <si>
    <t>Total Annual Expenses</t>
  </si>
  <si>
    <t>Operating Expenses</t>
  </si>
  <si>
    <t>Mortgage Payments</t>
  </si>
  <si>
    <t>Total Annual Cashflow</t>
  </si>
  <si>
    <t>Cash on Cash ROI</t>
  </si>
  <si>
    <t>Property Value</t>
  </si>
  <si>
    <t>Equity</t>
  </si>
  <si>
    <t xml:space="preserve">Loan Balance </t>
  </si>
  <si>
    <t>Total Profit if Sold</t>
  </si>
  <si>
    <t>Annualized Total Return</t>
  </si>
  <si>
    <t>Vacancy Cost</t>
  </si>
  <si>
    <t>Acq. Monthly P&amp;I</t>
  </si>
  <si>
    <t>No</t>
  </si>
  <si>
    <t>Acq. Loan Interest Only</t>
  </si>
  <si>
    <t>Acq. Loan Include PMI</t>
  </si>
  <si>
    <t>Acq. Loan Total Fees</t>
  </si>
  <si>
    <t>Total Acq. Loan</t>
  </si>
  <si>
    <t>Acq. Loan Fees Charged</t>
  </si>
  <si>
    <t>Acq. Loan Interest Rate</t>
  </si>
  <si>
    <t>Ref. Loan Amount</t>
  </si>
  <si>
    <t>Ref. Interest Rate</t>
  </si>
  <si>
    <t>Ref. Loan Fees Charged</t>
  </si>
  <si>
    <t>Ref. Loan Other Charges</t>
  </si>
  <si>
    <t>Ref. Fees &amp; Points</t>
  </si>
  <si>
    <t>Ref. Interest Only</t>
  </si>
  <si>
    <t>Ref. Include PMI</t>
  </si>
  <si>
    <t>Ref. Loan Total Fees</t>
  </si>
  <si>
    <t>Ref. Monthly P&amp;I</t>
  </si>
  <si>
    <t>Ref. Debt Coverage Ratio</t>
  </si>
  <si>
    <t>Acq. Debt Coverage Ratio</t>
  </si>
  <si>
    <t>Cash Needed at Purchase</t>
  </si>
  <si>
    <t xml:space="preserve">Acquisition Loan </t>
  </si>
  <si>
    <t>Refinance Loan</t>
  </si>
  <si>
    <t>Refinanced Rental Analysis</t>
  </si>
  <si>
    <t>Initial Rental Analysis</t>
  </si>
  <si>
    <t>Est. Rehab Time (m)</t>
  </si>
  <si>
    <t>Acq. Loan Amortization (y)</t>
  </si>
  <si>
    <t>Ref. Loan Amortization (y)</t>
  </si>
  <si>
    <t>Insurance (m)</t>
  </si>
  <si>
    <t>Other Expenses (m)</t>
  </si>
  <si>
    <t>Total Fixed Expenses (m)</t>
  </si>
  <si>
    <t>Total Variable Expenses (m)</t>
  </si>
  <si>
    <t>Gross Income (m)</t>
  </si>
  <si>
    <t>Total Expenses (m)</t>
  </si>
  <si>
    <t>Initial Cashflow (m)</t>
  </si>
  <si>
    <t>Initial Cash on Cash ROI (y)</t>
  </si>
  <si>
    <t>Ref. Gross Income (m)</t>
  </si>
  <si>
    <t>Ref. Total Expenses (m)</t>
  </si>
  <si>
    <t>Ref. Cashflow (m)</t>
  </si>
  <si>
    <t>Ref. Cash on Cash ROI (y)</t>
  </si>
  <si>
    <t>Property Taxes (m)</t>
  </si>
  <si>
    <t>Electricity (m)</t>
  </si>
  <si>
    <t>Water &amp; Sewerage (m)</t>
  </si>
  <si>
    <t>PMI (m)</t>
  </si>
  <si>
    <t>Refuse (m)</t>
  </si>
  <si>
    <t>HOAs (m)</t>
  </si>
  <si>
    <t>Total Gross Rent (m)</t>
  </si>
  <si>
    <t>Other Income (m)</t>
  </si>
  <si>
    <t>Time To Refinance (m)</t>
  </si>
  <si>
    <t>Est. Rehab Cost</t>
  </si>
  <si>
    <t>Initial NOI</t>
  </si>
  <si>
    <t>Year</t>
  </si>
  <si>
    <t>Acquisition Loan Schedule</t>
  </si>
  <si>
    <t>Periods Per Year</t>
  </si>
  <si>
    <t>Projected Interest</t>
  </si>
  <si>
    <t>No.</t>
  </si>
  <si>
    <t>Due Date</t>
  </si>
  <si>
    <t>Payment Due</t>
  </si>
  <si>
    <t>Interest</t>
  </si>
  <si>
    <t>Principal</t>
  </si>
  <si>
    <t>Balance</t>
  </si>
  <si>
    <t>Loan Info</t>
  </si>
  <si>
    <t>Loan Amount</t>
  </si>
  <si>
    <t>Annual Interest Rate</t>
  </si>
  <si>
    <t>Term In Years</t>
  </si>
  <si>
    <t>Payment Frequency</t>
  </si>
  <si>
    <t>First Repayment Date</t>
  </si>
  <si>
    <t>Monthly</t>
  </si>
  <si>
    <t>Monthly Payment</t>
  </si>
  <si>
    <t>Summary</t>
  </si>
  <si>
    <t>Rate per Period</t>
  </si>
  <si>
    <t>Total Payments</t>
  </si>
  <si>
    <t>Total Interest</t>
  </si>
  <si>
    <t>Est. Interest Savings</t>
  </si>
  <si>
    <t>Additional Payments</t>
  </si>
  <si>
    <t>Payment Periods (NPER)</t>
  </si>
  <si>
    <t>Refinance  Loan Schedule</t>
  </si>
  <si>
    <t>Average Annual Return</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</si>
  <si>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</si>
  <si>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</si>
  <si>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</si>
  <si>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</si>
  <si>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</si>
  <si>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</si>
  <si>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</si>
  <si>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</si>
  <si>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</si>
  <si>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</si>
  <si>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</si>
  <si>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</si>
  <si>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</si>
  <si>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</si>
  <si>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</si>
  <si>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</si>
  <si>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</si>
  <si>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</si>
  <si>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</si>
  <si>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</si>
  <si>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</si>
  <si>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</si>
  <si>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</si>
  <si>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</si>
  <si>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</si>
  <si>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</si>
  <si>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</si>
  <si>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</si>
  <si>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</si>
  <si>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</si>
  <si>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Yes</t>
  </si>
  <si>
    <t>Down Payment (%)</t>
  </si>
  <si>
    <t>Ref. Loan (%) of PV</t>
  </si>
  <si>
    <t>Vacancy Cost (%)</t>
  </si>
  <si>
    <t>Repairs &amp; Maintenance</t>
  </si>
  <si>
    <t>Capital Expenditures</t>
  </si>
  <si>
    <t>Management Fees</t>
  </si>
  <si>
    <t>Initial Cashflow</t>
  </si>
  <si>
    <t>Refinanced Cashflow</t>
  </si>
  <si>
    <t xml:space="preserve"> Cashflow Target</t>
  </si>
  <si>
    <t>Coverage Target</t>
  </si>
  <si>
    <t xml:space="preserve"> Ref. Debt Coverage</t>
  </si>
  <si>
    <t xml:space="preserve"> Acq. Debt Coverage</t>
  </si>
  <si>
    <t>Analysed Property Rankings</t>
  </si>
  <si>
    <t>Property Score</t>
  </si>
  <si>
    <t>Deal Check</t>
  </si>
  <si>
    <t>Cashflow Score</t>
  </si>
  <si>
    <t>Debt Coverage Score</t>
  </si>
  <si>
    <t>Property Rank</t>
  </si>
  <si>
    <t>Offer To Purchase</t>
  </si>
  <si>
    <t>Asking Price</t>
  </si>
  <si>
    <t>Refinance Rental Period</t>
  </si>
  <si>
    <t>This section(rehab period and initial rental metrics) of the table should be moved  to before the finance section as this more closely follows the progressive stages of the strategy</t>
  </si>
  <si>
    <t>Total Cash In Deal</t>
  </si>
  <si>
    <t>Ref. NOI (y)</t>
  </si>
  <si>
    <t>These metrics reflet the values at the time of refinancing and will change in time</t>
  </si>
  <si>
    <t>Min. desired cashflow (m)</t>
  </si>
  <si>
    <t>Listing Number</t>
  </si>
  <si>
    <t>House</t>
  </si>
  <si>
    <t>Closing Cost</t>
  </si>
  <si>
    <t>Acq. Loan Fees Structure</t>
  </si>
  <si>
    <t>la-rochelle</t>
  </si>
  <si>
    <t>mamelodi-east</t>
  </si>
  <si>
    <t>waterkloof</t>
  </si>
  <si>
    <t>annlin</t>
  </si>
  <si>
    <t>montana</t>
  </si>
  <si>
    <t>manenberg</t>
  </si>
  <si>
    <t>kirkney</t>
  </si>
  <si>
    <t>sunnyside</t>
  </si>
  <si>
    <t>zambezi-manor-lifestyle-estate</t>
  </si>
  <si>
    <t>johannesburg</t>
  </si>
  <si>
    <t>gauteng</t>
  </si>
  <si>
    <t>pretoria</t>
  </si>
  <si>
    <t>Apartment / Flat</t>
  </si>
  <si>
    <t>Townhouse</t>
  </si>
  <si>
    <t>cape-town</t>
  </si>
  <si>
    <t>western-cape</t>
  </si>
  <si>
    <t>Wrap loan fees/points into the loan</t>
  </si>
  <si>
    <t>Property Information Collection</t>
  </si>
  <si>
    <t>S</t>
  </si>
  <si>
    <t>Acquisition Loan Information</t>
  </si>
  <si>
    <t>Refinance Loan Information</t>
  </si>
  <si>
    <t>Acquisition Period Metrics</t>
  </si>
  <si>
    <t>Ref. Total Loan</t>
  </si>
  <si>
    <t>Refinanced Metrics</t>
  </si>
  <si>
    <t>Financial Metrics</t>
  </si>
  <si>
    <t>Deal Qualification</t>
  </si>
  <si>
    <t>city-of-tshwane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</si>
</sst>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5" formatCode="&quot;R&quot;#,##0.00"/>
    <numFmt numFmtId="166" formatCode="0.0"/>
  </numFmts>
  <fonts count="19" x14ac:knownFonts="1">
    <font>
      <sz val="11"/>
      <color theme="1"/>
      <name val="Calibri"/>
      <family val="2"/>
      <scheme val="minor"/>
    </font>
    <font>
      <b/>
      <sz val="15"/>
      <color theme="3"/>
      <name val="Calibri"/>
      <family val="2"/>
      <scheme val="minor"/>
    </font>
    <font>
      <u/>
      <sz val="11"/>
      <color theme="10"/>
      <name val="Calibri"/>
      <family val="2"/>
      <scheme val="minor"/>
    </font>
    <font>
      <sz val="11"/>
      <name val="Calibri"/>
      <family val="2"/>
      <scheme val="minor"/>
    </font>
    <font>
      <b/>
      <sz val="18"/>
      <color theme="3"/>
      <name val="Calibri"/>
      <family val="2"/>
      <scheme val="minor"/>
    </font>
    <font>
      <sz val="9"/>
      <color indexed="81"/>
      <name val="Tahoma"/>
      <family val="2"/>
    </font>
    <font>
      <b/>
      <sz val="9"/>
      <color indexed="81"/>
      <name val="Tahoma"/>
      <family val="2"/>
    </font>
    <font>
      <sz val="11"/>
      <color theme="1"/>
      <name val="Calibri"/>
      <family val="2"/>
      <scheme val="minor"/>
    </font>
    <font>
      <b/>
      <sz val="13"/>
      <color theme="3"/>
      <name val="Calibri"/>
      <family val="2"/>
      <scheme val="minor"/>
    </font>
    <font>
      <b/>
      <sz val="14"/>
      <color theme="0"/>
      <name val="Calibri"/>
      <family val="2"/>
      <scheme val="minor"/>
    </font>
    <font>
      <b/>
      <sz val="12"/>
      <color theme="3"/>
      <name val="Calibri"/>
      <family val="2"/>
      <scheme val="minor"/>
    </font>
    <font>
      <b/>
      <sz val="10"/>
      <color theme="3"/>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9"/>
      <color theme="1"/>
      <name val="Calibri"/>
      <family val="2"/>
      <scheme val="minor"/>
    </font>
    <font>
      <b/>
      <sz val="9"/>
      <color theme="3"/>
      <name val="Calibri"/>
      <family val="2"/>
      <scheme val="minor"/>
    </font>
    <font>
      <sz val="9"/>
      <color theme="1"/>
      <name val="Calibri"/>
      <family val="2"/>
      <scheme val="minor"/>
    </font>
    <font>
      <b/>
      <sz val="11"/>
      <color theme="1"/>
      <name val="Calibri"/>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6"/>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3" tint="-0.249977111117893"/>
        <bgColor indexed="64"/>
      </patternFill>
    </fill>
    <fill>
      <patternFill patternType="solid">
        <fgColor rgb="FFFFFF0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6">
    <xf numFmtId="0" fontId="0" fillId="0" borderId="0"/>
    <xf numFmtId="0" fontId="4" fillId="0" borderId="0" applyNumberFormat="0" applyFill="0" applyBorder="0" applyAlignment="0" applyProtection="0"/>
    <xf numFmtId="0" fontId="1" fillId="0" borderId="1" applyNumberFormat="0" applyFill="0" applyAlignment="0" applyProtection="0"/>
    <xf numFmtId="0" fontId="2" fillId="0" borderId="0" applyNumberFormat="0" applyFill="0" applyBorder="0" applyAlignment="0" applyProtection="0"/>
    <xf numFmtId="43" fontId="7" fillId="0" borderId="0" applyFont="0" applyFill="0" applyBorder="0" applyAlignment="0" applyProtection="0"/>
    <xf numFmtId="0" fontId="8" fillId="0" borderId="2" applyNumberFormat="0" applyFill="0" applyAlignment="0" applyProtection="0"/>
  </cellStyleXfs>
  <cellXfs count="78">
    <xf numFmtId="0" fontId="0" fillId="0" borderId="0" xfId="0"/>
    <xf numFmtId="0" fontId="2" fillId="0" borderId="0" xfId="3"/>
    <xf numFmtId="10" fontId="0" fillId="0" borderId="0" xfId="0" applyNumberFormat="1"/>
    <xf numFmtId="0" fontId="0" fillId="3" borderId="0" xfId="0" applyFill="1" applyAlignment="1">
      <alignment horizontal="center"/>
    </xf>
    <xf numFmtId="0" fontId="0" fillId="0" borderId="0" xfId="0" applyNumberFormat="1"/>
    <xf numFmtId="0" fontId="0" fillId="0" borderId="0" xfId="0" applyFill="1"/>
    <xf numFmtId="0" fontId="8" fillId="0" borderId="2" xfId="5" applyFill="1"/>
    <xf numFmtId="0" fontId="0" fillId="0" borderId="3" xfId="0" applyBorder="1"/>
    <xf numFmtId="0" fontId="0" fillId="0" borderId="0" xfId="0" applyBorder="1"/>
    <xf numFmtId="0" fontId="9" fillId="0" borderId="0" xfId="0" applyFont="1"/>
    <xf numFmtId="0" fontId="9" fillId="6" borderId="0" xfId="0" applyFont="1" applyFill="1"/>
    <xf numFmtId="0" fontId="9" fillId="7" borderId="0" xfId="0" applyFont="1" applyFill="1"/>
    <xf numFmtId="0" fontId="9" fillId="7" borderId="0" xfId="0" applyFont="1" applyFill="1" applyBorder="1"/>
    <xf numFmtId="0" fontId="9" fillId="5" borderId="0" xfId="0" applyFont="1" applyFill="1" applyBorder="1"/>
    <xf numFmtId="0" fontId="9" fillId="8" borderId="0" xfId="0" applyFont="1" applyFill="1"/>
    <xf numFmtId="0" fontId="9" fillId="9" borderId="0" xfId="0" applyFont="1" applyFill="1"/>
    <xf numFmtId="0" fontId="0" fillId="10" borderId="0" xfId="0" applyFill="1"/>
    <xf numFmtId="0" fontId="0" fillId="3" borderId="0" xfId="0" applyFill="1"/>
    <xf numFmtId="2" fontId="0" fillId="3" borderId="0" xfId="0" applyNumberFormat="1" applyFill="1"/>
    <xf numFmtId="10" fontId="0" fillId="3" borderId="0" xfId="0" applyNumberFormat="1" applyFill="1"/>
    <xf numFmtId="0" fontId="0" fillId="3" borderId="0" xfId="0" applyNumberFormat="1" applyFill="1"/>
    <xf numFmtId="0" fontId="0" fillId="0" borderId="0" xfId="0" applyAlignment="1">
      <alignment horizontal="centerContinuous"/>
    </xf>
    <xf numFmtId="0" fontId="10" fillId="0" borderId="1" xfId="2" applyFont="1"/>
    <xf numFmtId="0" fontId="11" fillId="0" borderId="1" xfId="2" applyFont="1"/>
    <xf numFmtId="0" fontId="12" fillId="0" borderId="0" xfId="0" applyFont="1"/>
    <xf numFmtId="0" fontId="12" fillId="0" borderId="0" xfId="0" applyFont="1" applyFill="1"/>
    <xf numFmtId="0" fontId="0" fillId="4" borderId="0" xfId="0" applyFill="1"/>
    <xf numFmtId="165" fontId="12" fillId="0" borderId="0" xfId="0" applyNumberFormat="1" applyFont="1" applyFill="1"/>
    <xf numFmtId="0" fontId="12" fillId="0" borderId="0" xfId="0" applyFont="1" applyFill="1" applyAlignment="1">
      <alignment horizontal="left" indent="1"/>
    </xf>
    <xf numFmtId="0" fontId="12" fillId="0" borderId="0" xfId="0" applyFont="1" applyFill="1" applyAlignment="1">
      <alignment horizontal="centerContinuous"/>
    </xf>
    <xf numFmtId="0" fontId="12" fillId="0" borderId="0" xfId="0" applyNumberFormat="1" applyFont="1" applyFill="1"/>
    <xf numFmtId="14" fontId="12" fillId="0" borderId="0" xfId="0" applyNumberFormat="1" applyFont="1" applyFill="1"/>
    <xf numFmtId="0" fontId="12" fillId="2" borderId="0" xfId="0" applyFont="1" applyFill="1"/>
    <xf numFmtId="0" fontId="0" fillId="2" borderId="0" xfId="0" applyFill="1"/>
    <xf numFmtId="165" fontId="12" fillId="4" borderId="0" xfId="0" applyNumberFormat="1" applyFont="1" applyFill="1"/>
    <xf numFmtId="0" fontId="13" fillId="5" borderId="0" xfId="0" applyFont="1" applyFill="1" applyAlignment="1">
      <alignment horizontal="center"/>
    </xf>
    <xf numFmtId="0" fontId="13" fillId="5" borderId="0" xfId="0" applyFont="1" applyFill="1" applyAlignment="1">
      <alignment horizontal="center" wrapText="1"/>
    </xf>
    <xf numFmtId="165" fontId="14" fillId="0" borderId="0" xfId="0" applyNumberFormat="1" applyFont="1" applyFill="1"/>
    <xf numFmtId="0" fontId="12" fillId="0" borderId="0" xfId="0" applyFont="1" applyFill="1" applyAlignment="1">
      <alignment horizontal="right"/>
    </xf>
    <xf numFmtId="0" fontId="12" fillId="0" borderId="0" xfId="0" applyFont="1" applyFill="1" applyAlignment="1">
      <alignment horizontal="left"/>
    </xf>
    <xf numFmtId="0" fontId="9" fillId="12" borderId="0" xfId="0" applyFont="1" applyFill="1" applyAlignment="1">
      <alignment horizontal="centerContinuous"/>
    </xf>
    <xf numFmtId="0" fontId="0" fillId="12" borderId="0" xfId="0" applyFill="1" applyAlignment="1">
      <alignment horizontal="centerContinuous"/>
    </xf>
    <xf numFmtId="0" fontId="2" fillId="0" borderId="0" xfId="3" applyFill="1" applyAlignment="1">
      <alignment horizontal="left"/>
    </xf>
    <xf numFmtId="0" fontId="3" fillId="0" borderId="0" xfId="0" applyFont="1" applyFill="1"/>
    <xf numFmtId="43" fontId="0" fillId="0" borderId="0" xfId="4" applyFont="1"/>
    <xf numFmtId="43" fontId="0" fillId="10" borderId="0" xfId="4" applyFont="1" applyFill="1"/>
    <xf numFmtId="43" fontId="0" fillId="3" borderId="0" xfId="4" applyFont="1" applyFill="1"/>
    <xf numFmtId="43" fontId="0" fillId="11" borderId="0" xfId="4" applyFont="1" applyFill="1"/>
    <xf numFmtId="43" fontId="3" fillId="3" borderId="0" xfId="4" applyFont="1" applyFill="1"/>
    <xf numFmtId="165" fontId="15" fillId="0" borderId="0" xfId="0" applyNumberFormat="1" applyFont="1" applyAlignment="1">
      <alignment horizontal="right"/>
    </xf>
    <xf numFmtId="0" fontId="16" fillId="0" borderId="1" xfId="2" applyFont="1" applyAlignment="1">
      <alignment horizontal="right"/>
    </xf>
    <xf numFmtId="0" fontId="17" fillId="0" borderId="0" xfId="0" applyFont="1"/>
    <xf numFmtId="1" fontId="15" fillId="0" borderId="0" xfId="0" applyNumberFormat="1" applyFont="1" applyAlignment="1">
      <alignment horizontal="right"/>
    </xf>
    <xf numFmtId="10" fontId="15" fillId="0" borderId="0" xfId="0" applyNumberFormat="1" applyFont="1" applyAlignment="1">
      <alignment horizontal="right"/>
    </xf>
    <xf numFmtId="0" fontId="16" fillId="0" borderId="1" xfId="2" applyFont="1"/>
    <xf numFmtId="2" fontId="15" fillId="0" borderId="0" xfId="0" applyNumberFormat="1" applyFont="1" applyAlignment="1">
      <alignment horizontal="right"/>
    </xf>
    <xf numFmtId="165" fontId="17" fillId="0" borderId="0" xfId="0" applyNumberFormat="1" applyFont="1" applyFill="1"/>
    <xf numFmtId="10" fontId="17" fillId="0" borderId="0" xfId="0" applyNumberFormat="1" applyFont="1" applyFill="1"/>
    <xf numFmtId="0" fontId="15" fillId="0" borderId="0" xfId="0" applyNumberFormat="1" applyFont="1" applyAlignment="1">
      <alignment horizontal="right"/>
    </xf>
    <xf numFmtId="10" fontId="14" fillId="0" borderId="0" xfId="0" applyNumberFormat="1" applyFont="1" applyFill="1"/>
    <xf numFmtId="0" fontId="14" fillId="0" borderId="0" xfId="0" applyNumberFormat="1" applyFont="1" applyFill="1"/>
    <xf numFmtId="14" fontId="14" fillId="5" borderId="0" xfId="0" applyNumberFormat="1" applyFont="1" applyFill="1"/>
    <xf numFmtId="49" fontId="14" fillId="5" borderId="0" xfId="0" applyNumberFormat="1" applyFont="1" applyFill="1" applyAlignment="1">
      <alignment horizontal="right"/>
    </xf>
    <xf numFmtId="0" fontId="0" fillId="13" borderId="0" xfId="0" applyFill="1"/>
    <xf numFmtId="10" fontId="3" fillId="0" borderId="0" xfId="4" applyNumberFormat="1" applyFont="1" applyFill="1"/>
    <xf numFmtId="10" fontId="0" fillId="0" borderId="0" xfId="4" applyNumberFormat="1" applyFont="1" applyFill="1"/>
    <xf numFmtId="10" fontId="0" fillId="13" borderId="0" xfId="0" applyNumberFormat="1" applyFill="1"/>
    <xf numFmtId="0" fontId="0" fillId="0" borderId="0" xfId="0" pivotButton="1"/>
    <xf numFmtId="165" fontId="0" fillId="0" borderId="0" xfId="0" applyNumberFormat="1"/>
    <xf numFmtId="2" fontId="0" fillId="0" borderId="0" xfId="0" applyNumberFormat="1"/>
    <xf numFmtId="165" fontId="12" fillId="0" borderId="0" xfId="0" applyNumberFormat="1" applyFont="1"/>
    <xf numFmtId="0" fontId="18" fillId="0" borderId="0" xfId="0" applyFont="1"/>
    <xf numFmtId="43" fontId="0" fillId="10" borderId="0" xfId="4" applyNumberFormat="1" applyFont="1" applyFill="1"/>
    <xf numFmtId="43" fontId="0" fillId="3" borderId="0" xfId="4" applyNumberFormat="1" applyFont="1" applyFill="1"/>
    <xf numFmtId="43" fontId="3" fillId="3" borderId="0" xfId="4" applyNumberFormat="1" applyFont="1" applyFill="1"/>
    <xf numFmtId="166" fontId="0" fillId="0" borderId="0" xfId="0" applyNumberFormat="1"/>
    <xf numFmtId="9" fontId="0" fillId="0" borderId="0" xfId="0" applyNumberFormat="1"/>
    <xf numFmtId="43" fontId="0" fillId="10" borderId="0" xfId="0" applyNumberFormat="1" applyFill="1"/>
  </cellXfs>
  <cellStyles count="6">
    <cellStyle name="Comma" xfId="4" builtinId="3"/>
    <cellStyle name="Heading 1" xfId="2" builtinId="16"/>
    <cellStyle name="Heading 2" xfId="5" builtinId="17"/>
    <cellStyle name="Hyperlink" xfId="3" builtinId="8"/>
    <cellStyle name="Normal" xfId="0" builtinId="0"/>
    <cellStyle name="Title" xfId="1" builtinId="15" customBuiltin="1"/>
  </cellStyles>
  <dxfs count="115">
    <dxf>
      <numFmt numFmtId="2" formatCode="0.00"/>
    </dxf>
    <dxf>
      <numFmt numFmtId="2" formatCode="0.00"/>
    </dxf>
    <dxf>
      <numFmt numFmtId="165" formatCode="&quot;R&quot;#,##0.00"/>
    </dxf>
    <dxf>
      <numFmt numFmtId="165" formatCode="&quot;R&quot;#,##0.00"/>
    </dxf>
    <dxf>
      <font>
        <color rgb="FF9C0006"/>
      </font>
    </dxf>
    <dxf>
      <font>
        <color rgb="FF9C0006"/>
      </font>
    </dxf>
    <dxf>
      <font>
        <color rgb="FF9C0006"/>
      </font>
    </dxf>
    <dxf>
      <numFmt numFmtId="14" formatCode="0.00%"/>
      <fill>
        <patternFill patternType="solid">
          <fgColor indexed="64"/>
          <bgColor theme="0" tint="-0.14999847407452621"/>
        </patternFill>
      </fill>
    </dxf>
    <dxf>
      <numFmt numFmtId="14" formatCode="0.00%"/>
      <fill>
        <patternFill patternType="solid">
          <fgColor indexed="64"/>
          <bgColor theme="0" tint="-0.14999847407452621"/>
        </patternFill>
      </fill>
    </dxf>
    <dxf>
      <numFmt numFmtId="14" formatCode="0.00%"/>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numFmt numFmtId="166" formatCode="0.0"/>
    </dxf>
    <dxf>
      <numFmt numFmtId="2" formatCode="0.00"/>
      <fill>
        <patternFill patternType="solid">
          <fgColor indexed="64"/>
          <bgColor theme="0" tint="-0.14999847407452621"/>
        </patternFill>
      </fill>
    </dxf>
    <dxf>
      <numFmt numFmtId="35" formatCode="_-* #,##0.00_-;\-* #,##0.00_-;_-* &quot;-&quot;??_-;_-@_-"/>
      <fill>
        <patternFill patternType="solid">
          <fgColor indexed="64"/>
          <bgColor theme="6" tint="0.59999389629810485"/>
        </patternFill>
      </fill>
    </dxf>
    <dxf>
      <numFmt numFmtId="35" formatCode="_-* #,##0.00_-;\-* #,##0.00_-;_-* &quot;-&quot;??_-;_-@_-"/>
      <fill>
        <patternFill patternType="solid">
          <fgColor indexed="64"/>
          <bgColor theme="5" tint="0.59999389629810485"/>
        </patternFill>
      </fill>
    </dxf>
    <dxf>
      <numFmt numFmtId="35" formatCode="_-* #,##0.00_-;\-* #,##0.00_-;_-* &quot;-&quot;??_-;_-@_-"/>
      <fill>
        <patternFill patternType="solid">
          <fgColor indexed="64"/>
          <bgColor theme="5" tint="0.59999389629810485"/>
        </patternFill>
      </fill>
    </dxf>
    <dxf>
      <fill>
        <patternFill patternType="solid">
          <fgColor indexed="64"/>
          <bgColor theme="5" tint="0.59999389629810485"/>
        </patternFill>
      </fill>
    </dxf>
    <dxf>
      <numFmt numFmtId="14" formatCode="0.00%"/>
    </dxf>
    <dxf>
      <fill>
        <patternFill patternType="solid">
          <fgColor indexed="64"/>
          <bgColor theme="5" tint="0.59999389629810485"/>
        </patternFill>
      </fill>
    </dxf>
    <dxf>
      <numFmt numFmtId="14" formatCode="0.00%"/>
      <fill>
        <patternFill patternType="solid">
          <fgColor indexed="64"/>
          <bgColor theme="5" tint="0.5999938962981048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9"/>
        <color theme="1"/>
        <name val="Calibri"/>
        <scheme val="minor"/>
      </font>
      <numFmt numFmtId="165" formatCode="&quot;R&quot;#,##0.00"/>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numFmt numFmtId="2" formatCode="0.00"/>
      <fill>
        <patternFill patternType="solid">
          <fgColor indexed="64"/>
          <bgColor theme="0" tint="-0.14999847407452621"/>
        </patternFill>
      </fill>
    </dxf>
    <dxf>
      <numFmt numFmtId="2" formatCode="0.00"/>
      <fill>
        <patternFill patternType="solid">
          <fgColor indexed="64"/>
          <bgColor theme="0" tint="-0.14999847407452621"/>
        </patternFill>
      </fill>
    </dxf>
    <dxf>
      <numFmt numFmtId="2" formatCode="0.00"/>
      <fill>
        <patternFill patternType="solid">
          <fgColor indexed="64"/>
          <bgColor theme="0" tint="-0.14999847407452621"/>
        </patternFill>
      </fill>
    </dxf>
    <dxf>
      <numFmt numFmtId="2" formatCode="0.00"/>
      <fill>
        <patternFill patternType="solid">
          <fgColor indexed="64"/>
          <bgColor theme="0" tint="-0.14999847407452621"/>
        </patternFill>
      </fill>
    </dxf>
    <dxf>
      <numFmt numFmtId="2" formatCode="0.00"/>
      <fill>
        <patternFill patternType="solid">
          <fgColor indexed="64"/>
          <bgColor theme="0" tint="-0.14999847407452621"/>
        </patternFill>
      </fill>
    </dxf>
    <dxf>
      <numFmt numFmtId="2" formatCode="0.00"/>
      <fill>
        <patternFill patternType="solid">
          <fgColor indexed="64"/>
          <bgColor theme="0" tint="-0.14999847407452621"/>
        </patternFill>
      </fill>
    </dxf>
    <dxf>
      <numFmt numFmtId="2" formatCode="0.00"/>
      <fill>
        <patternFill patternType="solid">
          <fgColor indexed="64"/>
          <bgColor theme="0" tint="-0.14999847407452621"/>
        </patternFill>
      </fill>
    </dxf>
    <dxf>
      <numFmt numFmtId="2" formatCode="0.00"/>
      <fill>
        <patternFill patternType="solid">
          <fgColor indexed="64"/>
          <bgColor theme="0" tint="-0.14999847407452621"/>
        </patternFill>
      </fill>
    </dxf>
    <dxf>
      <numFmt numFmtId="2" formatCode="0.00"/>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numFmt numFmtId="14" formatCode="0.00%"/>
      <fill>
        <patternFill patternType="solid">
          <fgColor indexed="64"/>
          <bgColor theme="0" tint="-0.14999847407452621"/>
        </patternFill>
      </fill>
    </dxf>
    <dxf>
      <numFmt numFmtId="14" formatCode="0.00%"/>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numFmt numFmtId="2" formatCode="0.00"/>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font>
        <strike val="0"/>
        <outline val="0"/>
        <shadow val="0"/>
        <u val="none"/>
        <vertAlign val="baseline"/>
        <sz val="11"/>
        <color auto="1"/>
        <name val="Calibri"/>
        <scheme val="minor"/>
      </font>
      <numFmt numFmtId="35" formatCode="_-* #,##0.00_-;\-* #,##0.00_-;_-* &quot;-&quot;??_-;_-@_-"/>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fill>
        <patternFill patternType="solid">
          <fgColor indexed="64"/>
          <bgColor theme="0" tint="-0.14999847407452621"/>
        </patternFill>
      </fill>
    </dxf>
    <dxf>
      <numFmt numFmtId="14" formatCode="0.00%"/>
    </dxf>
    <dxf>
      <numFmt numFmtId="14" formatCode="0.00%"/>
    </dxf>
    <dxf>
      <numFmt numFmtId="14" formatCode="0.00%"/>
    </dxf>
    <dxf>
      <numFmt numFmtId="14" formatCode="0.00%"/>
    </dxf>
    <dxf>
      <fill>
        <patternFill patternType="solid">
          <fgColor indexed="64"/>
          <bgColor theme="0" tint="-0.14999847407452621"/>
        </patternFill>
      </fill>
    </dxf>
    <dxf>
      <numFmt numFmtId="35" formatCode="_-* #,##0.00_-;\-* #,##0.00_-;_-* &quot;-&quot;??_-;_-@_-"/>
      <fill>
        <patternFill patternType="solid">
          <fgColor indexed="64"/>
          <bgColor theme="0" tint="-0.14999847407452621"/>
        </patternFill>
      </fill>
    </dxf>
    <dxf>
      <font>
        <b val="0"/>
        <i val="0"/>
        <strike val="0"/>
        <condense val="0"/>
        <extend val="0"/>
        <outline val="0"/>
        <shadow val="0"/>
        <u val="none"/>
        <vertAlign val="baseline"/>
        <sz val="11"/>
        <color theme="1"/>
        <name val="Calibri"/>
        <scheme val="minor"/>
      </font>
      <numFmt numFmtId="14" formatCode="0.00%"/>
      <fill>
        <patternFill patternType="none">
          <fgColor indexed="64"/>
          <bgColor auto="1"/>
        </patternFill>
      </fill>
    </dxf>
    <dxf>
      <numFmt numFmtId="35" formatCode="_-* #,##0.00_-;\-* #,##0.00_-;_-* &quot;-&quot;??_-;_-@_-"/>
      <fill>
        <patternFill patternType="solid">
          <fgColor indexed="64"/>
          <bgColor theme="0" tint="-0.14999847407452621"/>
        </patternFill>
      </fill>
    </dxf>
    <dxf>
      <font>
        <b val="0"/>
        <i val="0"/>
        <strike val="0"/>
        <condense val="0"/>
        <extend val="0"/>
        <outline val="0"/>
        <shadow val="0"/>
        <u val="none"/>
        <vertAlign val="baseline"/>
        <sz val="11"/>
        <color theme="1"/>
        <name val="Calibri"/>
        <scheme val="minor"/>
      </font>
      <numFmt numFmtId="14" formatCode="0.00%"/>
      <fill>
        <patternFill patternType="none">
          <fgColor indexed="64"/>
          <bgColor auto="1"/>
        </patternFill>
      </fill>
    </dxf>
    <dxf>
      <numFmt numFmtId="35" formatCode="_-* #,##0.00_-;\-* #,##0.00_-;_-* &quot;-&quot;??_-;_-@_-"/>
      <fill>
        <patternFill patternType="solid">
          <fgColor indexed="64"/>
          <bgColor theme="0" tint="-0.14999847407452621"/>
        </patternFill>
      </fill>
    </dxf>
    <dxf>
      <font>
        <b val="0"/>
        <i val="0"/>
        <strike val="0"/>
        <condense val="0"/>
        <extend val="0"/>
        <outline val="0"/>
        <shadow val="0"/>
        <u val="none"/>
        <vertAlign val="baseline"/>
        <sz val="11"/>
        <color theme="1"/>
        <name val="Calibri"/>
        <scheme val="minor"/>
      </font>
      <numFmt numFmtId="14" formatCode="0.00%"/>
      <fill>
        <patternFill patternType="none">
          <fgColor indexed="64"/>
          <bgColor auto="1"/>
        </patternFill>
      </fill>
    </dxf>
    <dxf>
      <numFmt numFmtId="35" formatCode="_-* #,##0.00_-;\-* #,##0.00_-;_-* &quot;-&quot;??_-;_-@_-"/>
      <fill>
        <patternFill patternType="solid">
          <fgColor indexed="64"/>
          <bgColor theme="0" tint="-0.14999847407452621"/>
        </patternFill>
      </fill>
    </dxf>
    <dxf>
      <font>
        <b val="0"/>
        <i val="0"/>
        <strike val="0"/>
        <condense val="0"/>
        <extend val="0"/>
        <outline val="0"/>
        <shadow val="0"/>
        <u val="none"/>
        <vertAlign val="baseline"/>
        <sz val="11"/>
        <color auto="1"/>
        <name val="Calibri"/>
        <scheme val="minor"/>
      </font>
      <numFmt numFmtId="14" formatCode="0.00%"/>
      <fill>
        <patternFill patternType="none">
          <fgColor indexed="64"/>
          <bgColor auto="1"/>
        </patternFill>
      </fill>
    </dxf>
    <dxf>
      <fill>
        <patternFill patternType="solid">
          <fgColor indexed="64"/>
          <bgColor theme="0" tint="-0.14999847407452621"/>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6" tint="0.59999389629810485"/>
        </patternFill>
      </fill>
    </dxf>
    <dxf>
      <numFmt numFmtId="35" formatCode="_-* #,##0.00_-;\-* #,##0.00_-;_-* &quot;-&quot;??_-;_-@_-"/>
      <fill>
        <patternFill patternType="solid">
          <fgColor indexed="64"/>
          <bgColor theme="0" tint="-0.14999847407452621"/>
        </patternFill>
      </fill>
    </dxf>
    <dxf>
      <numFmt numFmtId="14" formatCode="0.00%"/>
    </dxf>
    <dxf>
      <numFmt numFmtId="35" formatCode="_-* #,##0.00_-;\-* #,##0.00_-;_-* &quot;-&quot;??_-;_-@_-"/>
      <fill>
        <patternFill patternType="solid">
          <fgColor indexed="64"/>
          <bgColor theme="5" tint="0.59999389629810485"/>
        </patternFill>
      </fill>
    </dxf>
    <dxf>
      <fill>
        <patternFill patternType="solid">
          <fgColor indexed="64"/>
          <bgColor theme="5" tint="0.59999389629810485"/>
        </patternFill>
      </fill>
    </dxf>
    <dxf>
      <font>
        <b val="0"/>
        <i val="0"/>
        <strike val="0"/>
        <condense val="0"/>
        <extend val="0"/>
        <outline val="0"/>
        <shadow val="0"/>
        <u val="none"/>
        <vertAlign val="baseline"/>
        <sz val="11"/>
        <color theme="1"/>
        <name val="Calibri"/>
        <scheme val="minor"/>
      </font>
    </dxf>
    <dxf>
      <numFmt numFmtId="0" formatCode="General"/>
      <fill>
        <patternFill patternType="solid">
          <fgColor indexed="64"/>
          <bgColor theme="0" tint="-0.14999847407452621"/>
        </patternFill>
      </fill>
    </dxf>
    <dxf>
      <numFmt numFmtId="166" formatCode="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[project_workbook.xlsx]Properties_Analysis_Pivot!PivotTable1</c:name>
    <c:fmtId val="10"/>
  </c:pivotSource>
  <c:chart>
    <c:title>
      <c:tx>
        <c:rich>
          <a:bodyPr/>
          <a:lstStyle/>
          <a:p>
            <a:pPr>
              <a:defRPr/>
            </a:pPr>
            <a:r>
              <a:rPr lang="en-ZA"/>
              <a:t>Property Cashflows</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marker>
          <c:symbol val="none"/>
        </c:marker>
      </c:pivotFmt>
      <c:pivotFmt>
        <c:idx val="19"/>
        <c:marker>
          <c:symbol val="none"/>
        </c:marker>
      </c:pivotFmt>
      <c:pivotFmt>
        <c:idx val="20"/>
        <c:marker>
          <c:symbol val="none"/>
        </c:marker>
      </c:pivotFmt>
    </c:pivotFmts>
    <c:plotArea>
      <c:layout/>
      <c:barChart>
        <c:barDir val="col"/>
        <c:grouping val="clustered"/>
        <c:varyColors val="0"/>
        <c:ser>
          <c:idx val="0"/>
          <c:order val="0"/>
          <c:tx>
            <c:strRef>
              <c:f>Properties_Analysis_Pivot!$C$7</c:f>
              <c:strCache>
                <c:ptCount val="1"/>
                <c:pt idx="0">
                  <c:v>Initial Cashflow</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Properties_Analysis_Pivot!$C$8:$C$9</c:f>
              <c:numCache>
                <c:formatCode>"R"#,##0.00</c:formatCode>
                <c:ptCount val="1"/>
                <c:pt idx="0">
                  <c:v>1805.837138387411</c:v>
                </c:pt>
              </c:numCache>
            </c:numRef>
          </c:val>
        </c:ser>
        <c:ser>
          <c:idx val="1"/>
          <c:order val="1"/>
          <c:tx>
            <c:strRef>
              <c:f>Properties_Analysis_Pivot!$D$7</c:f>
              <c:strCache>
                <c:ptCount val="1"/>
                <c:pt idx="0">
                  <c:v>Refinanced Cashflow</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Properties_Analysis_Pivot!$D$8:$D$9</c:f>
              <c:numCache>
                <c:formatCode>"R"#,##0.00</c:formatCode>
                <c:ptCount val="1"/>
                <c:pt idx="0">
                  <c:v>4713.4992570338072</c:v>
                </c:pt>
              </c:numCache>
            </c:numRef>
          </c:val>
        </c:ser>
        <c:ser>
          <c:idx val="2"/>
          <c:order val="2"/>
          <c:tx>
            <c:strRef>
              <c:f>Properties_Analysis_Pivot!$E$7</c:f>
              <c:strCache>
                <c:ptCount val="1"/>
                <c:pt idx="0">
                  <c:v> Cashflow Target</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Properties_Analysis_Pivot!$E$8:$E$9</c:f>
              <c:numCache>
                <c:formatCode>General</c:formatCode>
                <c:ptCount val="1"/>
                <c:pt idx="0">
                  <c:v>500</c:v>
                </c:pt>
              </c:numCache>
            </c:numRef>
          </c:val>
        </c:ser>
        <c:dLbls>
          <c:showLegendKey val="0"/>
          <c:showVal val="0"/>
          <c:showCatName val="0"/>
          <c:showSerName val="0"/>
          <c:showPercent val="0"/>
          <c:showBubbleSize val="0"/>
        </c:dLbls>
        <c:gapWidth val="150"/>
        <c:axId val="253888768"/>
        <c:axId val="253911040"/>
      </c:barChart>
      <c:catAx>
        <c:axId val="253888768"/>
        <c:scaling>
          <c:orientation val="minMax"/>
        </c:scaling>
        <c:delete val="0"/>
        <c:axPos val="b"/>
        <c:majorTickMark val="out"/>
        <c:minorTickMark val="none"/>
        <c:tickLblPos val="nextTo"/>
        <c:txPr>
          <a:bodyPr rot="-3600000" vert="horz" anchor="b" anchorCtr="1"/>
          <a:lstStyle/>
          <a:p>
            <a:pPr>
              <a:defRPr/>
            </a:pPr>
            <a:endParaRPr lang="en-US"/>
          </a:p>
        </c:txPr>
        <c:crossAx val="253911040"/>
        <c:crosses val="autoZero"/>
        <c:auto val="1"/>
        <c:lblAlgn val="ctr"/>
        <c:lblOffset val="100"/>
        <c:noMultiLvlLbl val="0"/>
      </c:catAx>
      <c:valAx>
        <c:axId val="253911040"/>
        <c:scaling>
          <c:orientation val="minMax"/>
        </c:scaling>
        <c:delete val="0"/>
        <c:axPos val="l"/>
        <c:numFmt formatCode="&quot;R&quot;#,##0.00" sourceLinked="1"/>
        <c:majorTickMark val="out"/>
        <c:minorTickMark val="none"/>
        <c:tickLblPos val="nextTo"/>
        <c:crossAx val="253888768"/>
        <c:crosses val="autoZero"/>
        <c:crossBetween val="between"/>
      </c:valAx>
      <c:spPr>
        <a:noFill/>
        <a:ln w="25400">
          <a:noFill/>
        </a:ln>
      </c:spPr>
    </c:plotArea>
    <c:legend>
      <c:legendPos val="t"/>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[project_workbook.xlsx]Properties_Analysis_Pivot!PivotTable1</c:name>
    <c:fmtId val="11"/>
  </c:pivotSource>
  <c:chart>
    <c:title>
      <c:tx>
        <c:rich>
          <a:bodyPr/>
          <a:lstStyle/>
          <a:p>
            <a:pPr>
              <a:defRPr/>
            </a:pPr>
            <a:r>
              <a:rPr lang="en-ZA"/>
              <a:t>Property</a:t>
            </a:r>
            <a:r>
              <a:rPr lang="en-ZA" baseline="0"/>
              <a:t> Debt Coverage</a:t>
            </a:r>
            <a:endParaRPr lang="en-ZA"/>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barChart>
        <c:barDir val="col"/>
        <c:grouping val="clustered"/>
        <c:varyColors val="0"/>
        <c:ser>
          <c:idx val="0"/>
          <c:order val="0"/>
          <c:tx>
            <c:strRef>
              <c:f>Properties_Analysis_Pivot!$C$7</c:f>
              <c:strCache>
                <c:ptCount val="1"/>
                <c:pt idx="0">
                  <c:v>Initial Cashflow</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Properties_Analysis_Pivot!$C$8:$C$9</c:f>
              <c:numCache>
                <c:formatCode>"R"#,##0.00</c:formatCode>
                <c:ptCount val="1"/>
                <c:pt idx="0">
                  <c:v>1805.837138387411</c:v>
                </c:pt>
              </c:numCache>
            </c:numRef>
          </c:val>
        </c:ser>
        <c:ser>
          <c:idx val="1"/>
          <c:order val="1"/>
          <c:tx>
            <c:strRef>
              <c:f>Properties_Analysis_Pivot!$D$7</c:f>
              <c:strCache>
                <c:ptCount val="1"/>
                <c:pt idx="0">
                  <c:v>Refinanced Cashflow</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Properties_Analysis_Pivot!$D$8:$D$9</c:f>
              <c:numCache>
                <c:formatCode>"R"#,##0.00</c:formatCode>
                <c:ptCount val="1"/>
                <c:pt idx="0">
                  <c:v>4713.4992570338072</c:v>
                </c:pt>
              </c:numCache>
            </c:numRef>
          </c:val>
        </c:ser>
        <c:ser>
          <c:idx val="2"/>
          <c:order val="2"/>
          <c:tx>
            <c:strRef>
              <c:f>Properties_Analysis_Pivot!$E$7</c:f>
              <c:strCache>
                <c:ptCount val="1"/>
                <c:pt idx="0">
                  <c:v> Cashflow Target</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Properties_Analysis_Pivot!$E$8:$E$9</c:f>
              <c:numCache>
                <c:formatCode>General</c:formatCode>
                <c:ptCount val="1"/>
                <c:pt idx="0">
                  <c:v>500</c:v>
                </c:pt>
              </c:numCache>
            </c:numRef>
          </c:val>
        </c:ser>
        <c:dLbls>
          <c:showLegendKey val="0"/>
          <c:showVal val="0"/>
          <c:showCatName val="0"/>
          <c:showSerName val="0"/>
          <c:showPercent val="0"/>
          <c:showBubbleSize val="0"/>
        </c:dLbls>
        <c:gapWidth val="150"/>
        <c:axId val="253949824"/>
        <c:axId val="253951360"/>
      </c:barChart>
      <c:catAx>
        <c:axId val="253949824"/>
        <c:scaling>
          <c:orientation val="minMax"/>
        </c:scaling>
        <c:delete val="0"/>
        <c:axPos val="b"/>
        <c:majorTickMark val="out"/>
        <c:minorTickMark val="none"/>
        <c:tickLblPos val="nextTo"/>
        <c:txPr>
          <a:bodyPr rot="-3600000"/>
          <a:lstStyle/>
          <a:p>
            <a:pPr>
              <a:defRPr/>
            </a:pPr>
            <a:endParaRPr lang="en-US"/>
          </a:p>
        </c:txPr>
        <c:crossAx val="253951360"/>
        <c:crosses val="autoZero"/>
        <c:auto val="1"/>
        <c:lblAlgn val="ctr"/>
        <c:lblOffset val="100"/>
        <c:noMultiLvlLbl val="0"/>
      </c:catAx>
      <c:valAx>
        <c:axId val="253951360"/>
        <c:scaling>
          <c:orientation val="minMax"/>
        </c:scaling>
        <c:delete val="0"/>
        <c:axPos val="l"/>
        <c:numFmt formatCode="&quot;R&quot;#,##0.00" sourceLinked="1"/>
        <c:majorTickMark val="out"/>
        <c:minorTickMark val="none"/>
        <c:tickLblPos val="nextTo"/>
        <c:crossAx val="253949824"/>
        <c:crosses val="autoZero"/>
        <c:crossBetween val="between"/>
      </c:valAx>
    </c:plotArea>
    <c:legend>
      <c:legendPos val="t"/>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Property_Report_Template!$M$21</c:f>
              <c:strCache>
                <c:ptCount val="1"/>
                <c:pt idx="0">
                  <c:v>Total Annual Income</c:v>
                </c:pt>
              </c:strCache>
            </c:strRef>
          </c:tx>
          <c:marker>
            <c:symbol val="none"/>
          </c:marker>
          <c:val>
            <c:numRef>
              <c:f>Property_Report_Template!$N$21:$AQ$21</c:f>
              <c:numCache>
                <c:formatCode>"R"#,##0.00</c:formatCode>
                <c:ptCount val="30"/>
                <c:pt idx="0">
                  <c:v>73125</c:v>
                </c:pt>
                <c:pt idx="1">
                  <c:v>186030</c:v>
                </c:pt>
                <c:pt idx="2">
                  <c:v>197191.80000000002</c:v>
                </c:pt>
                <c:pt idx="3">
                  <c:v>209023.30800000005</c:v>
                </c:pt>
                <c:pt idx="4">
                  <c:v>221564.70648000005</c:v>
                </c:pt>
                <c:pt idx="5">
                  <c:v>234858.58886880009</c:v>
                </c:pt>
                <c:pt idx="6">
                  <c:v>248950.10420092809</c:v>
                </c:pt>
                <c:pt idx="7">
                  <c:v>263887.11045298382</c:v>
                </c:pt>
                <c:pt idx="8">
                  <c:v>279720.33708016283</c:v>
                </c:pt>
                <c:pt idx="9">
                  <c:v>296503.55730497261</c:v>
                </c:pt>
                <c:pt idx="10">
                  <c:v>314293.77074327099</c:v>
                </c:pt>
                <c:pt idx="11">
                  <c:v>333151.39698786731</c:v>
                </c:pt>
                <c:pt idx="12">
                  <c:v>353140.48080713936</c:v>
                </c:pt>
                <c:pt idx="13">
                  <c:v>374328.90965556772</c:v>
                </c:pt>
                <c:pt idx="14">
                  <c:v>396788.64423490182</c:v>
                </c:pt>
                <c:pt idx="15">
                  <c:v>420595.962888996</c:v>
                </c:pt>
                <c:pt idx="16">
                  <c:v>445831.72066233569</c:v>
                </c:pt>
                <c:pt idx="17">
                  <c:v>472581.62390207587</c:v>
                </c:pt>
                <c:pt idx="18">
                  <c:v>500936.52133620041</c:v>
                </c:pt>
                <c:pt idx="19">
                  <c:v>530992.7126163725</c:v>
                </c:pt>
                <c:pt idx="20">
                  <c:v>562852.27537335479</c:v>
                </c:pt>
                <c:pt idx="21">
                  <c:v>596623.41189575626</c:v>
                </c:pt>
                <c:pt idx="22">
                  <c:v>632420.81660950161</c:v>
                </c:pt>
                <c:pt idx="23">
                  <c:v>670366.06560607185</c:v>
                </c:pt>
                <c:pt idx="24">
                  <c:v>710588.02954243601</c:v>
                </c:pt>
                <c:pt idx="25">
                  <c:v>753223.31131498213</c:v>
                </c:pt>
                <c:pt idx="26">
                  <c:v>798416.70999388117</c:v>
                </c:pt>
                <c:pt idx="27">
                  <c:v>846321.71259351424</c:v>
                </c:pt>
                <c:pt idx="28">
                  <c:v>897101.01534912502</c:v>
                </c:pt>
                <c:pt idx="29">
                  <c:v>950927.0762700726</c:v>
                </c:pt>
              </c:numCache>
            </c:numRef>
          </c:val>
          <c:smooth val="0"/>
        </c:ser>
        <c:ser>
          <c:idx val="1"/>
          <c:order val="1"/>
          <c:tx>
            <c:strRef>
              <c:f>Property_Report_Template!$M$22</c:f>
              <c:strCache>
                <c:ptCount val="1"/>
                <c:pt idx="0">
                  <c:v>Total Annual Expenses</c:v>
                </c:pt>
              </c:strCache>
            </c:strRef>
          </c:tx>
          <c:marker>
            <c:symbol val="none"/>
          </c:marker>
          <c:val>
            <c:numRef>
              <c:f>Property_Report_Template!$N$22:$AQ$22</c:f>
              <c:numCache>
                <c:formatCode>"R"#,##0.00</c:formatCode>
                <c:ptCount val="30"/>
                <c:pt idx="0">
                  <c:v>118938.00891559434</c:v>
                </c:pt>
                <c:pt idx="1">
                  <c:v>122120.55891559435</c:v>
                </c:pt>
                <c:pt idx="2">
                  <c:v>125462.23641559435</c:v>
                </c:pt>
                <c:pt idx="3">
                  <c:v>128970.99779059435</c:v>
                </c:pt>
                <c:pt idx="4">
                  <c:v>132655.19723434438</c:v>
                </c:pt>
                <c:pt idx="5">
                  <c:v>136523.60665028187</c:v>
                </c:pt>
                <c:pt idx="6">
                  <c:v>140585.43653701624</c:v>
                </c:pt>
                <c:pt idx="7">
                  <c:v>144850.35791808733</c:v>
                </c:pt>
                <c:pt idx="8">
                  <c:v>149328.52536821202</c:v>
                </c:pt>
                <c:pt idx="9">
                  <c:v>154030.60119084289</c:v>
                </c:pt>
                <c:pt idx="10">
                  <c:v>158967.78080460534</c:v>
                </c:pt>
                <c:pt idx="11">
                  <c:v>164151.81939905588</c:v>
                </c:pt>
                <c:pt idx="12">
                  <c:v>169595.05992322898</c:v>
                </c:pt>
                <c:pt idx="13">
                  <c:v>175310.46247361071</c:v>
                </c:pt>
                <c:pt idx="14">
                  <c:v>181311.63515151152</c:v>
                </c:pt>
                <c:pt idx="15">
                  <c:v>187612.86646330741</c:v>
                </c:pt>
                <c:pt idx="16">
                  <c:v>194229.15934069303</c:v>
                </c:pt>
                <c:pt idx="17">
                  <c:v>201176.26686194801</c:v>
                </c:pt>
                <c:pt idx="18">
                  <c:v>208470.72975926567</c:v>
                </c:pt>
                <c:pt idx="19">
                  <c:v>216129.91580144927</c:v>
                </c:pt>
                <c:pt idx="20">
                  <c:v>224172.06114574202</c:v>
                </c:pt>
                <c:pt idx="21">
                  <c:v>232616.31375724939</c:v>
                </c:pt>
                <c:pt idx="22">
                  <c:v>241482.77899933216</c:v>
                </c:pt>
                <c:pt idx="23">
                  <c:v>250792.56750351907</c:v>
                </c:pt>
                <c:pt idx="24">
                  <c:v>260567.84543291532</c:v>
                </c:pt>
                <c:pt idx="25">
                  <c:v>270831.88725878135</c:v>
                </c:pt>
                <c:pt idx="26">
                  <c:v>281609.13117594074</c:v>
                </c:pt>
                <c:pt idx="27">
                  <c:v>292925.23728895804</c:v>
                </c:pt>
                <c:pt idx="28">
                  <c:v>304807.14870762627</c:v>
                </c:pt>
                <c:pt idx="29">
                  <c:v>317283.15569722786</c:v>
                </c:pt>
              </c:numCache>
            </c:numRef>
          </c:val>
          <c:smooth val="0"/>
        </c:ser>
        <c:ser>
          <c:idx val="2"/>
          <c:order val="2"/>
          <c:tx>
            <c:strRef>
              <c:f>Property_Report_Template!$M$25</c:f>
              <c:strCache>
                <c:ptCount val="1"/>
                <c:pt idx="0">
                  <c:v>Total Annual Cashflow</c:v>
                </c:pt>
              </c:strCache>
            </c:strRef>
          </c:tx>
          <c:marker>
            <c:symbol val="none"/>
          </c:marker>
          <c:val>
            <c:numRef>
              <c:f>Property_Report_Template!$N$25:$AQ$25</c:f>
              <c:numCache>
                <c:formatCode>"R"#,##0.00</c:formatCode>
                <c:ptCount val="30"/>
                <c:pt idx="0">
                  <c:v>-45813.008915594342</c:v>
                </c:pt>
                <c:pt idx="1">
                  <c:v>63909.441084405655</c:v>
                </c:pt>
                <c:pt idx="2">
                  <c:v>71729.563584405667</c:v>
                </c:pt>
                <c:pt idx="3">
                  <c:v>80052.310209405696</c:v>
                </c:pt>
                <c:pt idx="4">
                  <c:v>88909.509245655674</c:v>
                </c:pt>
                <c:pt idx="5">
                  <c:v>98334.982218518213</c:v>
                </c:pt>
                <c:pt idx="6">
                  <c:v>108364.66766391185</c:v>
                </c:pt>
                <c:pt idx="7">
                  <c:v>119036.75253489648</c:v>
                </c:pt>
                <c:pt idx="8">
                  <c:v>130391.81171195081</c:v>
                </c:pt>
                <c:pt idx="9">
                  <c:v>142472.95611412972</c:v>
                </c:pt>
                <c:pt idx="10">
                  <c:v>155325.98993866565</c:v>
                </c:pt>
                <c:pt idx="11">
                  <c:v>168999.57758881143</c:v>
                </c:pt>
                <c:pt idx="12">
                  <c:v>183545.42088391038</c:v>
                </c:pt>
                <c:pt idx="13">
                  <c:v>199018.44718195702</c:v>
                </c:pt>
                <c:pt idx="14">
                  <c:v>215477.00908339029</c:v>
                </c:pt>
                <c:pt idx="15">
                  <c:v>232983.09642568859</c:v>
                </c:pt>
                <c:pt idx="16">
                  <c:v>251602.56132164266</c:v>
                </c:pt>
                <c:pt idx="17">
                  <c:v>271405.35704012786</c:v>
                </c:pt>
                <c:pt idx="18">
                  <c:v>292465.79157693475</c:v>
                </c:pt>
                <c:pt idx="19">
                  <c:v>314862.79681492323</c:v>
                </c:pt>
                <c:pt idx="20">
                  <c:v>338680.21422761277</c:v>
                </c:pt>
                <c:pt idx="21">
                  <c:v>364007.09813850687</c:v>
                </c:pt>
                <c:pt idx="22">
                  <c:v>390938.03761016944</c:v>
                </c:pt>
                <c:pt idx="23">
                  <c:v>419573.49810255278</c:v>
                </c:pt>
                <c:pt idx="24">
                  <c:v>450020.18410952069</c:v>
                </c:pt>
                <c:pt idx="25">
                  <c:v>482391.42405620078</c:v>
                </c:pt>
                <c:pt idx="26">
                  <c:v>516807.57881794043</c:v>
                </c:pt>
                <c:pt idx="27">
                  <c:v>553396.4753045562</c:v>
                </c:pt>
                <c:pt idx="28">
                  <c:v>592293.86664149875</c:v>
                </c:pt>
                <c:pt idx="29">
                  <c:v>633643.9205728448</c:v>
                </c:pt>
              </c:numCache>
            </c:numRef>
          </c:val>
          <c:smooth val="0"/>
        </c:ser>
        <c:dLbls>
          <c:showLegendKey val="0"/>
          <c:showVal val="0"/>
          <c:showCatName val="0"/>
          <c:showSerName val="0"/>
          <c:showPercent val="0"/>
          <c:showBubbleSize val="0"/>
        </c:dLbls>
        <c:marker val="1"/>
        <c:smooth val="0"/>
        <c:axId val="256011264"/>
        <c:axId val="256013056"/>
      </c:lineChart>
      <c:catAx>
        <c:axId val="256011264"/>
        <c:scaling>
          <c:orientation val="minMax"/>
        </c:scaling>
        <c:delete val="0"/>
        <c:axPos val="b"/>
        <c:majorGridlines>
          <c:spPr>
            <a:ln>
              <a:solidFill>
                <a:schemeClr val="bg1">
                  <a:lumMod val="50000"/>
                  <a:alpha val="40000"/>
                </a:schemeClr>
              </a:solidFill>
            </a:ln>
          </c:spPr>
        </c:majorGridlines>
        <c:majorTickMark val="none"/>
        <c:minorTickMark val="none"/>
        <c:tickLblPos val="none"/>
        <c:spPr>
          <a:ln>
            <a:solidFill>
              <a:schemeClr val="bg1">
                <a:lumMod val="50000"/>
                <a:alpha val="40000"/>
              </a:schemeClr>
            </a:solidFill>
          </a:ln>
        </c:spPr>
        <c:crossAx val="256013056"/>
        <c:crossesAt val="0"/>
        <c:auto val="1"/>
        <c:lblAlgn val="ctr"/>
        <c:lblOffset val="100"/>
        <c:tickMarkSkip val="5"/>
        <c:noMultiLvlLbl val="0"/>
      </c:catAx>
      <c:valAx>
        <c:axId val="256013056"/>
        <c:scaling>
          <c:orientation val="minMax"/>
        </c:scaling>
        <c:delete val="1"/>
        <c:axPos val="l"/>
        <c:numFmt formatCode="#,##0" sourceLinked="0"/>
        <c:majorTickMark val="none"/>
        <c:minorTickMark val="none"/>
        <c:tickLblPos val="nextTo"/>
        <c:crossAx val="256011264"/>
        <c:crosses val="autoZero"/>
        <c:crossBetween val="between"/>
        <c:majorUnit val="100000"/>
        <c:minorUnit val="20000"/>
      </c:valAx>
    </c:plotArea>
    <c:legend>
      <c:legendPos val="l"/>
      <c:layout>
        <c:manualLayout>
          <c:xMode val="edge"/>
          <c:yMode val="edge"/>
          <c:x val="1.1674976232776822E-2"/>
          <c:y val="1.8317433515244379E-2"/>
          <c:w val="0.59085067963531224"/>
          <c:h val="0.18053653882786083"/>
        </c:manualLayout>
      </c:layout>
      <c:overlay val="1"/>
      <c:spPr>
        <a:solidFill>
          <a:schemeClr val="bg1"/>
        </a:solidFill>
      </c:spPr>
    </c:legend>
    <c:plotVisOnly val="0"/>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Property_Report_Template!$M$27</c:f>
              <c:strCache>
                <c:ptCount val="1"/>
                <c:pt idx="0">
                  <c:v>Property Value</c:v>
                </c:pt>
              </c:strCache>
            </c:strRef>
          </c:tx>
          <c:marker>
            <c:symbol val="none"/>
          </c:marker>
          <c:dPt>
            <c:idx val="17"/>
            <c:bubble3D val="0"/>
            <c:spPr>
              <a:ln>
                <a:solidFill>
                  <a:schemeClr val="accent1"/>
                </a:solidFill>
              </a:ln>
            </c:spPr>
          </c:dPt>
          <c:val>
            <c:numRef>
              <c:f>Property_Report_Template!$N$27:$AQ$27</c:f>
              <c:numCache>
                <c:formatCode>"R"#,##0.00</c:formatCode>
                <c:ptCount val="30"/>
                <c:pt idx="0">
                  <c:v>1102500</c:v>
                </c:pt>
                <c:pt idx="1">
                  <c:v>1157625</c:v>
                </c:pt>
                <c:pt idx="2">
                  <c:v>1215506.2500000002</c:v>
                </c:pt>
                <c:pt idx="3">
                  <c:v>1276281.5625</c:v>
                </c:pt>
                <c:pt idx="4">
                  <c:v>1340095.6406250002</c:v>
                </c:pt>
                <c:pt idx="5">
                  <c:v>1407100.42265625</c:v>
                </c:pt>
                <c:pt idx="6">
                  <c:v>1477455.4437890628</c:v>
                </c:pt>
                <c:pt idx="7">
                  <c:v>1551328.2159785158</c:v>
                </c:pt>
                <c:pt idx="8">
                  <c:v>1628894.6267774415</c:v>
                </c:pt>
                <c:pt idx="9">
                  <c:v>1710339.3581163136</c:v>
                </c:pt>
                <c:pt idx="10">
                  <c:v>1795856.3260221295</c:v>
                </c:pt>
                <c:pt idx="11">
                  <c:v>1885649.1423232357</c:v>
                </c:pt>
                <c:pt idx="12">
                  <c:v>1979931.5994393977</c:v>
                </c:pt>
                <c:pt idx="13">
                  <c:v>2078928.1794113673</c:v>
                </c:pt>
                <c:pt idx="14">
                  <c:v>2182874.5883819363</c:v>
                </c:pt>
                <c:pt idx="15">
                  <c:v>2292018.3178010327</c:v>
                </c:pt>
                <c:pt idx="16">
                  <c:v>2406619.2336910847</c:v>
                </c:pt>
                <c:pt idx="17">
                  <c:v>2526950.195375639</c:v>
                </c:pt>
                <c:pt idx="18">
                  <c:v>2653297.7051444212</c:v>
                </c:pt>
                <c:pt idx="19">
                  <c:v>2785962.590401642</c:v>
                </c:pt>
                <c:pt idx="20">
                  <c:v>2925260.7199217239</c:v>
                </c:pt>
                <c:pt idx="21">
                  <c:v>3071523.7559178099</c:v>
                </c:pt>
                <c:pt idx="22">
                  <c:v>3225099.9437137013</c:v>
                </c:pt>
                <c:pt idx="23">
                  <c:v>3386354.9408993856</c:v>
                </c:pt>
                <c:pt idx="24">
                  <c:v>3555672.687944355</c:v>
                </c:pt>
                <c:pt idx="25">
                  <c:v>3733456.322341573</c:v>
                </c:pt>
                <c:pt idx="26">
                  <c:v>3920129.138458652</c:v>
                </c:pt>
                <c:pt idx="27">
                  <c:v>4116135.595381584</c:v>
                </c:pt>
                <c:pt idx="28">
                  <c:v>4321942.3751506638</c:v>
                </c:pt>
                <c:pt idx="29">
                  <c:v>4538039.4939081958</c:v>
                </c:pt>
              </c:numCache>
            </c:numRef>
          </c:val>
          <c:smooth val="0"/>
        </c:ser>
        <c:ser>
          <c:idx val="1"/>
          <c:order val="1"/>
          <c:tx>
            <c:strRef>
              <c:f>Property_Report_Template!$M$28</c:f>
              <c:strCache>
                <c:ptCount val="1"/>
                <c:pt idx="0">
                  <c:v>Equity</c:v>
                </c:pt>
              </c:strCache>
            </c:strRef>
          </c:tx>
          <c:spPr>
            <a:ln>
              <a:solidFill>
                <a:schemeClr val="accent3"/>
              </a:solidFill>
            </a:ln>
          </c:spPr>
          <c:marker>
            <c:symbol val="none"/>
          </c:marker>
          <c:val>
            <c:numRef>
              <c:f>Property_Report_Template!$N$28:$AQ$28</c:f>
              <c:numCache>
                <c:formatCode>"R"#,##0.00</c:formatCode>
                <c:ptCount val="30"/>
                <c:pt idx="0">
                  <c:v>578440.68015751289</c:v>
                </c:pt>
                <c:pt idx="1">
                  <c:v>636582.54418766848</c:v>
                </c:pt>
                <c:pt idx="2">
                  <c:v>697796.56330447528</c:v>
                </c:pt>
                <c:pt idx="3">
                  <c:v>762253.6293985761</c:v>
                </c:pt>
                <c:pt idx="4">
                  <c:v>830134.98883007851</c:v>
                </c:pt>
                <c:pt idx="5">
                  <c:v>901632.94966958114</c:v>
                </c:pt>
                <c:pt idx="6">
                  <c:v>976951.64414622099</c:v>
                </c:pt>
                <c:pt idx="7">
                  <c:v>1056307.8511411098</c:v>
                </c:pt>
                <c:pt idx="8">
                  <c:v>1139931.8840240631</c:v>
                </c:pt>
                <c:pt idx="9">
                  <c:v>1228068.5496367812</c:v>
                </c:pt>
                <c:pt idx="10">
                  <c:v>1320978.1847813735</c:v>
                </c:pt>
                <c:pt idx="11">
                  <c:v>1418937.7771844007</c:v>
                </c:pt>
                <c:pt idx="12">
                  <c:v>1522242.1785792222</c:v>
                </c:pt>
                <c:pt idx="13">
                  <c:v>1631205.4182895543</c:v>
                </c:pt>
                <c:pt idx="14">
                  <c:v>1746162.1265118334</c:v>
                </c:pt>
                <c:pt idx="15">
                  <c:v>1867469.0773907332</c:v>
                </c:pt>
                <c:pt idx="16">
                  <c:v>1995506.8629696122</c:v>
                </c:pt>
                <c:pt idx="17">
                  <c:v>2130681.7101849201</c:v>
                </c:pt>
                <c:pt idx="18">
                  <c:v>2273427.4542711279</c:v>
                </c:pt>
                <c:pt idx="19">
                  <c:v>2424207.6832617735</c:v>
                </c:pt>
                <c:pt idx="20">
                  <c:v>2583518.0697253603</c:v>
                </c:pt>
                <c:pt idx="21">
                  <c:v>2751888.9074759292</c:v>
                </c:pt>
                <c:pt idx="22">
                  <c:v>2929887.8727623997</c:v>
                </c:pt>
                <c:pt idx="23">
                  <c:v>3118123.0313851377</c:v>
                </c:pt>
                <c:pt idx="24">
                  <c:v>3317246.1153312959</c:v>
                </c:pt>
                <c:pt idx="25">
                  <c:v>3527956.0948827476</c:v>
                </c:pt>
                <c:pt idx="26">
                  <c:v>3751003.0747547909</c:v>
                </c:pt>
                <c:pt idx="27">
                  <c:v>3987192.5456950818</c:v>
                </c:pt>
                <c:pt idx="28">
                  <c:v>4237390.026138315</c:v>
                </c:pt>
                <c:pt idx="29">
                  <c:v>4502526.1320034582</c:v>
                </c:pt>
              </c:numCache>
            </c:numRef>
          </c:val>
          <c:smooth val="0"/>
        </c:ser>
        <c:ser>
          <c:idx val="2"/>
          <c:order val="2"/>
          <c:tx>
            <c:strRef>
              <c:f>Property_Report_Template!$M$29</c:f>
              <c:strCache>
                <c:ptCount val="1"/>
                <c:pt idx="0">
                  <c:v>Loan Balance </c:v>
                </c:pt>
              </c:strCache>
            </c:strRef>
          </c:tx>
          <c:spPr>
            <a:ln>
              <a:solidFill>
                <a:schemeClr val="accent2"/>
              </a:solidFill>
            </a:ln>
          </c:spPr>
          <c:marker>
            <c:symbol val="none"/>
          </c:marker>
          <c:val>
            <c:numRef>
              <c:f>Property_Report_Template!$N$29:$AQ$29</c:f>
              <c:numCache>
                <c:formatCode>"R"#,##0.00</c:formatCode>
                <c:ptCount val="30"/>
                <c:pt idx="0">
                  <c:v>524059.31984248717</c:v>
                </c:pt>
                <c:pt idx="1">
                  <c:v>521042.45581233152</c:v>
                </c:pt>
                <c:pt idx="2">
                  <c:v>517709.6866955249</c:v>
                </c:pt>
                <c:pt idx="3">
                  <c:v>514027.9331014239</c:v>
                </c:pt>
                <c:pt idx="4">
                  <c:v>509960.65179492172</c:v>
                </c:pt>
                <c:pt idx="5">
                  <c:v>505467.47298666887</c:v>
                </c:pt>
                <c:pt idx="6">
                  <c:v>500503.7996428418</c:v>
                </c:pt>
                <c:pt idx="7">
                  <c:v>495020.36483740597</c:v>
                </c:pt>
                <c:pt idx="8">
                  <c:v>488962.74275337841</c:v>
                </c:pt>
                <c:pt idx="9">
                  <c:v>482270.80847953225</c:v>
                </c:pt>
                <c:pt idx="10">
                  <c:v>474878.14124075614</c:v>
                </c:pt>
                <c:pt idx="11">
                  <c:v>466711.36513883504</c:v>
                </c:pt>
                <c:pt idx="12">
                  <c:v>457689.42086017545</c:v>
                </c:pt>
                <c:pt idx="13">
                  <c:v>447722.76112181298</c:v>
                </c:pt>
                <c:pt idx="14">
                  <c:v>436712.46187010285</c:v>
                </c:pt>
                <c:pt idx="15">
                  <c:v>424549.24041029951</c:v>
                </c:pt>
                <c:pt idx="16">
                  <c:v>411112.37072147231</c:v>
                </c:pt>
                <c:pt idx="17">
                  <c:v>396268.48519071908</c:v>
                </c:pt>
                <c:pt idx="18">
                  <c:v>379870.2508732932</c:v>
                </c:pt>
                <c:pt idx="19">
                  <c:v>361754.90713986853</c:v>
                </c:pt>
                <c:pt idx="20">
                  <c:v>341742.65019636351</c:v>
                </c:pt>
                <c:pt idx="21">
                  <c:v>319634.84844188055</c:v>
                </c:pt>
                <c:pt idx="22">
                  <c:v>295212.07095130172</c:v>
                </c:pt>
                <c:pt idx="23">
                  <c:v>268231.90951424808</c:v>
                </c:pt>
                <c:pt idx="24">
                  <c:v>238426.57261305919</c:v>
                </c:pt>
                <c:pt idx="25">
                  <c:v>205500.22745882551</c:v>
                </c:pt>
                <c:pt idx="26">
                  <c:v>169126.06370386112</c:v>
                </c:pt>
                <c:pt idx="27">
                  <c:v>128943.04968650232</c:v>
                </c:pt>
                <c:pt idx="28">
                  <c:v>84552.349012349237</c:v>
                </c:pt>
                <c:pt idx="29">
                  <c:v>35513.361904737147</c:v>
                </c:pt>
              </c:numCache>
            </c:numRef>
          </c:val>
          <c:smooth val="0"/>
        </c:ser>
        <c:ser>
          <c:idx val="3"/>
          <c:order val="3"/>
          <c:tx>
            <c:strRef>
              <c:f>Property_Report_Template!$M$30</c:f>
              <c:strCache>
                <c:ptCount val="1"/>
                <c:pt idx="0">
                  <c:v>Total Profit if Sold</c:v>
                </c:pt>
              </c:strCache>
            </c:strRef>
          </c:tx>
          <c:marker>
            <c:symbol val="none"/>
          </c:marker>
          <c:val>
            <c:numRef>
              <c:f>Property_Report_Template!$N$30:$AQ$30</c:f>
              <c:numCache>
                <c:formatCode>"R"#,##0.00</c:formatCode>
                <c:ptCount val="30"/>
                <c:pt idx="0">
                  <c:v>67840.680157512834</c:v>
                </c:pt>
                <c:pt idx="1">
                  <c:v>135467.99129476777</c:v>
                </c:pt>
                <c:pt idx="2">
                  <c:v>191472.69791157456</c:v>
                </c:pt>
                <c:pt idx="3">
                  <c:v>250459.98588067543</c:v>
                </c:pt>
                <c:pt idx="4">
                  <c:v>312598.07828092779</c:v>
                </c:pt>
                <c:pt idx="5">
                  <c:v>378065.60873761802</c:v>
                </c:pt>
                <c:pt idx="6">
                  <c:v>447052.35131230467</c:v>
                </c:pt>
                <c:pt idx="7">
                  <c:v>519760.00881014258</c:v>
                </c:pt>
                <c:pt idx="8">
                  <c:v>596403.0647211927</c:v>
                </c:pt>
                <c:pt idx="9">
                  <c:v>677209.7045134122</c:v>
                </c:pt>
                <c:pt idx="10">
                  <c:v>762422.81254648115</c:v>
                </c:pt>
                <c:pt idx="11">
                  <c:v>852301.05148240877</c:v>
                </c:pt>
                <c:pt idx="12">
                  <c:v>947120.03173677553</c:v>
                </c:pt>
                <c:pt idx="13">
                  <c:v>1047173.5792496304</c:v>
                </c:pt>
                <c:pt idx="14">
                  <c:v>1152775.1106645584</c:v>
                </c:pt>
                <c:pt idx="15">
                  <c:v>1264259.1258957395</c:v>
                </c:pt>
                <c:pt idx="16">
                  <c:v>1381982.8290445136</c:v>
                </c:pt>
                <c:pt idx="17">
                  <c:v>1506327.8897082116</c:v>
                </c:pt>
                <c:pt idx="18">
                  <c:v>1637702.3579152294</c:v>
                </c:pt>
                <c:pt idx="19">
                  <c:v>1776542.7472327251</c:v>
                </c:pt>
                <c:pt idx="20">
                  <c:v>1923316.3020395043</c:v>
                </c:pt>
                <c:pt idx="21">
                  <c:v>2078523.4665504254</c:v>
                </c:pt>
                <c:pt idx="22">
                  <c:v>2242700.5749352663</c:v>
                </c:pt>
                <c:pt idx="23">
                  <c:v>2416422.7838112926</c:v>
                </c:pt>
                <c:pt idx="24">
                  <c:v>2600307.2705234033</c:v>
                </c:pt>
                <c:pt idx="25">
                  <c:v>2795016.7229791055</c:v>
                </c:pt>
                <c:pt idx="26">
                  <c:v>3001263.1494006119</c:v>
                </c:pt>
                <c:pt idx="27">
                  <c:v>3219812.0392178386</c:v>
                </c:pt>
                <c:pt idx="28">
                  <c:v>3451486.9094818542</c:v>
                </c:pt>
                <c:pt idx="29">
                  <c:v>3697174.2746588206</c:v>
                </c:pt>
              </c:numCache>
            </c:numRef>
          </c:val>
          <c:smooth val="0"/>
        </c:ser>
        <c:dLbls>
          <c:showLegendKey val="0"/>
          <c:showVal val="0"/>
          <c:showCatName val="0"/>
          <c:showSerName val="0"/>
          <c:showPercent val="0"/>
          <c:showBubbleSize val="0"/>
        </c:dLbls>
        <c:marker val="1"/>
        <c:smooth val="0"/>
        <c:axId val="256048128"/>
        <c:axId val="255869696"/>
      </c:lineChart>
      <c:catAx>
        <c:axId val="256048128"/>
        <c:scaling>
          <c:orientation val="minMax"/>
        </c:scaling>
        <c:delete val="0"/>
        <c:axPos val="b"/>
        <c:majorGridlines>
          <c:spPr>
            <a:ln>
              <a:solidFill>
                <a:schemeClr val="bg1">
                  <a:lumMod val="50000"/>
                  <a:alpha val="35000"/>
                </a:schemeClr>
              </a:solidFill>
            </a:ln>
          </c:spPr>
        </c:majorGridlines>
        <c:majorTickMark val="none"/>
        <c:minorTickMark val="none"/>
        <c:tickLblPos val="none"/>
        <c:spPr>
          <a:ln>
            <a:solidFill>
              <a:schemeClr val="bg1">
                <a:lumMod val="50000"/>
                <a:alpha val="35000"/>
              </a:schemeClr>
            </a:solidFill>
          </a:ln>
        </c:spPr>
        <c:crossAx val="255869696"/>
        <c:crosses val="autoZero"/>
        <c:auto val="1"/>
        <c:lblAlgn val="ctr"/>
        <c:lblOffset val="100"/>
        <c:tickMarkSkip val="5"/>
        <c:noMultiLvlLbl val="0"/>
      </c:catAx>
      <c:valAx>
        <c:axId val="255869696"/>
        <c:scaling>
          <c:orientation val="minMax"/>
        </c:scaling>
        <c:delete val="1"/>
        <c:axPos val="l"/>
        <c:numFmt formatCode="&quot;R&quot;#,##0.00" sourceLinked="1"/>
        <c:majorTickMark val="out"/>
        <c:minorTickMark val="none"/>
        <c:tickLblPos val="nextTo"/>
        <c:crossAx val="256048128"/>
        <c:crosses val="autoZero"/>
        <c:crossBetween val="between"/>
      </c:valAx>
      <c:spPr>
        <a:noFill/>
        <a:ln w="25400">
          <a:noFill/>
        </a:ln>
      </c:spPr>
    </c:plotArea>
    <c:legend>
      <c:legendPos val="l"/>
      <c:layout>
        <c:manualLayout>
          <c:xMode val="edge"/>
          <c:yMode val="edge"/>
          <c:x val="1.9179484081650058E-2"/>
          <c:y val="2.0694907781703381E-2"/>
          <c:w val="0.44792395833333332"/>
          <c:h val="0.19695277777777778"/>
        </c:manualLayout>
      </c:layout>
      <c:overlay val="1"/>
      <c:spPr>
        <a:solidFill>
          <a:schemeClr val="bg1"/>
        </a:solidFill>
      </c:spPr>
    </c:legend>
    <c:plotVisOnly val="0"/>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[project_workbook.xlsx]Properties_Analysis_Pivot!PivotTable1</c:name>
    <c:fmtId val="0"/>
  </c:pivotSource>
  <c:chart>
    <c:title>
      <c:tx>
        <c:rich>
          <a:bodyPr/>
          <a:lstStyle/>
          <a:p>
            <a:pPr>
              <a:defRPr/>
            </a:pPr>
            <a:r>
              <a:rPr lang="en-ZA"/>
              <a:t>Property Cashflows</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s>
    <c:plotArea>
      <c:layout/>
      <c:barChart>
        <c:barDir val="col"/>
        <c:grouping val="clustered"/>
        <c:varyColors val="0"/>
        <c:ser>
          <c:idx val="0"/>
          <c:order val="0"/>
          <c:tx>
            <c:strRef>
              <c:f>Properties_Analysis_Pivot!$C$7</c:f>
              <c:strCache>
                <c:ptCount val="1"/>
                <c:pt idx="0">
                  <c:v>Initial Cashflow</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Properties_Analysis_Pivot!$C$8:$C$9</c:f>
              <c:numCache>
                <c:formatCode>"R"#,##0.00</c:formatCode>
                <c:ptCount val="1"/>
                <c:pt idx="0">
                  <c:v>1805.837138387411</c:v>
                </c:pt>
              </c:numCache>
            </c:numRef>
          </c:val>
        </c:ser>
        <c:ser>
          <c:idx val="1"/>
          <c:order val="1"/>
          <c:tx>
            <c:strRef>
              <c:f>Properties_Analysis_Pivot!$D$7</c:f>
              <c:strCache>
                <c:ptCount val="1"/>
                <c:pt idx="0">
                  <c:v>Refinanced Cashflow</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Properties_Analysis_Pivot!$D$8:$D$9</c:f>
              <c:numCache>
                <c:formatCode>"R"#,##0.00</c:formatCode>
                <c:ptCount val="1"/>
                <c:pt idx="0">
                  <c:v>4713.4992570338072</c:v>
                </c:pt>
              </c:numCache>
            </c:numRef>
          </c:val>
        </c:ser>
        <c:ser>
          <c:idx val="2"/>
          <c:order val="2"/>
          <c:tx>
            <c:strRef>
              <c:f>Properties_Analysis_Pivot!$E$7</c:f>
              <c:strCache>
                <c:ptCount val="1"/>
                <c:pt idx="0">
                  <c:v> Cashflow Target</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Properties_Analysis_Pivot!$E$8:$E$9</c:f>
              <c:numCache>
                <c:formatCode>General</c:formatCode>
                <c:ptCount val="1"/>
                <c:pt idx="0">
                  <c:v>500</c:v>
                </c:pt>
              </c:numCache>
            </c:numRef>
          </c:val>
        </c:ser>
        <c:dLbls>
          <c:showLegendKey val="0"/>
          <c:showVal val="0"/>
          <c:showCatName val="0"/>
          <c:showSerName val="0"/>
          <c:showPercent val="0"/>
          <c:showBubbleSize val="0"/>
        </c:dLbls>
        <c:gapWidth val="150"/>
        <c:axId val="255947136"/>
        <c:axId val="255948672"/>
      </c:barChart>
      <c:catAx>
        <c:axId val="255947136"/>
        <c:scaling>
          <c:orientation val="minMax"/>
        </c:scaling>
        <c:delete val="0"/>
        <c:axPos val="b"/>
        <c:majorTickMark val="out"/>
        <c:minorTickMark val="none"/>
        <c:tickLblPos val="nextTo"/>
        <c:txPr>
          <a:bodyPr rot="-3600000" vert="horz" anchor="b" anchorCtr="1"/>
          <a:lstStyle/>
          <a:p>
            <a:pPr>
              <a:defRPr/>
            </a:pPr>
            <a:endParaRPr lang="en-US"/>
          </a:p>
        </c:txPr>
        <c:crossAx val="255948672"/>
        <c:crosses val="autoZero"/>
        <c:auto val="1"/>
        <c:lblAlgn val="ctr"/>
        <c:lblOffset val="100"/>
        <c:noMultiLvlLbl val="0"/>
      </c:catAx>
      <c:valAx>
        <c:axId val="255948672"/>
        <c:scaling>
          <c:orientation val="minMax"/>
        </c:scaling>
        <c:delete val="0"/>
        <c:axPos val="l"/>
        <c:numFmt formatCode="&quot;R&quot;#,##0.00" sourceLinked="1"/>
        <c:majorTickMark val="out"/>
        <c:minorTickMark val="none"/>
        <c:tickLblPos val="nextTo"/>
        <c:crossAx val="255947136"/>
        <c:crosses val="autoZero"/>
        <c:crossBetween val="between"/>
      </c:valAx>
      <c:spPr>
        <a:ln>
          <a:noFill/>
        </a:ln>
      </c:spPr>
    </c:plotArea>
    <c:legend>
      <c:legendPos val="t"/>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[project_workbook.xlsx]Properties_Analysis_Pivot!PivotTable1</c:name>
    <c:fmtId val="0"/>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pivotFmt>
      <c:pivotFmt>
        <c:idx val="6"/>
        <c:dLbl>
          <c:idx val="0"/>
          <c:showLegendKey val="0"/>
          <c:showVal val="1"/>
          <c:showCatName val="0"/>
          <c:showSerName val="0"/>
          <c:showPercent val="0"/>
          <c:showBubbleSize val="0"/>
        </c:dLbl>
      </c:pivotFmt>
      <c:pivotFmt>
        <c:idx val="7"/>
      </c:pivotFmt>
      <c:pivotFmt>
        <c:idx val="8"/>
        <c:dLbl>
          <c:idx val="0"/>
          <c:showLegendKey val="0"/>
          <c:showVal val="1"/>
          <c:showCatName val="0"/>
          <c:showSerName val="0"/>
          <c:showPercent val="0"/>
          <c:showBubbleSize val="0"/>
        </c:dLbl>
      </c:pivotFmt>
      <c:pivotFmt>
        <c:idx val="9"/>
      </c:pivotFmt>
      <c:pivotFmt>
        <c:idx val="10"/>
        <c:dLbl>
          <c:idx val="0"/>
          <c:showLegendKey val="0"/>
          <c:showVal val="1"/>
          <c:showCatName val="0"/>
          <c:showSerName val="0"/>
          <c:showPercent val="0"/>
          <c:showBubbleSize val="0"/>
        </c:dLbl>
      </c:pivotFmt>
      <c:pivotFmt>
        <c:idx val="11"/>
      </c:pivotFmt>
      <c:pivotFmt>
        <c:idx val="12"/>
        <c:marker>
          <c:symbol val="none"/>
        </c:marker>
      </c:pivotFmt>
      <c:pivotFmt>
        <c:idx val="13"/>
        <c:marker>
          <c:symbol val="none"/>
        </c:marker>
      </c:pivotFmt>
      <c:pivotFmt>
        <c:idx val="14"/>
        <c:marker>
          <c:symbol val="none"/>
        </c:marker>
      </c:pivotFmt>
      <c:pivotFmt>
        <c:idx val="15"/>
      </c:pivotFmt>
      <c:pivotFmt>
        <c:idx val="16"/>
      </c:pivotFmt>
    </c:pivotFmts>
    <c:plotArea>
      <c:layout/>
      <c:barChart>
        <c:barDir val="col"/>
        <c:grouping val="clustered"/>
        <c:varyColors val="0"/>
        <c:ser>
          <c:idx val="0"/>
          <c:order val="0"/>
          <c:tx>
            <c:strRef>
              <c:f>Properties_Analysis_Pivot!$C$7</c:f>
              <c:strCache>
                <c:ptCount val="1"/>
                <c:pt idx="0">
                  <c:v>Initial Cashflow</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Properties_Analysis_Pivot!$C$8:$C$9</c:f>
              <c:numCache>
                <c:formatCode>"R"#,##0.00</c:formatCode>
                <c:ptCount val="1"/>
                <c:pt idx="0">
                  <c:v>1805.837138387411</c:v>
                </c:pt>
              </c:numCache>
            </c:numRef>
          </c:val>
        </c:ser>
        <c:ser>
          <c:idx val="1"/>
          <c:order val="1"/>
          <c:tx>
            <c:strRef>
              <c:f>Properties_Analysis_Pivot!$D$7</c:f>
              <c:strCache>
                <c:ptCount val="1"/>
                <c:pt idx="0">
                  <c:v>Refinanced Cashflow</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Properties_Analysis_Pivot!$D$8:$D$9</c:f>
              <c:numCache>
                <c:formatCode>"R"#,##0.00</c:formatCode>
                <c:ptCount val="1"/>
                <c:pt idx="0">
                  <c:v>4713.4992570338072</c:v>
                </c:pt>
              </c:numCache>
            </c:numRef>
          </c:val>
        </c:ser>
        <c:ser>
          <c:idx val="2"/>
          <c:order val="2"/>
          <c:tx>
            <c:strRef>
              <c:f>Properties_Analysis_Pivot!$E$7</c:f>
              <c:strCache>
                <c:ptCount val="1"/>
                <c:pt idx="0">
                  <c:v> Cashflow Target</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Properties_Analysis_Pivot!$E$8:$E$9</c:f>
              <c:numCache>
                <c:formatCode>General</c:formatCode>
                <c:ptCount val="1"/>
                <c:pt idx="0">
                  <c:v>500</c:v>
                </c:pt>
              </c:numCache>
            </c:numRef>
          </c:val>
        </c:ser>
        <c:dLbls>
          <c:showLegendKey val="0"/>
          <c:showVal val="0"/>
          <c:showCatName val="0"/>
          <c:showSerName val="0"/>
          <c:showPercent val="0"/>
          <c:showBubbleSize val="0"/>
        </c:dLbls>
        <c:gapWidth val="150"/>
        <c:axId val="255957248"/>
        <c:axId val="256913408"/>
      </c:barChart>
      <c:catAx>
        <c:axId val="255957248"/>
        <c:scaling>
          <c:orientation val="minMax"/>
        </c:scaling>
        <c:delete val="0"/>
        <c:axPos val="b"/>
        <c:majorTickMark val="none"/>
        <c:minorTickMark val="none"/>
        <c:tickLblPos val="nextTo"/>
        <c:txPr>
          <a:bodyPr rot="-3600000"/>
          <a:lstStyle/>
          <a:p>
            <a:pPr algn="ctr">
              <a:defRPr lang="en-ZA" sz="1000" b="0" i="0" u="none" strike="noStrike" kern="1200" baseline="0">
                <a:solidFill>
                  <a:sysClr val="windowText" lastClr="000000"/>
                </a:solidFill>
                <a:latin typeface="+mn-lt"/>
                <a:ea typeface="+mn-ea"/>
                <a:cs typeface="+mn-cs"/>
              </a:defRPr>
            </a:pPr>
            <a:endParaRPr lang="en-US"/>
          </a:p>
        </c:txPr>
        <c:crossAx val="256913408"/>
        <c:crosses val="autoZero"/>
        <c:auto val="1"/>
        <c:lblAlgn val="ctr"/>
        <c:lblOffset val="100"/>
        <c:noMultiLvlLbl val="0"/>
      </c:catAx>
      <c:valAx>
        <c:axId val="256913408"/>
        <c:scaling>
          <c:orientation val="minMax"/>
        </c:scaling>
        <c:delete val="0"/>
        <c:axPos val="l"/>
        <c:majorGridlines/>
        <c:title>
          <c:layout/>
          <c:overlay val="0"/>
        </c:title>
        <c:numFmt formatCode="&quot;R&quot;#,##0.00" sourceLinked="1"/>
        <c:majorTickMark val="none"/>
        <c:minorTickMark val="none"/>
        <c:tickLblPos val="nextTo"/>
        <c:crossAx val="2559572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[project_workbook.xlsx]Properties_Analysis_Pivot!PivotTable1</c:name>
    <c:fmtId val="1"/>
  </c:pivotSource>
  <c:chart>
    <c:title>
      <c:tx>
        <c:rich>
          <a:bodyPr/>
          <a:lstStyle/>
          <a:p>
            <a:pPr>
              <a:defRPr/>
            </a:pPr>
            <a:r>
              <a:rPr lang="en-ZA"/>
              <a:t>Property</a:t>
            </a:r>
            <a:r>
              <a:rPr lang="en-ZA" baseline="0"/>
              <a:t> Debt Coverage</a:t>
            </a:r>
            <a:endParaRPr lang="en-ZA"/>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Properties_Analysis_Pivot!$C$7</c:f>
              <c:strCache>
                <c:ptCount val="1"/>
                <c:pt idx="0">
                  <c:v>Initial Cashflow</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Properties_Analysis_Pivot!$C$8:$C$9</c:f>
              <c:numCache>
                <c:formatCode>"R"#,##0.00</c:formatCode>
                <c:ptCount val="1"/>
                <c:pt idx="0">
                  <c:v>1805.837138387411</c:v>
                </c:pt>
              </c:numCache>
            </c:numRef>
          </c:val>
        </c:ser>
        <c:ser>
          <c:idx val="1"/>
          <c:order val="1"/>
          <c:tx>
            <c:strRef>
              <c:f>Properties_Analysis_Pivot!$D$7</c:f>
              <c:strCache>
                <c:ptCount val="1"/>
                <c:pt idx="0">
                  <c:v>Refinanced Cashflow</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Properties_Analysis_Pivot!$D$8:$D$9</c:f>
              <c:numCache>
                <c:formatCode>"R"#,##0.00</c:formatCode>
                <c:ptCount val="1"/>
                <c:pt idx="0">
                  <c:v>4713.4992570338072</c:v>
                </c:pt>
              </c:numCache>
            </c:numRef>
          </c:val>
        </c:ser>
        <c:ser>
          <c:idx val="2"/>
          <c:order val="2"/>
          <c:tx>
            <c:strRef>
              <c:f>Properties_Analysis_Pivot!$E$7</c:f>
              <c:strCache>
                <c:ptCount val="1"/>
                <c:pt idx="0">
                  <c:v> Cashflow Target</c:v>
                </c:pt>
              </c:strCache>
            </c:strRef>
          </c:tx>
          <c:invertIfNegative val="0"/>
          <c:cat>
            <c:multiLvlStrRef>
              <c:f>Properties_Analysis_Pivot!$A$8:$B$9</c:f>
              <c:multiLvlStrCache>
                <c:ptCount val="1"/>
                <c:lvl>
                  <c:pt idx="0">
                    <c:v>zambezi-manor-lifestyle-estate</c:v>
                  </c:pt>
                </c:lvl>
                <c:lvl>
                  <c:pt idx="0">
                    <c:v>city-of-tshwane</c:v>
                  </c:pt>
                </c:lvl>
              </c:multiLvlStrCache>
            </c:multiLvlStrRef>
          </c:cat>
          <c:val>
            <c:numRef>
              <c:f>Properties_Analysis_Pivot!$E$8:$E$9</c:f>
              <c:numCache>
                <c:formatCode>General</c:formatCode>
                <c:ptCount val="1"/>
                <c:pt idx="0">
                  <c:v>500</c:v>
                </c:pt>
              </c:numCache>
            </c:numRef>
          </c:val>
        </c:ser>
        <c:dLbls>
          <c:showLegendKey val="0"/>
          <c:showVal val="0"/>
          <c:showCatName val="0"/>
          <c:showSerName val="0"/>
          <c:showPercent val="0"/>
          <c:showBubbleSize val="0"/>
        </c:dLbls>
        <c:gapWidth val="150"/>
        <c:axId val="256931328"/>
        <c:axId val="256932864"/>
      </c:barChart>
      <c:catAx>
        <c:axId val="256931328"/>
        <c:scaling>
          <c:orientation val="minMax"/>
        </c:scaling>
        <c:delete val="0"/>
        <c:axPos val="b"/>
        <c:majorTickMark val="out"/>
        <c:minorTickMark val="none"/>
        <c:tickLblPos val="nextTo"/>
        <c:txPr>
          <a:bodyPr rot="-3600000"/>
          <a:lstStyle/>
          <a:p>
            <a:pPr>
              <a:defRPr/>
            </a:pPr>
            <a:endParaRPr lang="en-US"/>
          </a:p>
        </c:txPr>
        <c:crossAx val="256932864"/>
        <c:crosses val="autoZero"/>
        <c:auto val="1"/>
        <c:lblAlgn val="ctr"/>
        <c:lblOffset val="100"/>
        <c:noMultiLvlLbl val="0"/>
      </c:catAx>
      <c:valAx>
        <c:axId val="256932864"/>
        <c:scaling>
          <c:orientation val="minMax"/>
        </c:scaling>
        <c:delete val="0"/>
        <c:axPos val="l"/>
        <c:numFmt formatCode="&quot;R&quot;#,##0.00" sourceLinked="1"/>
        <c:majorTickMark val="out"/>
        <c:minorTickMark val="none"/>
        <c:tickLblPos val="nextTo"/>
        <c:crossAx val="256931328"/>
        <c:crosses val="autoZero"/>
        <c:crossBetween val="between"/>
      </c:valAx>
    </c:plotArea>
    <c:legend>
      <c:legendPos val="t"/>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image" Target="../media/image3.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19050</xdr:colOff>
      <xdr:row>0</xdr:row>
      <xdr:rowOff>114300</xdr:rowOff>
    </xdr:from>
    <xdr:to>
      <xdr:col>29</xdr:col>
      <xdr:colOff>600075</xdr:colOff>
      <xdr:row>2</xdr:row>
      <xdr:rowOff>9525</xdr:rowOff>
    </xdr:to>
    <xdr:sp macro="" textlink="">
      <xdr:nvSpPr>
        <xdr:cNvPr id="21" name="Rectangle 20"/>
        <xdr:cNvSpPr/>
      </xdr:nvSpPr>
      <xdr:spPr>
        <a:xfrm>
          <a:off x="266700" y="6962775"/>
          <a:ext cx="17421225" cy="276225"/>
        </a:xfrm>
        <a:prstGeom prst="rect">
          <a:avLst/>
        </a:prstGeom>
        <a:solidFill>
          <a:schemeClr val="accent1">
            <a:lumMod val="7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ZA" sz="1400" b="1"/>
            <a:t>Property </a:t>
          </a:r>
          <a:r>
            <a:rPr lang="en-ZA" sz="1400" b="1" baseline="0"/>
            <a:t>Analysis Dashboard</a:t>
          </a:r>
        </a:p>
      </xdr:txBody>
    </xdr:sp>
    <xdr:clientData/>
  </xdr:twoCellAnchor>
  <xdr:twoCellAnchor>
    <xdr:from>
      <xdr:col>13</xdr:col>
      <xdr:colOff>266700</xdr:colOff>
      <xdr:row>4</xdr:row>
      <xdr:rowOff>152400</xdr:rowOff>
    </xdr:from>
    <xdr:to>
      <xdr:col>21</xdr:col>
      <xdr:colOff>342899</xdr:colOff>
      <xdr:row>27</xdr:row>
      <xdr:rowOff>152400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228600</xdr:colOff>
      <xdr:row>16</xdr:row>
      <xdr:rowOff>167367</xdr:rowOff>
    </xdr:from>
    <xdr:to>
      <xdr:col>4</xdr:col>
      <xdr:colOff>1219201</xdr:colOff>
      <xdr:row>24</xdr:row>
      <xdr:rowOff>0</xdr:rowOff>
    </xdr:to>
    <mc:AlternateContent xmlns:mc="http://schemas.openxmlformats.org/markup-compatibility/2006">
      <mc:Choice xmlns:a14="http://schemas.microsoft.com/office/drawing/2010/main" Requires="a14">
        <xdr:graphicFrame macro="">
          <xdr:nvGraphicFramePr>
            <xdr:cNvPr id="32" name="Municipality 1"/>
            <xdr:cNvGraphicFramePr/>
          </xdr:nvGraphicFramePr>
          <xdr:xfrm>
            <a:off x="0" y="0"/>
            <a:ext cx="0" cy="0"/>
          </xdr:xfrm>
          <a:graphic>
            <a:graphicData uri="http://schemas.microsoft.com/office/drawing/2010/slicer">
              <sle:slicer xmlns:sle="http://schemas.microsoft.com/office/drawing/2010/slicer" name="Municipality 1"/>
            </a:graphicData>
          </a:graphic>
        </xdr:graphicFrame>
      </mc:Choice>
      <mc:Fallback>
        <xdr:sp macro="" textlink="">
          <xdr:nvSpPr>
            <xdr:cNvPr id="0" name=""/>
            <xdr:cNvSpPr>
              <a:spLocks noTextEdit="1"/>
            </xdr:cNvSpPr>
          </xdr:nvSpPr>
          <xdr:spPr>
            <a:xfrm>
              <a:off x="228600" y="3269796"/>
              <a:ext cx="2473780" cy="1356633"/>
            </a:xfrm>
            <a:prstGeom prst="rect">
              <a:avLst/>
            </a:prstGeom>
            <a:solidFill>
              <a:prstClr val="white"/>
            </a:solidFill>
            <a:ln w="1">
              <a:solidFill>
                <a:prstClr val="green"/>
              </a:solidFill>
            </a:ln>
          </xdr:spPr>
          <xdr:txBody>
            <a:bodyPr vertOverflow="clip" horzOverflow="clip"/>
            <a:lstStyle/>
            <a:p>
              <a:r>
                <a:rPr lang="en-Z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1687967</xdr:colOff>
      <xdr:row>16</xdr:row>
      <xdr:rowOff>167368</xdr:rowOff>
    </xdr:from>
    <xdr:to>
      <xdr:col>8</xdr:col>
      <xdr:colOff>851128</xdr:colOff>
      <xdr:row>23</xdr:row>
      <xdr:rowOff>176892</xdr:rowOff>
    </xdr:to>
    <mc:AlternateContent xmlns:mc="http://schemas.openxmlformats.org/markup-compatibility/2006">
      <mc:Choice xmlns:a14="http://schemas.microsoft.com/office/drawing/2010/main" Requires="a14">
        <xdr:graphicFrame macro="">
          <xdr:nvGraphicFramePr>
            <xdr:cNvPr id="33" name="Suburb 1"/>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dr:sp macro="" textlink="">
          <xdr:nvSpPr>
            <xdr:cNvPr id="0" name=""/>
            <xdr:cNvSpPr>
              <a:spLocks noTextEdit="1"/>
            </xdr:cNvSpPr>
          </xdr:nvSpPr>
          <xdr:spPr>
            <a:xfrm>
              <a:off x="3171146" y="3269797"/>
              <a:ext cx="1952625" cy="1343024"/>
            </a:xfrm>
            <a:prstGeom prst="rect">
              <a:avLst/>
            </a:prstGeom>
            <a:solidFill>
              <a:prstClr val="white"/>
            </a:solidFill>
            <a:ln w="1">
              <a:solidFill>
                <a:prstClr val="green"/>
              </a:solidFill>
            </a:ln>
          </xdr:spPr>
          <xdr:txBody>
            <a:bodyPr vertOverflow="clip" horzOverflow="clip"/>
            <a:lstStyle/>
            <a:p>
              <a:r>
                <a:rPr lang="en-Z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16</xdr:row>
      <xdr:rowOff>167368</xdr:rowOff>
    </xdr:from>
    <xdr:to>
      <xdr:col>13</xdr:col>
      <xdr:colOff>1</xdr:colOff>
      <xdr:row>23</xdr:row>
      <xdr:rowOff>149678</xdr:rowOff>
    </xdr:to>
    <mc:AlternateContent xmlns:mc="http://schemas.openxmlformats.org/markup-compatibility/2006">
      <mc:Choice xmlns:a14="http://schemas.microsoft.com/office/drawing/2010/main" Requires="a14">
        <xdr:graphicFrame macro="">
          <xdr:nvGraphicFramePr>
            <xdr:cNvPr id="34" name="Property Rank"/>
            <xdr:cNvGraphicFramePr/>
          </xdr:nvGraphicFramePr>
          <xdr:xfrm>
            <a:off x="0" y="0"/>
            <a:ext cx="0" cy="0"/>
          </xdr:xfrm>
          <a:graphic>
            <a:graphicData uri="http://schemas.microsoft.com/office/drawing/2010/slicer">
              <sle:slicer xmlns:sle="http://schemas.microsoft.com/office/drawing/2010/slicer" name="Property Rank"/>
            </a:graphicData>
          </a:graphic>
        </xdr:graphicFrame>
      </mc:Choice>
      <mc:Fallback>
        <xdr:sp macro="" textlink="">
          <xdr:nvSpPr>
            <xdr:cNvPr id="0" name=""/>
            <xdr:cNvSpPr>
              <a:spLocks noTextEdit="1"/>
            </xdr:cNvSpPr>
          </xdr:nvSpPr>
          <xdr:spPr>
            <a:xfrm>
              <a:off x="5592536" y="3269797"/>
              <a:ext cx="1945822" cy="1315810"/>
            </a:xfrm>
            <a:prstGeom prst="rect">
              <a:avLst/>
            </a:prstGeom>
            <a:solidFill>
              <a:prstClr val="white"/>
            </a:solidFill>
            <a:ln w="1">
              <a:solidFill>
                <a:prstClr val="green"/>
              </a:solidFill>
            </a:ln>
          </xdr:spPr>
          <xdr:txBody>
            <a:bodyPr vertOverflow="clip" horzOverflow="clip"/>
            <a:lstStyle/>
            <a:p>
              <a:r>
                <a:rPr lang="en-Z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22</xdr:col>
      <xdr:colOff>171450</xdr:colOff>
      <xdr:row>4</xdr:row>
      <xdr:rowOff>152400</xdr:rowOff>
    </xdr:from>
    <xdr:to>
      <xdr:col>29</xdr:col>
      <xdr:colOff>476250</xdr:colOff>
      <xdr:row>27</xdr:row>
      <xdr:rowOff>95250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28576</xdr:colOff>
      <xdr:row>3</xdr:row>
      <xdr:rowOff>69454</xdr:rowOff>
    </xdr:from>
    <xdr:to>
      <xdr:col>5</xdr:col>
      <xdr:colOff>236685</xdr:colOff>
      <xdr:row>9</xdr:row>
      <xdr:rowOff>145654</xdr:rowOff>
    </xdr:to>
    <xdr:sp macro="" textlink="">
      <xdr:nvSpPr>
        <xdr:cNvPr id="21" name="Rectangle 20"/>
        <xdr:cNvSpPr/>
      </xdr:nvSpPr>
      <xdr:spPr>
        <a:xfrm>
          <a:off x="3431779" y="684610"/>
          <a:ext cx="1746000" cy="1207294"/>
        </a:xfrm>
        <a:prstGeom prst="rect">
          <a:avLst/>
        </a:prstGeom>
        <a:solidFill>
          <a:sysClr val="window" lastClr="FFFFFF"/>
        </a:solidFill>
        <a:ln w="3175"/>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ZA" sz="1100" baseline="0"/>
            <a:t>Exterior</a:t>
          </a:r>
        </a:p>
      </xdr:txBody>
    </xdr:sp>
    <xdr:clientData/>
  </xdr:twoCellAnchor>
  <xdr:twoCellAnchor>
    <xdr:from>
      <xdr:col>14</xdr:col>
      <xdr:colOff>214494</xdr:colOff>
      <xdr:row>3</xdr:row>
      <xdr:rowOff>23774</xdr:rowOff>
    </xdr:from>
    <xdr:to>
      <xdr:col>22</xdr:col>
      <xdr:colOff>445353</xdr:colOff>
      <xdr:row>18</xdr:row>
      <xdr:rowOff>76039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489549</xdr:colOff>
      <xdr:row>3</xdr:row>
      <xdr:rowOff>23774</xdr:rowOff>
    </xdr:from>
    <xdr:to>
      <xdr:col>44</xdr:col>
      <xdr:colOff>115174</xdr:colOff>
      <xdr:row>18</xdr:row>
      <xdr:rowOff>76039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1044180</xdr:colOff>
      <xdr:row>3</xdr:row>
      <xdr:rowOff>73026</xdr:rowOff>
    </xdr:from>
    <xdr:to>
      <xdr:col>9</xdr:col>
      <xdr:colOff>696664</xdr:colOff>
      <xdr:row>9</xdr:row>
      <xdr:rowOff>149226</xdr:rowOff>
    </xdr:to>
    <xdr:sp macro="" textlink="">
      <xdr:nvSpPr>
        <xdr:cNvPr id="9" name="Rectangle 8"/>
        <xdr:cNvSpPr/>
      </xdr:nvSpPr>
      <xdr:spPr>
        <a:xfrm>
          <a:off x="7314805" y="688182"/>
          <a:ext cx="1746000" cy="1207294"/>
        </a:xfrm>
        <a:prstGeom prst="rect">
          <a:avLst/>
        </a:prstGeom>
        <a:solidFill>
          <a:sysClr val="window" lastClr="FFFFFF"/>
        </a:solidFill>
        <a:ln w="3175"/>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ZA" sz="1100" baseline="0"/>
            <a:t>Bathroom</a:t>
          </a:r>
        </a:p>
      </xdr:txBody>
    </xdr:sp>
    <xdr:clientData/>
  </xdr:twoCellAnchor>
  <xdr:twoCellAnchor>
    <xdr:from>
      <xdr:col>5</xdr:col>
      <xdr:colOff>436562</xdr:colOff>
      <xdr:row>3</xdr:row>
      <xdr:rowOff>66675</xdr:rowOff>
    </xdr:from>
    <xdr:to>
      <xdr:col>7</xdr:col>
      <xdr:colOff>853031</xdr:colOff>
      <xdr:row>9</xdr:row>
      <xdr:rowOff>148828</xdr:rowOff>
    </xdr:to>
    <xdr:sp macro="" textlink="">
      <xdr:nvSpPr>
        <xdr:cNvPr id="10" name="Rectangle 9"/>
        <xdr:cNvSpPr/>
      </xdr:nvSpPr>
      <xdr:spPr>
        <a:xfrm>
          <a:off x="5377656" y="681831"/>
          <a:ext cx="1746000" cy="1213247"/>
        </a:xfrm>
        <a:prstGeom prst="rect">
          <a:avLst/>
        </a:prstGeom>
        <a:solidFill>
          <a:sysClr val="window" lastClr="FFFFFF"/>
        </a:solidFill>
        <a:ln w="3175"/>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ZA" sz="1100" baseline="0"/>
            <a:t>Kitchen</a:t>
          </a:r>
        </a:p>
      </xdr:txBody>
    </xdr:sp>
    <xdr:clientData/>
  </xdr:twoCellAnchor>
  <xdr:twoCellAnchor editAs="oneCell">
    <xdr:from>
      <xdr:col>4</xdr:col>
      <xdr:colOff>13984</xdr:colOff>
      <xdr:row>3</xdr:row>
      <xdr:rowOff>34667</xdr:rowOff>
    </xdr:from>
    <xdr:to>
      <xdr:col>5</xdr:col>
      <xdr:colOff>224118</xdr:colOff>
      <xdr:row>9</xdr:row>
      <xdr:rowOff>145676</xdr:rowOff>
    </xdr:to>
    <xdr:pic>
      <xdr:nvPicPr>
        <xdr:cNvPr id="2" name="Picture 1"/>
        <xdr:cNvPicPr>
          <a:picLocks noChangeAspect="1"/>
        </xdr:cNvPicPr>
      </xdr:nvPicPr>
      <xdr:blipFill rotWithShape="1">
        <a:blip xmlns:r="http://schemas.openxmlformats.org/officeDocument/2006/relationships" r:embed="rId3"/>
        <a:srcRect r="23011" b="886"/>
        <a:stretch/>
      </xdr:blipFill>
      <xdr:spPr>
        <a:xfrm>
          <a:off x="3678308" y="650991"/>
          <a:ext cx="1745339" cy="1254009"/>
        </a:xfrm>
        <a:prstGeom prst="rect">
          <a:avLst/>
        </a:prstGeom>
      </xdr:spPr>
    </xdr:pic>
    <xdr:clientData/>
  </xdr:twoCellAnchor>
  <xdr:twoCellAnchor editAs="oneCell">
    <xdr:from>
      <xdr:col>5</xdr:col>
      <xdr:colOff>424656</xdr:colOff>
      <xdr:row>3</xdr:row>
      <xdr:rowOff>43097</xdr:rowOff>
    </xdr:from>
    <xdr:to>
      <xdr:col>7</xdr:col>
      <xdr:colOff>795617</xdr:colOff>
      <xdr:row>9</xdr:row>
      <xdr:rowOff>179295</xdr:rowOff>
    </xdr:to>
    <xdr:pic>
      <xdr:nvPicPr>
        <xdr:cNvPr id="5" name="Picture 4"/>
        <xdr:cNvPicPr>
          <a:picLocks noChangeAspect="1"/>
        </xdr:cNvPicPr>
      </xdr:nvPicPr>
      <xdr:blipFill rotWithShape="1">
        <a:blip xmlns:r="http://schemas.openxmlformats.org/officeDocument/2006/relationships" r:embed="rId4"/>
        <a:srcRect l="8633" r="11703" b="1722"/>
        <a:stretch/>
      </xdr:blipFill>
      <xdr:spPr>
        <a:xfrm>
          <a:off x="5624185" y="659421"/>
          <a:ext cx="1861344" cy="1279198"/>
        </a:xfrm>
        <a:prstGeom prst="rect">
          <a:avLst/>
        </a:prstGeom>
      </xdr:spPr>
    </xdr:pic>
    <xdr:clientData/>
  </xdr:twoCellAnchor>
  <xdr:twoCellAnchor editAs="oneCell">
    <xdr:from>
      <xdr:col>7</xdr:col>
      <xdr:colOff>1053354</xdr:colOff>
      <xdr:row>3</xdr:row>
      <xdr:rowOff>78440</xdr:rowOff>
    </xdr:from>
    <xdr:to>
      <xdr:col>9</xdr:col>
      <xdr:colOff>683560</xdr:colOff>
      <xdr:row>9</xdr:row>
      <xdr:rowOff>145675</xdr:rowOff>
    </xdr:to>
    <xdr:pic>
      <xdr:nvPicPr>
        <xdr:cNvPr id="6" name="Picture 5"/>
        <xdr:cNvPicPr>
          <a:picLocks noChangeAspect="1"/>
        </xdr:cNvPicPr>
      </xdr:nvPicPr>
      <xdr:blipFill rotWithShape="1">
        <a:blip xmlns:r="http://schemas.openxmlformats.org/officeDocument/2006/relationships" r:embed="rId5"/>
        <a:srcRect l="4309" t="5498" r="17272" b="4364"/>
        <a:stretch/>
      </xdr:blipFill>
      <xdr:spPr>
        <a:xfrm>
          <a:off x="7687236" y="694764"/>
          <a:ext cx="1882588" cy="12102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1143001</xdr:colOff>
      <xdr:row>3</xdr:row>
      <xdr:rowOff>142875</xdr:rowOff>
    </xdr:from>
    <xdr:to>
      <xdr:col>7</xdr:col>
      <xdr:colOff>1800225</xdr:colOff>
      <xdr:row>26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228600</xdr:colOff>
      <xdr:row>0</xdr:row>
      <xdr:rowOff>123825</xdr:rowOff>
    </xdr:from>
    <xdr:to>
      <xdr:col>12</xdr:col>
      <xdr:colOff>762000</xdr:colOff>
      <xdr:row>2</xdr:row>
      <xdr:rowOff>19050</xdr:rowOff>
    </xdr:to>
    <xdr:sp macro="" textlink="">
      <xdr:nvSpPr>
        <xdr:cNvPr id="6" name="Rectangle 5"/>
        <xdr:cNvSpPr/>
      </xdr:nvSpPr>
      <xdr:spPr>
        <a:xfrm>
          <a:off x="228600" y="123825"/>
          <a:ext cx="17421225" cy="276225"/>
        </a:xfrm>
        <a:prstGeom prst="rect">
          <a:avLst/>
        </a:prstGeom>
        <a:solidFill>
          <a:schemeClr val="accent1">
            <a:lumMod val="7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ZA" sz="1400" b="1"/>
            <a:t>Property </a:t>
          </a:r>
          <a:r>
            <a:rPr lang="en-ZA" sz="1400" b="1" baseline="0"/>
            <a:t>Analysis Dashboard</a:t>
          </a:r>
        </a:p>
      </xdr:txBody>
    </xdr:sp>
    <xdr:clientData/>
  </xdr:twoCellAnchor>
  <xdr:twoCellAnchor>
    <xdr:from>
      <xdr:col>0</xdr:col>
      <xdr:colOff>1504950</xdr:colOff>
      <xdr:row>30</xdr:row>
      <xdr:rowOff>85725</xdr:rowOff>
    </xdr:from>
    <xdr:to>
      <xdr:col>5</xdr:col>
      <xdr:colOff>581026</xdr:colOff>
      <xdr:row>51</xdr:row>
      <xdr:rowOff>123824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1171575</xdr:colOff>
      <xdr:row>27</xdr:row>
      <xdr:rowOff>85724</xdr:rowOff>
    </xdr:from>
    <xdr:to>
      <xdr:col>7</xdr:col>
      <xdr:colOff>1809750</xdr:colOff>
      <xdr:row>50</xdr:row>
      <xdr:rowOff>38099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en" refreshedDate="45077.643643518517" createdVersion="4" refreshedVersion="4" minRefreshableVersion="3" recordCount="11">
  <cacheSource type="worksheet">
    <worksheetSource name="tbl_property_DB"/>
  </cacheSource>
  <cacheFields count="95">
    <cacheField name="Listing Number" numFmtId="0">
      <sharedItems containsSemiMixedTypes="0" containsString="0" containsNumber="1" containsInteger="1" minValue="112312564" maxValue="112637698"/>
    </cacheField>
    <cacheField name="Suburb" numFmtId="0">
      <sharedItems count="10">
        <s v="sunnyside"/>
        <s v="la-rochelle"/>
        <s v="mamelodi-east"/>
        <s v="waterkloof"/>
        <s v="annlin"/>
        <s v="montana"/>
        <s v="manenberg"/>
        <s v="kirkney"/>
        <s v="zambezi-manor-lifestyle-estate"/>
        <s v="Rynfield" u="1"/>
      </sharedItems>
    </cacheField>
    <cacheField name="City" numFmtId="0">
      <sharedItems/>
    </cacheField>
    <cacheField name="Municipality" numFmtId="0">
      <sharedItems count="5">
        <s v="city-of-tshwane"/>
        <s v="city-of-johannesburg"/>
        <s v="city-of-cape-town"/>
        <s v="Ekurhuleni" u="1"/>
        <s v="City of Tshwane" u="1"/>
      </sharedItems>
    </cacheField>
    <cacheField name="Province" numFmtId="0">
      <sharedItems/>
    </cacheField>
    <cacheField name="Asking Price" numFmtId="43">
      <sharedItems containsSemiMixedTypes="0" containsString="0" containsNumber="1" containsInteger="1" minValue="380000" maxValue="990000"/>
    </cacheField>
    <cacheField name="Property Type" numFmtId="0">
      <sharedItems/>
    </cacheField>
    <cacheField name="Bedrooms" numFmtId="166">
      <sharedItems containsSemiMixedTypes="0" containsString="0" containsNumber="1" containsInteger="1" minValue="2" maxValue="3"/>
    </cacheField>
    <cacheField name="Bathrooms" numFmtId="166">
      <sharedItems containsSemiMixedTypes="0" containsString="0" containsNumber="1" minValue="1" maxValue="2"/>
    </cacheField>
    <cacheField name="Annual Property Taxes" numFmtId="0">
      <sharedItems containsSemiMixedTypes="0" containsString="0" containsNumber="1" containsInteger="1" minValue="2500" maxValue="3800"/>
    </cacheField>
    <cacheField name="Purchase Price" numFmtId="43">
      <sharedItems containsSemiMixedTypes="0" containsString="0" containsNumber="1" containsInteger="1" minValue="380000" maxValue="990000"/>
    </cacheField>
    <cacheField name="After Repair Value" numFmtId="43">
      <sharedItems containsSemiMixedTypes="0" containsString="0" containsNumber="1" containsInteger="1" minValue="410000" maxValue="1200000"/>
    </cacheField>
    <cacheField name="Est. Rehab Cost" numFmtId="43">
      <sharedItems containsSemiMixedTypes="0" containsString="0" containsNumber="1" containsInteger="1" minValue="0" maxValue="150000"/>
    </cacheField>
    <cacheField name="Cash Purchase" numFmtId="0">
      <sharedItems/>
    </cacheField>
    <cacheField name="Down Payment (%)" numFmtId="9">
      <sharedItems containsSemiMixedTypes="0" containsString="0" containsNumber="1" minValue="0" maxValue="0.3"/>
    </cacheField>
    <cacheField name="Down Payment" numFmtId="43">
      <sharedItems containsSemiMixedTypes="0" containsString="0" containsNumber="1" minValue="0" maxValue="292500"/>
    </cacheField>
    <cacheField name="Acq. Loan Interest Rate" numFmtId="10">
      <sharedItems containsSemiMixedTypes="0" containsString="0" containsNumber="1" minValue="0" maxValue="0.12"/>
    </cacheField>
    <cacheField name="Closing Cost" numFmtId="43">
      <sharedItems containsSemiMixedTypes="0" containsString="0" containsNumber="1" minValue="15200" maxValue="39600"/>
    </cacheField>
    <cacheField name="Acq. Loan Fees Charged" numFmtId="43">
      <sharedItems containsSemiMixedTypes="0" containsString="0" containsNumber="1" minValue="0" maxValue="44550"/>
    </cacheField>
    <cacheField name="Acq. Loan Fees Structure" numFmtId="0">
      <sharedItems/>
    </cacheField>
    <cacheField name="Acq. Loan Interest Only" numFmtId="0">
      <sharedItems/>
    </cacheField>
    <cacheField name="Acq. Loan Include PMI" numFmtId="0">
      <sharedItems/>
    </cacheField>
    <cacheField name="Acq. Loan Amortization (y)" numFmtId="0">
      <sharedItems containsSemiMixedTypes="0" containsString="0" containsNumber="1" containsInteger="1" minValue="0" maxValue="30"/>
    </cacheField>
    <cacheField name="Est. Rehab Time (m)" numFmtId="0">
      <sharedItems containsSemiMixedTypes="0" containsString="0" containsNumber="1" containsInteger="1" minValue="0" maxValue="10"/>
    </cacheField>
    <cacheField name="Time To Refinance (m)" numFmtId="0">
      <sharedItems containsSemiMixedTypes="0" containsString="0" containsNumber="1" containsInteger="1" minValue="5" maxValue="72"/>
    </cacheField>
    <cacheField name="Ref. Loan (%) of PV" numFmtId="0">
      <sharedItems containsSemiMixedTypes="0" containsString="0" containsNumber="1" minValue="0.4" maxValue="0.7"/>
    </cacheField>
    <cacheField name="Ref. Loan Amount" numFmtId="43">
      <sharedItems containsSemiMixedTypes="0" containsString="0" containsNumber="1" minValue="209310.17625000002" maxValue="840000"/>
    </cacheField>
    <cacheField name="Ref. Interest Rate" numFmtId="10">
      <sharedItems containsSemiMixedTypes="0" containsString="0" containsNumber="1" minValue="0.1" maxValue="0.12"/>
    </cacheField>
    <cacheField name="Ref. Loan Fees Charged" numFmtId="43">
      <sharedItems containsSemiMixedTypes="0" containsString="0" containsNumber="1" minValue="9418.9579312500009" maxValue="37800"/>
    </cacheField>
    <cacheField name="Ref. Loan Other Charges" numFmtId="0">
      <sharedItems containsSemiMixedTypes="0" containsString="0" containsNumber="1" containsInteger="1" minValue="0" maxValue="0"/>
    </cacheField>
    <cacheField name="Ref. Fees &amp; Points" numFmtId="0">
      <sharedItems/>
    </cacheField>
    <cacheField name="Ref. Interest Only" numFmtId="0">
      <sharedItems/>
    </cacheField>
    <cacheField name="Ref. Include PMI" numFmtId="0">
      <sharedItems/>
    </cacheField>
    <cacheField name="Ref. Loan Amortization (y)" numFmtId="0">
      <sharedItems containsSemiMixedTypes="0" containsString="0" containsNumber="1" containsInteger="1" minValue="20" maxValue="30"/>
    </cacheField>
    <cacheField name="Total Gross Rent (m)" numFmtId="43">
      <sharedItems containsSemiMixedTypes="0" containsString="0" containsNumber="1" minValue="5700" maxValue="14850"/>
    </cacheField>
    <cacheField name="Other Income (m)" numFmtId="43">
      <sharedItems containsSemiMixedTypes="0" containsString="0" containsNumber="1" containsInteger="1" minValue="0" maxValue="0"/>
    </cacheField>
    <cacheField name="Electricity (m)" numFmtId="43">
      <sharedItems containsSemiMixedTypes="0" containsString="0" containsNumber="1" containsInteger="1" minValue="0" maxValue="0"/>
    </cacheField>
    <cacheField name="Water &amp; Sewerage (m)" numFmtId="43">
      <sharedItems containsSemiMixedTypes="0" containsString="0" containsNumber="1" containsInteger="1" minValue="0" maxValue="300"/>
    </cacheField>
    <cacheField name="PMI (m)" numFmtId="43">
      <sharedItems containsSemiMixedTypes="0" containsString="0" containsNumber="1" containsInteger="1" minValue="0" maxValue="0"/>
    </cacheField>
    <cacheField name="Refuse (m)" numFmtId="43">
      <sharedItems containsSemiMixedTypes="0" containsString="0" containsNumber="1" containsInteger="1" minValue="0" maxValue="141"/>
    </cacheField>
    <cacheField name="HOAs (m)" numFmtId="43">
      <sharedItems containsSemiMixedTypes="0" containsString="0" containsNumber="1" minValue="1399" maxValue="4455"/>
    </cacheField>
    <cacheField name="Insurance (m)" numFmtId="43">
      <sharedItems containsSemiMixedTypes="0" containsString="0" containsNumber="1" containsInteger="1" minValue="0" maxValue="620"/>
    </cacheField>
    <cacheField name="Property Taxes (m)" numFmtId="43">
      <sharedItems containsSemiMixedTypes="0" containsString="0" containsNumber="1" containsInteger="1" minValue="126" maxValue="540"/>
    </cacheField>
    <cacheField name="Other Expenses (m)" numFmtId="43">
      <sharedItems containsSemiMixedTypes="0" containsString="0" containsNumber="1" containsInteger="1" minValue="0" maxValue="210"/>
    </cacheField>
    <cacheField name="Total Fixed Expenses (m)" numFmtId="43">
      <sharedItems containsSemiMixedTypes="0" containsString="0" containsNumber="1" minValue="1648" maxValue="5249.9954999999991"/>
    </cacheField>
    <cacheField name="Vacancy Cost (%)" numFmtId="10">
      <sharedItems containsSemiMixedTypes="0" containsString="0" containsNumber="1" minValue="0.08" maxValue="0.08"/>
    </cacheField>
    <cacheField name="Vacancy Cost" numFmtId="43">
      <sharedItems containsSemiMixedTypes="0" containsString="0" containsNumber="1" minValue="456" maxValue="1188"/>
    </cacheField>
    <cacheField name="Repairs &amp; Maintenance (%)" numFmtId="10">
      <sharedItems containsSemiMixedTypes="0" containsString="0" containsNumber="1" minValue="0.05" maxValue="0.05"/>
    </cacheField>
    <cacheField name="Repairs &amp; Maintenance" numFmtId="43">
      <sharedItems containsSemiMixedTypes="0" containsString="0" containsNumber="1" minValue="285" maxValue="742.5"/>
    </cacheField>
    <cacheField name="Capital Expenditures (%)" numFmtId="10">
      <sharedItems containsSemiMixedTypes="0" containsString="0" containsNumber="1" minValue="0.05" maxValue="0.05"/>
    </cacheField>
    <cacheField name="Capital Expenditures" numFmtId="43">
      <sharedItems containsSemiMixedTypes="0" containsString="0" containsNumber="1" minValue="285" maxValue="742.5"/>
    </cacheField>
    <cacheField name="Management Fees (%)" numFmtId="10">
      <sharedItems containsSemiMixedTypes="0" containsString="0" containsNumber="1" minValue="7.0000000000000007E-2" maxValue="7.0000000000000007E-2"/>
    </cacheField>
    <cacheField name="Management Fees" numFmtId="43">
      <sharedItems containsSemiMixedTypes="0" containsString="0" containsNumber="1" minValue="399.00000000000006" maxValue="1039.5"/>
    </cacheField>
    <cacheField name="Total Variable Expenses (m)" numFmtId="43">
      <sharedItems containsSemiMixedTypes="0" containsString="0" containsNumber="1" minValue="1425" maxValue="3712.5"/>
    </cacheField>
    <cacheField name="Annual Income Growth (%)" numFmtId="10">
      <sharedItems containsSemiMixedTypes="0" containsString="0" containsNumber="1" minValue="0.06" maxValue="0.06"/>
    </cacheField>
    <cacheField name="Annual PV Growth (%)" numFmtId="10">
      <sharedItems containsSemiMixedTypes="0" containsString="0" containsNumber="1" minValue="0.05" maxValue="0.05"/>
    </cacheField>
    <cacheField name="Annual Expense Growth (%)" numFmtId="10">
      <sharedItems containsSemiMixedTypes="0" containsString="0" containsNumber="1" minValue="0.05" maxValue="0.05"/>
    </cacheField>
    <cacheField name="Sales Expenses (%)" numFmtId="10">
      <sharedItems containsSemiMixedTypes="0" containsString="0" containsNumber="1" minValue="7.0000000000000007E-2" maxValue="7.0000000000000007E-2"/>
    </cacheField>
    <cacheField name="Total Project Cost" numFmtId="43">
      <sharedItems containsSemiMixedTypes="0" containsString="0" containsNumber="1" minValue="426400" maxValue="1068600"/>
    </cacheField>
    <cacheField name="Total Acq. Loan" numFmtId="43">
      <sharedItems containsSemiMixedTypes="0" containsString="0" containsNumber="1" minValue="0" maxValue="886050"/>
    </cacheField>
    <cacheField name="Acq. Loan Total Fees" numFmtId="43">
      <sharedItems containsSemiMixedTypes="0" containsString="0" containsNumber="1" minValue="0" maxValue="44550"/>
    </cacheField>
    <cacheField name="Acq. Monthly P&amp;I" numFmtId="43">
      <sharedItems containsSemiMixedTypes="0" containsString="0" containsNumber="1" minValue="0" maxValue="9572.8428452541884"/>
    </cacheField>
    <cacheField name="Cash Needed at Purchase" numFmtId="43">
      <sharedItems containsSemiMixedTypes="0" containsString="0" containsNumber="1" minValue="119860" maxValue="426400"/>
    </cacheField>
    <cacheField name="Holding Costs" numFmtId="43">
      <sharedItems containsSemiMixedTypes="0" containsString="0" containsNumber="1" minValue="0" maxValue="137208.32302047301"/>
    </cacheField>
    <cacheField name="Total Cash Outlay" numFmtId="43">
      <sharedItems containsSemiMixedTypes="0" containsString="0" containsNumber="1" minValue="154906.9068686167" maxValue="537468.01299221662"/>
    </cacheField>
    <cacheField name="Gross Income (m)" numFmtId="43">
      <sharedItems containsSemiMixedTypes="0" containsString="0" containsNumber="1" minValue="5700" maxValue="14850"/>
    </cacheField>
    <cacheField name="Total Expenses (m)" numFmtId="43">
      <sharedItems containsSemiMixedTypes="0" containsString="0" containsNumber="1" minValue="3811.5" maxValue="17767.592511942083"/>
    </cacheField>
    <cacheField name="Initial Cashflow (m)" numFmtId="43">
      <sharedItems containsSemiMixedTypes="0" containsString="0" containsNumber="1" minValue="-4228.3639109592259" maxValue="2338.5"/>
    </cacheField>
    <cacheField name="Initial NOI" numFmtId="43">
      <sharedItems containsSemiMixedTypes="0" containsString="0" containsNumber="1" minValue="22872.000000000007" maxValue="111849"/>
    </cacheField>
    <cacheField name="Purchase Cap Rate" numFmtId="10">
      <sharedItems containsSemiMixedTypes="0" containsString="0" containsNumber="1" minValue="4.9160320641282541E-2" maxValue="0.11471692307692308"/>
    </cacheField>
    <cacheField name="Pro Forma Cap Rate" numFmtId="10">
      <sharedItems containsSemiMixedTypes="0" containsString="0" containsNumber="1" minValue="3.8478554512044849E-2" maxValue="0.10039040052830234"/>
    </cacheField>
    <cacheField name="Initial Cash on Cash ROI (y)" numFmtId="10">
      <sharedItems containsSemiMixedTypes="0" containsString="0" containsNumber="1" minValue="-0.31516536464083184" maxValue="6.5811444652908072E-2"/>
    </cacheField>
    <cacheField name="Ref. Total Loan" numFmtId="43">
      <sharedItems containsSemiMixedTypes="0" containsString="0" containsNumber="1" minValue="218729.13418125003" maxValue="877800"/>
    </cacheField>
    <cacheField name="Ref. Loan Total Fees" numFmtId="43">
      <sharedItems containsSemiMixedTypes="0" containsString="0" containsNumber="1" minValue="9418.9579312500009" maxValue="37800"/>
    </cacheField>
    <cacheField name="Ref. Monthly P&amp;I" numFmtId="43">
      <sharedItems containsSemiMixedTypes="0" containsString="0" containsNumber="1" minValue="2083.0087177781747" maxValue="9245.2015202107777"/>
    </cacheField>
    <cacheField name="Total Cash In Deal" numFmtId="43">
      <sharedItems containsSemiMixedTypes="0" containsString="0" containsNumber="1" minValue="104120.11641422912" maxValue="396928.30289290071"/>
    </cacheField>
    <cacheField name="Ref. Gross Income (m)" numFmtId="43">
      <sharedItems containsSemiMixedTypes="0" containsString="0" containsNumber="1" minValue="5700" maxValue="14850"/>
    </cacheField>
    <cacheField name="Ref. Total Expenses (m)" numFmtId="43">
      <sharedItems containsSemiMixedTypes="0" containsString="0" containsNumber="1" minValue="6024.6411436445087" maxValue="17680.70152021078"/>
    </cacheField>
    <cacheField name="Ref. Cashflow (m)" numFmtId="0">
      <sharedItems containsSemiMixedTypes="0" containsString="0" containsNumber="1" minValue="-2830.7015202107796" maxValue="4713.4992570338072"/>
    </cacheField>
    <cacheField name="Ref. NOI (y)" numFmtId="43">
      <sharedItems containsSemiMixedTypes="0" containsString="0" containsNumber="1" minValue="-33968.418242529355" maxValue="56561.991084405687"/>
    </cacheField>
    <cacheField name="Ref. Cash on Cash ROI (y)" numFmtId="10">
      <sharedItems containsSemiMixedTypes="0" containsString="0" containsNumber="1" minValue="-0.24847645097434368" maxValue="0.1424992641546835"/>
    </cacheField>
    <cacheField name="2% Rule" numFmtId="10">
      <sharedItems containsSemiMixedTypes="0" containsString="0" containsNumber="1" minValue="1.045487894350697E-2" maxValue="1.4423076923076924E-2"/>
    </cacheField>
    <cacheField name="Total Initial Equity" numFmtId="43">
      <sharedItems containsSemiMixedTypes="0" containsString="0" containsNumber="1" minValue="78000" maxValue="410000"/>
    </cacheField>
    <cacheField name="Gross Rent Multiplier" numFmtId="2">
      <sharedItems containsSemiMixedTypes="0" containsString="0" containsNumber="1" minValue="5.7777777777777777" maxValue="7.9707602339181287"/>
    </cacheField>
    <cacheField name="Acq. Debt Coverage Ratio" numFmtId="2">
      <sharedItems containsMixedTypes="1" containsNumber="1" minValue="0.39371354745473042" maxValue="1.2403004760856144"/>
    </cacheField>
    <cacheField name="Ref. Debt Coverage Ratio" numFmtId="2">
      <sharedItems containsSemiMixedTypes="0" containsString="0" containsNumber="1" minValue="-0.53423225781878592" maxValue="1.0230611529511002"/>
    </cacheField>
    <cacheField name="Deal Check" numFmtId="2">
      <sharedItems/>
    </cacheField>
    <cacheField name="Min. desired cashflow (m)" numFmtId="2">
      <sharedItems containsSemiMixedTypes="0" containsString="0" containsNumber="1" containsInteger="1" minValue="500" maxValue="500"/>
    </cacheField>
    <cacheField name="Cashflow Score" numFmtId="2">
      <sharedItems containsMixedTypes="1" containsNumber="1" minValue="6.5193363954212185" maxValue="6.5193363954212185"/>
    </cacheField>
    <cacheField name="Debt Coverage Score" numFmtId="2">
      <sharedItems containsMixedTypes="1" containsNumber="1" minValue="2.2633616290367149" maxValue="2.2633616290367149"/>
    </cacheField>
    <cacheField name="Property Score" numFmtId="2">
      <sharedItems containsMixedTypes="1" containsNumber="1" minValue="8.7826980244579325" maxValue="8.7826980244579325"/>
    </cacheField>
    <cacheField name="Property Rank" numFmtId="2">
      <sharedItems containsMixedTypes="1" containsNumber="1" containsInteger="1" minValue="1" maxValue="1" count="2">
        <s v="-"/>
        <n v="1"/>
      </sharedItems>
    </cacheField>
    <cacheField name="Offer To Purchase" numFmtId="2">
      <sharedItems containsBlank="1"/>
    </cacheField>
    <cacheField name="Target" numFmtId="0" formula=" 1.2" databaseField="0"/>
    <cacheField name="Cashflow Target" numFmtId="0" formula=" 50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
  <r>
    <n v="112312564"/>
    <x v="0"/>
    <s v="pretoria"/>
    <x v="0"/>
    <s v="gauteng"/>
    <n v="440000"/>
    <s v="Apartment / Flat"/>
    <n v="2"/>
    <n v="2"/>
    <n v="2988"/>
    <n v="410000"/>
    <n v="410000"/>
    <n v="0"/>
    <s v="Yes"/>
    <n v="0"/>
    <n v="0"/>
    <n v="0"/>
    <n v="16400"/>
    <n v="0"/>
    <s v="Pay loan fees/points out of pocket"/>
    <s v="No"/>
    <s v="No"/>
    <n v="0"/>
    <n v="0"/>
    <n v="72"/>
    <n v="0.4"/>
    <n v="209310.17625000002"/>
    <n v="0.11"/>
    <n v="9418.9579312500009"/>
    <n v="0"/>
    <s v="Wrap loan fees/points into the loan"/>
    <s v="No"/>
    <s v="No"/>
    <n v="30"/>
    <n v="6150"/>
    <n v="0"/>
    <n v="0"/>
    <n v="0"/>
    <n v="0"/>
    <n v="0"/>
    <n v="1845"/>
    <n v="0"/>
    <n v="249"/>
    <n v="180"/>
    <n v="2274"/>
    <n v="0.08"/>
    <n v="492"/>
    <n v="0.05"/>
    <n v="307.5"/>
    <n v="0.05"/>
    <n v="307.5"/>
    <n v="7.0000000000000007E-2"/>
    <n v="430.50000000000006"/>
    <n v="1537.5"/>
    <n v="0.06"/>
    <n v="0.05"/>
    <n v="0.05"/>
    <n v="7.0000000000000007E-2"/>
    <n v="426400"/>
    <n v="0"/>
    <n v="0"/>
    <n v="0"/>
    <n v="426400"/>
    <n v="0"/>
    <n v="426400"/>
    <n v="6150"/>
    <n v="3811.5"/>
    <n v="2338.5"/>
    <n v="28062"/>
    <n v="6.8443902439024387E-2"/>
    <n v="6.5811444652908072E-2"/>
    <n v="6.5811444652908072E-2"/>
    <n v="218729.13418125003"/>
    <n v="9418.9579312500009"/>
    <n v="2083.0087177781747"/>
    <n v="258028"/>
    <n v="8230.0873022400028"/>
    <n v="6947.5558932469248"/>
    <n v="1282.531408993078"/>
    <n v="15390.376907916936"/>
    <n v="5.9646150448466578E-2"/>
    <n v="1.4423076923076924E-2"/>
    <n v="410000"/>
    <n v="5.7777777777777777"/>
    <s v="No Acq. Loan"/>
    <n v="0.61571101361547842"/>
    <s v="No Deal"/>
    <n v="500"/>
    <s v="-"/>
    <s v="-"/>
    <s v="-"/>
    <x v="0"/>
    <m/>
  </r>
  <r>
    <n v="112637018"/>
    <x v="1"/>
    <s v="johannesburg"/>
    <x v="1"/>
    <s v="gauteng"/>
    <n v="499000"/>
    <s v="House"/>
    <n v="2"/>
    <n v="1"/>
    <n v="3284"/>
    <n v="499000"/>
    <n v="550000"/>
    <n v="50000"/>
    <s v="No"/>
    <n v="0.1"/>
    <n v="49900"/>
    <n v="0.12"/>
    <n v="19960"/>
    <n v="22455"/>
    <s v="Wrap loan fees/points into the loan"/>
    <s v="No"/>
    <s v="No"/>
    <n v="20"/>
    <n v="4"/>
    <n v="5"/>
    <n v="0.7"/>
    <n v="366666.66666666663"/>
    <n v="0.12"/>
    <n v="16499.999999999996"/>
    <n v="0"/>
    <s v="Wrap loan fees/points into the loan"/>
    <s v="No"/>
    <s v="No"/>
    <n v="25"/>
    <n v="7485"/>
    <n v="0"/>
    <n v="0"/>
    <n v="300"/>
    <n v="0"/>
    <n v="90"/>
    <n v="2245.5"/>
    <n v="620"/>
    <n v="314"/>
    <n v="0"/>
    <n v="3569.5"/>
    <n v="0.08"/>
    <n v="598.80000000000007"/>
    <n v="0.05"/>
    <n v="374.25"/>
    <n v="0.05"/>
    <n v="374.25"/>
    <n v="7.0000000000000007E-2"/>
    <n v="523.95000000000005"/>
    <n v="1871.2500000000002"/>
    <n v="0.06"/>
    <n v="0.05"/>
    <n v="0.05"/>
    <n v="7.0000000000000007E-2"/>
    <n v="568960"/>
    <n v="471555"/>
    <n v="22455"/>
    <n v="5192.2267171541744"/>
    <n v="119860"/>
    <n v="35046.906868616701"/>
    <n v="154906.9068686167"/>
    <n v="7485"/>
    <n v="10632.976717154175"/>
    <n v="-3147.9767171541753"/>
    <n v="24530.999999999989"/>
    <n v="4.9160320641282541E-2"/>
    <n v="4.0613773983442146E-2"/>
    <n v="-0.31516536464083184"/>
    <n v="383166.66666666663"/>
    <n v="16499.999999999996"/>
    <n v="4035.6038381872436"/>
    <n v="104120.11641422912"/>
    <n v="7061.3207547169804"/>
    <n v="9217.2705048539101"/>
    <n v="-2155.9497501369297"/>
    <n v="-25871.397001643156"/>
    <n v="-0.24847645097434368"/>
    <n v="1.3155582114735657E-2"/>
    <n v="100900"/>
    <n v="6.334446671120018"/>
    <n v="0.39371354745473042"/>
    <n v="-0.53423225781878592"/>
    <s v="No Deal"/>
    <n v="500"/>
    <s v="-"/>
    <s v="-"/>
    <s v="-"/>
    <x v="0"/>
    <m/>
  </r>
  <r>
    <n v="112636963"/>
    <x v="2"/>
    <s v="pretoria"/>
    <x v="0"/>
    <s v="gauteng"/>
    <n v="890000"/>
    <s v="House"/>
    <n v="3"/>
    <n v="2"/>
    <n v="3800"/>
    <n v="890000"/>
    <n v="940000"/>
    <n v="45000"/>
    <s v="No"/>
    <n v="0.2"/>
    <n v="178000"/>
    <n v="0.12"/>
    <n v="35600"/>
    <n v="40050"/>
    <s v="Wrap loan fees/points into the loan"/>
    <s v="No"/>
    <s v="No"/>
    <n v="15"/>
    <n v="6"/>
    <n v="7"/>
    <n v="0.7"/>
    <n v="658000"/>
    <n v="0.12"/>
    <n v="29610"/>
    <n v="0"/>
    <s v="Wrap loan fees/points into the loan"/>
    <s v="No"/>
    <s v="No"/>
    <n v="20"/>
    <n v="13350"/>
    <n v="0"/>
    <n v="0"/>
    <n v="250"/>
    <n v="0"/>
    <n v="120"/>
    <n v="4005"/>
    <n v="541"/>
    <n v="299"/>
    <n v="0"/>
    <n v="5215"/>
    <n v="0.08"/>
    <n v="1068"/>
    <n v="0.05"/>
    <n v="667.5"/>
    <n v="0.05"/>
    <n v="667.5"/>
    <n v="7.0000000000000007E-2"/>
    <n v="934.50000000000011"/>
    <n v="3337.5"/>
    <n v="0.06"/>
    <n v="0.05"/>
    <n v="0.05"/>
    <n v="7.0000000000000007E-2"/>
    <n v="970600"/>
    <n v="752050"/>
    <n v="40050"/>
    <n v="9025.8639109592277"/>
    <n v="258600"/>
    <n v="85445.18346575537"/>
    <n v="344045.18346575537"/>
    <n v="13350"/>
    <n v="17578.363910959226"/>
    <n v="-4228.3639109592259"/>
    <n v="57570.000000000022"/>
    <n v="6.4685393258426996E-2"/>
    <n v="5.4514712913196921E-2"/>
    <n v="-0.19621178241110099"/>
    <n v="687610"/>
    <n v="29610"/>
    <n v="7571.1783630379941"/>
    <n v="229001.45262328541"/>
    <n v="13350"/>
    <n v="16123.678363037994"/>
    <n v="-2773.6783630379941"/>
    <n v="-33284.14035645593"/>
    <n v="-0.14534466910657282"/>
    <n v="1.3754378734803214E-2"/>
    <n v="228000"/>
    <n v="6.0586766541822721"/>
    <n v="0.53152806726621082"/>
    <n v="-0.36634698458286408"/>
    <s v="No Deal"/>
    <n v="500"/>
    <s v="-"/>
    <s v="-"/>
    <s v="-"/>
    <x v="0"/>
    <m/>
  </r>
  <r>
    <n v="112637556"/>
    <x v="3"/>
    <s v="pretoria"/>
    <x v="0"/>
    <s v="gauteng"/>
    <n v="990000"/>
    <s v="Apartment / Flat"/>
    <n v="3"/>
    <n v="2"/>
    <n v="3800"/>
    <n v="990000"/>
    <n v="1200000"/>
    <n v="39000"/>
    <s v="No"/>
    <n v="0.15"/>
    <n v="148500"/>
    <n v="0.12"/>
    <n v="39600"/>
    <n v="44550"/>
    <s v="Wrap loan fees/points into the loan"/>
    <s v="No"/>
    <s v="No"/>
    <n v="25"/>
    <n v="8"/>
    <n v="9"/>
    <n v="0.7"/>
    <n v="840000"/>
    <n v="0.12"/>
    <n v="37800"/>
    <n v="0"/>
    <s v="Wrap loan fees/points into the loan"/>
    <s v="No"/>
    <s v="No"/>
    <n v="25"/>
    <n v="14850"/>
    <n v="0"/>
    <n v="0"/>
    <n v="0"/>
    <n v="0"/>
    <n v="0"/>
    <n v="4455"/>
    <n v="0"/>
    <n v="268"/>
    <n v="0"/>
    <n v="4723"/>
    <n v="0.08"/>
    <n v="1188"/>
    <n v="0.05"/>
    <n v="742.5"/>
    <n v="0.05"/>
    <n v="742.5"/>
    <n v="7.0000000000000007E-2"/>
    <n v="1039.5"/>
    <n v="3712.5"/>
    <n v="0.06"/>
    <n v="0.05"/>
    <n v="0.05"/>
    <n v="7.0000000000000007E-2"/>
    <n v="1068600"/>
    <n v="886050"/>
    <n v="44550"/>
    <n v="9332.0925119420826"/>
    <n v="227100"/>
    <n v="112440.74009553666"/>
    <n v="339540.74009553669"/>
    <n v="14850"/>
    <n v="17767.592511942083"/>
    <n v="-2917.5925119420826"/>
    <n v="76974"/>
    <n v="7.7751515151515155E-2"/>
    <n v="6.5174720385829721E-2"/>
    <n v="-0.15416605082917215"/>
    <n v="877800"/>
    <n v="37800"/>
    <n v="9245.2015202107777"/>
    <n v="200841.66739252125"/>
    <n v="14850"/>
    <n v="17680.70152021078"/>
    <n v="-2830.7015202107796"/>
    <n v="-33968.418242529355"/>
    <n v="-0.16913033377751294"/>
    <n v="1.3896687254351487E-2"/>
    <n v="358500"/>
    <n v="5.9966329966329965"/>
    <n v="0.68735923821924172"/>
    <n v="-0.3061806185644122"/>
    <s v="No Deal"/>
    <n v="500"/>
    <s v="-"/>
    <s v="-"/>
    <s v="-"/>
    <x v="0"/>
    <m/>
  </r>
  <r>
    <n v="112636967"/>
    <x v="4"/>
    <s v="pretoria"/>
    <x v="0"/>
    <s v="gauteng"/>
    <n v="899000"/>
    <s v="Townhouse"/>
    <n v="2"/>
    <n v="1.5"/>
    <n v="2900"/>
    <n v="899000"/>
    <n v="930000"/>
    <n v="78000"/>
    <s v="No"/>
    <n v="0.1"/>
    <n v="89900"/>
    <n v="0.12"/>
    <n v="35960"/>
    <n v="40455"/>
    <s v="Wrap loan fees/points into the loan"/>
    <s v="No"/>
    <s v="No"/>
    <n v="20"/>
    <n v="10"/>
    <n v="11"/>
    <n v="0.7"/>
    <n v="651000"/>
    <n v="0.12"/>
    <n v="29295"/>
    <n v="0"/>
    <s v="Wrap loan fees/points into the loan"/>
    <s v="No"/>
    <s v="No"/>
    <n v="20"/>
    <n v="13485"/>
    <n v="0"/>
    <n v="0"/>
    <n v="0"/>
    <n v="0"/>
    <n v="0"/>
    <n v="4045.5"/>
    <n v="0"/>
    <n v="321"/>
    <n v="0"/>
    <n v="4366.5"/>
    <n v="0.08"/>
    <n v="1078.8"/>
    <n v="0.05"/>
    <n v="674.25"/>
    <n v="0.05"/>
    <n v="674.25"/>
    <n v="7.0000000000000007E-2"/>
    <n v="943.95"/>
    <n v="3371.25"/>
    <n v="0.06"/>
    <n v="0.05"/>
    <n v="0.05"/>
    <n v="7.0000000000000007E-2"/>
    <n v="1012960"/>
    <n v="849555"/>
    <n v="40455"/>
    <n v="9354.3323020472999"/>
    <n v="203860"/>
    <n v="137208.32302047301"/>
    <n v="341068.32302047301"/>
    <n v="13485"/>
    <n v="17092.0823020473"/>
    <n v="-3607.0823020472999"/>
    <n v="68967"/>
    <n v="7.6715239154616241E-2"/>
    <n v="5.9962527761923401E-2"/>
    <n v="-0.21232702651117238"/>
    <n v="680295"/>
    <n v="29295"/>
    <n v="7490.633912367377"/>
    <n v="164182.0946774797"/>
    <n v="13485"/>
    <n v="15228.383912367377"/>
    <n v="-1743.383912367377"/>
    <n v="-20920.606948408524"/>
    <n v="-0.12742319428622889"/>
    <n v="1.331247038382562E-2"/>
    <n v="120900"/>
    <n v="6.2597948337659126"/>
    <n v="0.61439446605314096"/>
    <n v="-0.23274183904368503"/>
    <s v="No Deal"/>
    <n v="500"/>
    <s v="-"/>
    <s v="-"/>
    <s v="-"/>
    <x v="0"/>
    <m/>
  </r>
  <r>
    <n v="112637405"/>
    <x v="5"/>
    <s v="pretoria"/>
    <x v="0"/>
    <s v="gauteng"/>
    <n v="829000"/>
    <s v="Apartment / Flat"/>
    <n v="2"/>
    <n v="2"/>
    <n v="2500"/>
    <n v="829000"/>
    <n v="850000"/>
    <n v="100000"/>
    <s v="No"/>
    <n v="0.25"/>
    <n v="207250"/>
    <n v="0.12"/>
    <n v="33160"/>
    <n v="37305"/>
    <s v="Wrap loan fees/points into the loan"/>
    <s v="No"/>
    <s v="No"/>
    <n v="15"/>
    <n v="8"/>
    <n v="9"/>
    <n v="0.6"/>
    <n v="510000"/>
    <n v="0.12"/>
    <n v="22950"/>
    <n v="0"/>
    <s v="Wrap loan fees/points into the loan"/>
    <s v="No"/>
    <s v="No"/>
    <n v="20"/>
    <n v="12435"/>
    <n v="0"/>
    <n v="0"/>
    <n v="0"/>
    <n v="0"/>
    <n v="0"/>
    <n v="3730.5"/>
    <n v="0"/>
    <n v="540"/>
    <n v="0"/>
    <n v="4270.5"/>
    <n v="0.08"/>
    <n v="994.80000000000007"/>
    <n v="0.05"/>
    <n v="621.75"/>
    <n v="0.05"/>
    <n v="621.75"/>
    <n v="7.0000000000000007E-2"/>
    <n v="870.45"/>
    <n v="3108.75"/>
    <n v="0.06"/>
    <n v="0.05"/>
    <n v="0.05"/>
    <n v="7.0000000000000007E-2"/>
    <n v="962160"/>
    <n v="659055"/>
    <n v="37305"/>
    <n v="7909.767621617224"/>
    <n v="340410"/>
    <n v="97442.140972937792"/>
    <n v="437852.14097293781"/>
    <n v="12435"/>
    <n v="15289.017621617224"/>
    <n v="-2854.017621617224"/>
    <n v="60669"/>
    <n v="7.3183353437876963E-2"/>
    <n v="5.7256396201967936E-2"/>
    <n v="-0.10060871143446634"/>
    <n v="532950"/>
    <n v="22950"/>
    <n v="5868.2385488592354"/>
    <n v="314723.84140544501"/>
    <n v="12435"/>
    <n v="13247.488548859235"/>
    <n v="-812.48854885923538"/>
    <n v="-9749.8625863108246"/>
    <n v="-3.097910391145265E-2"/>
    <n v="1.2924045896732352E-2"/>
    <n v="228250"/>
    <n v="6.4479292320064339"/>
    <n v="0.63917806967966351"/>
    <n v="-0.13845526934435551"/>
    <s v="No Deal"/>
    <n v="500"/>
    <s v="-"/>
    <s v="-"/>
    <s v="-"/>
    <x v="0"/>
    <m/>
  </r>
  <r>
    <n v="112637095"/>
    <x v="6"/>
    <s v="cape-town"/>
    <x v="2"/>
    <s v="western-cape"/>
    <n v="920000"/>
    <s v="House"/>
    <n v="2"/>
    <n v="1"/>
    <n v="2600"/>
    <n v="920000"/>
    <n v="960000"/>
    <n v="81000"/>
    <s v="No"/>
    <n v="0.1"/>
    <n v="92000"/>
    <n v="0.12"/>
    <n v="36800"/>
    <n v="41400"/>
    <s v="Wrap loan fees/points into the loan"/>
    <s v="No"/>
    <s v="No"/>
    <n v="20"/>
    <n v="7"/>
    <n v="8"/>
    <n v="0.7"/>
    <n v="672000"/>
    <n v="0.12"/>
    <n v="30240"/>
    <n v="0"/>
    <s v="Wrap loan fees/points into the loan"/>
    <s v="No"/>
    <s v="No"/>
    <n v="25"/>
    <n v="13800"/>
    <n v="0"/>
    <n v="0"/>
    <n v="0"/>
    <n v="0"/>
    <n v="0"/>
    <n v="4140"/>
    <n v="0"/>
    <n v="126"/>
    <n v="210"/>
    <n v="4476"/>
    <n v="0.08"/>
    <n v="1104"/>
    <n v="0.05"/>
    <n v="690"/>
    <n v="0.05"/>
    <n v="690"/>
    <n v="7.0000000000000007E-2"/>
    <n v="966.00000000000011"/>
    <n v="3450"/>
    <n v="0.06"/>
    <n v="0.05"/>
    <n v="0.05"/>
    <n v="7.0000000000000007E-2"/>
    <n v="1037800"/>
    <n v="869400"/>
    <n v="41400"/>
    <n v="9572.8428452541884"/>
    <n v="209800"/>
    <n v="98341.899916779323"/>
    <n v="308141.89991677931"/>
    <n v="13800"/>
    <n v="17498.842845254188"/>
    <n v="-3698.8428452541884"/>
    <n v="70488"/>
    <n v="7.6617391304347832E-2"/>
    <n v="6.204154604734069E-2"/>
    <n v="-0.21156393776477722"/>
    <n v="702240"/>
    <n v="30240"/>
    <n v="7396.1612161686226"/>
    <n v="180209.25723796649"/>
    <n v="13800"/>
    <n v="15322.161216168623"/>
    <n v="-1522.1612161686226"/>
    <n v="-18265.934594023471"/>
    <n v="-0.10135957982393373"/>
    <n v="1.3297359799576027E-2"/>
    <n v="132000"/>
    <n v="6.2669082125603861"/>
    <n v="0.6136108254312439"/>
    <n v="-0.20580422352626004"/>
    <s v="No Deal"/>
    <n v="500"/>
    <s v="-"/>
    <s v="-"/>
    <s v="-"/>
    <x v="0"/>
    <m/>
  </r>
  <r>
    <n v="112637515"/>
    <x v="7"/>
    <s v="pretoria"/>
    <x v="0"/>
    <s v="gauteng"/>
    <n v="899999"/>
    <s v="House"/>
    <n v="3"/>
    <n v="2"/>
    <n v="2800"/>
    <n v="899999"/>
    <n v="940000"/>
    <n v="110000"/>
    <s v="No"/>
    <n v="0.3"/>
    <n v="269999.7"/>
    <n v="0.12"/>
    <n v="35999.96"/>
    <n v="40499.955000000002"/>
    <s v="Wrap loan fees/points into the loan"/>
    <s v="No"/>
    <s v="No"/>
    <n v="30"/>
    <n v="10"/>
    <n v="11"/>
    <n v="0.7"/>
    <n v="658000"/>
    <n v="0.11"/>
    <n v="29610"/>
    <n v="0"/>
    <s v="Wrap loan fees/points into the loan"/>
    <s v="No"/>
    <s v="No"/>
    <n v="30"/>
    <n v="13499.984999999999"/>
    <n v="0"/>
    <n v="0"/>
    <n v="254"/>
    <n v="0"/>
    <n v="141"/>
    <n v="4049.9954999999995"/>
    <n v="451"/>
    <n v="354"/>
    <n v="0"/>
    <n v="5249.9954999999991"/>
    <n v="0.08"/>
    <n v="1079.9987999999998"/>
    <n v="0.05"/>
    <n v="674.99924999999996"/>
    <n v="0.05"/>
    <n v="674.99924999999996"/>
    <n v="7.0000000000000007E-2"/>
    <n v="944.99895000000004"/>
    <n v="3374.9962499999997"/>
    <n v="0.06"/>
    <n v="0.05"/>
    <n v="0.05"/>
    <n v="7.0000000000000007E-2"/>
    <n v="1045998.96"/>
    <n v="670499.255"/>
    <n v="40499.955000000002"/>
    <n v="6896.8397992216596"/>
    <n v="415999.66000000003"/>
    <n v="121468.35299221659"/>
    <n v="537468.01299221662"/>
    <n v="13499.984999999999"/>
    <n v="15521.831549221659"/>
    <n v="-2021.8465492216601"/>
    <n v="58499.918999999994"/>
    <n v="6.4999982222202463E-2"/>
    <n v="5.0108399908914629E-2"/>
    <n v="-5.8322544279627339E-2"/>
    <n v="687610"/>
    <n v="29610"/>
    <n v="6548.2709004122717"/>
    <n v="393759.34795856179"/>
    <n v="13499.984999999999"/>
    <n v="15173.262650412271"/>
    <n v="-1673.2776504122721"/>
    <n v="-20079.331804947265"/>
    <n v="-5.0993917754710322E-2"/>
    <n v="1.2906308243365748E-2"/>
    <n v="310000.7"/>
    <n v="6.4567908779157905"/>
    <n v="0.70684449572834285"/>
    <n v="-0.25552969262571662"/>
    <s v="No Deal"/>
    <n v="500"/>
    <s v="-"/>
    <s v="-"/>
    <s v="-"/>
    <x v="0"/>
    <m/>
  </r>
  <r>
    <n v="112636974"/>
    <x v="0"/>
    <s v="pretoria"/>
    <x v="0"/>
    <s v="gauteng"/>
    <n v="380000"/>
    <s v="Apartment / Flat"/>
    <n v="2"/>
    <n v="2"/>
    <n v="2988"/>
    <n v="380000"/>
    <n v="420000"/>
    <n v="150000"/>
    <s v="No"/>
    <n v="0.1"/>
    <n v="38000"/>
    <n v="0.12"/>
    <n v="15200"/>
    <n v="17100"/>
    <s v="Wrap loan fees/points into the loan"/>
    <s v="No"/>
    <s v="No"/>
    <n v="25"/>
    <n v="8"/>
    <n v="9"/>
    <n v="0.5"/>
    <n v="210000"/>
    <n v="0.115"/>
    <n v="9450"/>
    <n v="0"/>
    <s v="Wrap loan fees/points into the loan"/>
    <s v="No"/>
    <s v="No"/>
    <n v="25"/>
    <n v="5700"/>
    <n v="0"/>
    <n v="0"/>
    <n v="149"/>
    <n v="0"/>
    <n v="98"/>
    <n v="1684"/>
    <n v="149"/>
    <n v="289"/>
    <n v="0"/>
    <n v="2369"/>
    <n v="0.08"/>
    <n v="456"/>
    <n v="0.05"/>
    <n v="285"/>
    <n v="0.05"/>
    <n v="285"/>
    <n v="7.0000000000000007E-2"/>
    <n v="399.00000000000006"/>
    <n v="1425"/>
    <n v="0.06"/>
    <n v="0.05"/>
    <n v="0.05"/>
    <n v="7.0000000000000007E-2"/>
    <n v="545200"/>
    <n v="359100"/>
    <n v="17100"/>
    <n v="3782.127894631682"/>
    <n v="203200"/>
    <n v="49209.023157053452"/>
    <n v="252409.02315705345"/>
    <n v="5700"/>
    <n v="7576.1278946316816"/>
    <n v="-1876.1278946316816"/>
    <n v="22872.000000000007"/>
    <n v="6.0189473684210543E-2"/>
    <n v="3.8478554512044849E-2"/>
    <n v="-0.11079495440738277"/>
    <n v="219450"/>
    <n v="9450"/>
    <n v="2230.6411436445087"/>
    <n v="186314.84894831487"/>
    <n v="5700"/>
    <n v="6024.6411436445087"/>
    <n v="-324.6411436445087"/>
    <n v="-3895.6937237341044"/>
    <n v="-2.0909196157600937E-2"/>
    <n v="1.045487894350697E-2"/>
    <n v="78000"/>
    <n v="7.9707602339181287"/>
    <n v="0.50394911359432337"/>
    <n v="-0.14553714503539431"/>
    <s v="No Deal"/>
    <n v="500"/>
    <s v="-"/>
    <s v="-"/>
    <s v="-"/>
    <x v="0"/>
    <m/>
  </r>
  <r>
    <n v="112636777"/>
    <x v="8"/>
    <s v="pretoria"/>
    <x v="0"/>
    <s v="gauteng"/>
    <n v="975000"/>
    <s v="Apartment / Flat"/>
    <n v="2"/>
    <n v="1"/>
    <n v="3200"/>
    <n v="975000"/>
    <n v="1050000"/>
    <n v="36000"/>
    <s v="No"/>
    <n v="0.3"/>
    <n v="292500"/>
    <n v="0.12"/>
    <n v="39000"/>
    <n v="43875"/>
    <s v="Pay loan fees/points out of pocket"/>
    <s v="No"/>
    <s v="No"/>
    <n v="20"/>
    <n v="7"/>
    <n v="8"/>
    <n v="0.5"/>
    <n v="525000"/>
    <n v="0.1"/>
    <n v="23625"/>
    <n v="0"/>
    <s v="Pay loan fees/points out of pocket"/>
    <s v="No"/>
    <s v="No"/>
    <n v="30"/>
    <n v="14625"/>
    <n v="0"/>
    <n v="0"/>
    <n v="0"/>
    <n v="0"/>
    <n v="0"/>
    <n v="1399"/>
    <n v="0"/>
    <n v="249"/>
    <n v="0"/>
    <n v="1648"/>
    <n v="0.08"/>
    <n v="1170"/>
    <n v="0.05"/>
    <n v="731.25"/>
    <n v="0.05"/>
    <n v="731.25"/>
    <n v="7.0000000000000007E-2"/>
    <n v="1023.7500000000001"/>
    <n v="3656.25"/>
    <n v="0.06"/>
    <n v="0.05"/>
    <n v="0.05"/>
    <n v="7.0000000000000007E-2"/>
    <n v="1050000"/>
    <n v="682500"/>
    <n v="43875"/>
    <n v="7514.9128616125881"/>
    <n v="411375"/>
    <n v="64140.390031288123"/>
    <n v="475515.39003128815"/>
    <n v="14625"/>
    <n v="12819.162861612589"/>
    <n v="1805.837138387411"/>
    <n v="111849"/>
    <n v="0.11471692307692308"/>
    <n v="0.10039040052830234"/>
    <n v="5.2677108868183373E-2"/>
    <n v="525000"/>
    <n v="23625"/>
    <n v="4607.2507429661937"/>
    <n v="396928.30289290071"/>
    <n v="14625"/>
    <n v="9911.5007429661928"/>
    <n v="4713.4992570338072"/>
    <n v="56561.991084405687"/>
    <n v="0.1424992641546835"/>
    <n v="1.3928571428571429E-2"/>
    <n v="367500"/>
    <n v="5.982905982905983"/>
    <n v="1.2403004760856144"/>
    <n v="1.0230611529511002"/>
    <s v="Proceed"/>
    <n v="500"/>
    <n v="6.5193363954212185"/>
    <n v="2.2633616290367149"/>
    <n v="8.7826980244579325"/>
    <x v="1"/>
    <s v="Yes"/>
  </r>
  <r>
    <n v="112637698"/>
    <x v="5"/>
    <s v="pretoria"/>
    <x v="0"/>
    <s v="gauteng"/>
    <n v="898000"/>
    <s v="Apartment / Flat"/>
    <n v="2"/>
    <n v="1"/>
    <n v="3100"/>
    <n v="898000"/>
    <n v="920000"/>
    <n v="49000"/>
    <s v="No"/>
    <n v="0.1"/>
    <n v="89800"/>
    <n v="0.12"/>
    <n v="35920"/>
    <n v="40410"/>
    <s v="Wrap loan fees/points into the loan"/>
    <s v="No"/>
    <s v="No"/>
    <n v="20"/>
    <n v="5"/>
    <n v="6"/>
    <n v="0.7"/>
    <n v="644000"/>
    <n v="0.12"/>
    <n v="28980"/>
    <n v="0"/>
    <s v="Wrap loan fees/points into the loan"/>
    <s v="No"/>
    <s v="No"/>
    <n v="25"/>
    <n v="13470"/>
    <n v="0"/>
    <n v="0"/>
    <n v="0"/>
    <n v="0"/>
    <n v="0"/>
    <n v="4041"/>
    <n v="0"/>
    <n v="245"/>
    <n v="0"/>
    <n v="4286"/>
    <n v="0.08"/>
    <n v="1077.5999999999999"/>
    <n v="0.05"/>
    <n v="673.5"/>
    <n v="0.05"/>
    <n v="673.5"/>
    <n v="7.0000000000000007E-2"/>
    <n v="942.90000000000009"/>
    <n v="3367.5"/>
    <n v="0.06"/>
    <n v="0.05"/>
    <n v="0.05"/>
    <n v="7.0000000000000007E-2"/>
    <n v="982920"/>
    <n v="848610"/>
    <n v="40410"/>
    <n v="9343.9270380850667"/>
    <n v="174720"/>
    <n v="68149.635190425339"/>
    <n v="242869.63519042532"/>
    <n v="13470"/>
    <n v="16997.427038085065"/>
    <n v="-3527.4270380850649"/>
    <n v="69798.000000000029"/>
    <n v="7.7726057906458826E-2"/>
    <n v="6.6406637260864751E-2"/>
    <n v="-0.24226834052782037"/>
    <n v="672980"/>
    <n v="28980"/>
    <n v="7087.987832161597"/>
    <n v="153555.43777148961"/>
    <n v="13470"/>
    <n v="14741.487832161598"/>
    <n v="-1271.4878321615979"/>
    <n v="-15257.853985939175"/>
    <n v="-9.9363814185759014E-2"/>
    <n v="1.3704065437675498E-2"/>
    <n v="111800"/>
    <n v="6.0809205642167781"/>
    <n v="0.62248987778826115"/>
    <n v="-0.17938628878456145"/>
    <s v="No Deal"/>
    <n v="500"/>
    <s v="-"/>
    <s v="-"/>
    <s v="-"/>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dataPosition="0" applyNumberFormats="0" applyBorderFormats="0" applyFontFormats="0" applyPatternFormats="0" applyAlignmentFormats="0" applyWidthHeightFormats="1" dataCaption="Values" updatedVersion="4" minRefreshableVersion="3" useAutoFormatting="1" rowGrandTotals="0" itemPrintTitles="1" createdVersion="4" indent="0" compact="0" outline="1" outlineData="1" compactData="0" multipleFieldFilters="0" chartFormat="11">
  <location ref="A7:E9" firstHeaderRow="0" firstDataRow="1" firstDataCol="2"/>
  <pivotFields count="95">
    <pivotField compact="0" showAll="0" defaultSubtotal="0"/>
    <pivotField axis="axisRow" compact="0" showAll="0" defaultSubtotal="0">
      <items count="10">
        <item m="1" x="9"/>
        <item x="0"/>
        <item x="1"/>
        <item x="2"/>
        <item x="3"/>
        <item x="4"/>
        <item x="5"/>
        <item x="6"/>
        <item x="7"/>
        <item x="8"/>
      </items>
    </pivotField>
    <pivotField compact="0" showAll="0" defaultSubtotal="0"/>
    <pivotField axis="axisRow" compact="0" multipleItemSelectionAllowed="1" showAll="0" defaultSubtotal="0">
      <items count="5">
        <item m="1" x="4"/>
        <item m="1" x="3"/>
        <item x="0"/>
        <item x="1"/>
        <item x="2"/>
      </items>
    </pivotField>
    <pivotField compact="0" showAll="0" defaultSubtotal="0"/>
    <pivotField compact="0" numFmtId="43" showAll="0" defaultSubtotal="0"/>
    <pivotField compact="0" showAll="0" defaultSubtotal="0"/>
    <pivotField compact="0" showAll="0" defaultSubtotal="0"/>
    <pivotField compact="0" showAll="0" defaultSubtotal="0"/>
    <pivotField compact="0" showAll="0" defaultSubtotal="0"/>
    <pivotField compact="0" numFmtId="43" showAll="0" defaultSubtotal="0"/>
    <pivotField compact="0" numFmtId="43" showAll="0" defaultSubtotal="0"/>
    <pivotField compact="0" numFmtId="43" showAll="0" defaultSubtotal="0"/>
    <pivotField compact="0" showAll="0" defaultSubtotal="0"/>
    <pivotField compact="0" showAll="0" defaultSubtotal="0"/>
    <pivotField compact="0" numFmtId="43" showAll="0" defaultSubtotal="0"/>
    <pivotField compact="0" numFmtId="10" showAll="0" defaultSubtotal="0"/>
    <pivotField compact="0" numFmtId="43"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0" showAll="0" defaultSubtotal="0"/>
    <pivotField compact="0" numFmtId="43" showAll="0" defaultSubtotal="0"/>
    <pivotField compact="0" numFmtId="1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10" showAll="0" defaultSubtotal="0"/>
    <pivotField compact="0" numFmtId="43" showAll="0" defaultSubtotal="0"/>
    <pivotField compact="0" numFmtId="10" showAll="0" defaultSubtotal="0"/>
    <pivotField compact="0" numFmtId="43" showAll="0" defaultSubtotal="0"/>
    <pivotField compact="0" numFmtId="10" showAll="0" defaultSubtotal="0"/>
    <pivotField compact="0" numFmtId="43" showAll="0" defaultSubtotal="0"/>
    <pivotField compact="0" numFmtId="10" showAll="0" defaultSubtotal="0"/>
    <pivotField compact="0" numFmtId="43" showAll="0" defaultSubtotal="0"/>
    <pivotField compact="0" numFmtId="43" showAll="0" defaultSubtotal="0"/>
    <pivotField compact="0" numFmtId="10" showAll="0" defaultSubtotal="0"/>
    <pivotField compact="0" numFmtId="10" showAll="0" defaultSubtotal="0"/>
    <pivotField compact="0" numFmtId="10" showAll="0" defaultSubtotal="0"/>
    <pivotField compact="0" numFmtId="10"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dataField="1" compact="0" numFmtId="43" showAll="0" defaultSubtotal="0"/>
    <pivotField compact="0" numFmtId="43" showAll="0" defaultSubtotal="0"/>
    <pivotField compact="0" numFmtId="10" showAll="0" defaultSubtotal="0"/>
    <pivotField compact="0" numFmtId="10" showAll="0" defaultSubtotal="0"/>
    <pivotField compact="0" numFmtId="10"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dataField="1" compact="0" numFmtId="43" showAll="0" defaultSubtotal="0"/>
    <pivotField compact="0" numFmtId="43" showAll="0" defaultSubtotal="0"/>
    <pivotField compact="0" numFmtId="10" showAll="0" defaultSubtotal="0"/>
    <pivotField compact="0" numFmtId="10" showAll="0" defaultSubtotal="0"/>
    <pivotField compact="0" numFmtId="43" showAll="0" defaultSubtotal="0"/>
    <pivotField compact="0" numFmtId="2" showAll="0" defaultSubtotal="0"/>
    <pivotField compact="0" showAll="0" defaultSubtotal="0"/>
    <pivotField compact="0" numFmtId="2" showAll="0" defaultSubtotal="0"/>
    <pivotField compact="0" showAll="0" defaultSubtotal="0"/>
    <pivotField compact="0" numFmtId="2" showAll="0" defaultSubtotal="0"/>
    <pivotField compact="0" showAll="0" defaultSubtotal="0"/>
    <pivotField compact="0" showAll="0" defaultSubtotal="0"/>
    <pivotField compact="0" showAll="0" defaultSubtotal="0"/>
    <pivotField compact="0" showAll="0" defaultSubtotal="0">
      <items count="2">
        <item x="1"/>
        <item h="1" x="0"/>
      </items>
    </pivotField>
    <pivotField compact="0" showAll="0" defaultSubtotal="0"/>
    <pivotField compact="0" dragToRow="0" dragToCol="0" dragToPage="0" showAll="0" defaultSubtotal="0"/>
    <pivotField dataField="1" compact="0" dragToRow="0" dragToCol="0" dragToPage="0" showAll="0" defaultSubtotal="0"/>
  </pivotFields>
  <rowFields count="2">
    <field x="3"/>
    <field x="1"/>
  </rowFields>
  <rowItems count="2">
    <i>
      <x v="2"/>
    </i>
    <i r="1">
      <x v="9"/>
    </i>
  </rowItems>
  <colFields count="1">
    <field x="-2"/>
  </colFields>
  <colItems count="3">
    <i>
      <x/>
    </i>
    <i i="1">
      <x v="1"/>
    </i>
    <i i="2">
      <x v="2"/>
    </i>
  </colItems>
  <dataFields count="3">
    <dataField name="Initial Cashflow" fld="67" baseField="0" baseItem="0"/>
    <dataField name="Refinanced Cashflow" fld="78" baseField="3" baseItem="0"/>
    <dataField name=" Cashflow Target" fld="94" baseField="3" baseItem="0"/>
  </dataFields>
  <formats count="2">
    <format dxfId="2">
      <pivotArea dataOnly="0" outline="0" fieldPosition="0">
        <references count="1">
          <reference field="4294967294" count="1">
            <x v="1"/>
          </reference>
        </references>
      </pivotArea>
    </format>
    <format dxfId="3">
      <pivotArea dataOnly="0" outline="0" fieldPosition="0">
        <references count="1">
          <reference field="4294967294" count="1">
            <x v="0"/>
          </reference>
        </references>
      </pivotArea>
    </format>
  </formats>
  <conditionalFormats count="1">
    <conditionalFormat priority="2">
      <pivotAreas count="1">
        <pivotArea type="data" outline="0" collapsedLevelsAreSubtotals="1" fieldPosition="0"/>
      </pivotAreas>
    </conditionalFormat>
  </conditionalFormats>
  <chartFormats count="12">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1"/>
          </reference>
        </references>
      </pivotArea>
    </chartFormat>
    <chartFormat chart="0" format="14" series="1">
      <pivotArea type="data" outline="0" fieldPosition="0">
        <references count="1">
          <reference field="4294967294" count="1" selected="0">
            <x v="2"/>
          </reference>
        </references>
      </pivotArea>
    </chartFormat>
    <chartFormat chart="10" format="18" series="1">
      <pivotArea type="data" outline="0" fieldPosition="0">
        <references count="1">
          <reference field="4294967294" count="1" selected="0">
            <x v="0"/>
          </reference>
        </references>
      </pivotArea>
    </chartFormat>
    <chartFormat chart="10" format="19" series="1">
      <pivotArea type="data" outline="0" fieldPosition="0">
        <references count="1">
          <reference field="4294967294" count="1" selected="0">
            <x v="1"/>
          </reference>
        </references>
      </pivotArea>
    </chartFormat>
    <chartFormat chart="10" format="20" series="1">
      <pivotArea type="data" outline="0" fieldPosition="0">
        <references count="1">
          <reference field="4294967294" count="1" selected="0">
            <x v="2"/>
          </reference>
        </references>
      </pivotArea>
    </chartFormat>
    <chartFormat chart="11"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1"/>
          </reference>
        </references>
      </pivotArea>
    </chartFormat>
    <chartFormat chart="11" format="11"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5" dataPosition="0"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outline="1" outlineData="1" compactData="0" multipleFieldFilters="0" chartFormat="12">
  <location ref="A24:D25" firstHeaderRow="0" firstDataRow="1" firstDataCol="1"/>
  <pivotFields count="95">
    <pivotField compact="0" showAll="0" defaultSubtotal="0"/>
    <pivotField compact="0" showAll="0" defaultSubtotal="0">
      <items count="10">
        <item x="4"/>
        <item x="7"/>
        <item x="1"/>
        <item x="2"/>
        <item x="6"/>
        <item x="5"/>
        <item m="1" x="9"/>
        <item x="0"/>
        <item x="3"/>
        <item x="8"/>
      </items>
    </pivotField>
    <pivotField compact="0" showAll="0" defaultSubtotal="0"/>
    <pivotField axis="axisRow" compact="0" showAll="0" sortType="ascending" defaultSubtotal="0">
      <items count="5">
        <item m="1" x="4"/>
        <item x="2"/>
        <item x="1"/>
        <item x="0"/>
        <item m="1" x="3"/>
      </items>
    </pivotField>
    <pivotField compact="0" showAll="0" defaultSubtotal="0"/>
    <pivotField compact="0" numFmtId="43" showAll="0" defaultSubtotal="0"/>
    <pivotField compact="0" showAll="0" defaultSubtotal="0"/>
    <pivotField compact="0" showAll="0" defaultSubtotal="0"/>
    <pivotField compact="0" showAll="0" defaultSubtotal="0"/>
    <pivotField compact="0" showAll="0" defaultSubtotal="0"/>
    <pivotField compact="0" numFmtId="43" showAll="0" defaultSubtotal="0"/>
    <pivotField compact="0" numFmtId="43" showAll="0" defaultSubtotal="0"/>
    <pivotField compact="0" numFmtId="43" showAll="0" defaultSubtotal="0"/>
    <pivotField compact="0" showAll="0" defaultSubtotal="0"/>
    <pivotField compact="0" showAll="0" defaultSubtotal="0"/>
    <pivotField compact="0" numFmtId="43" showAll="0" defaultSubtotal="0"/>
    <pivotField compact="0" numFmtId="10" showAll="0" defaultSubtotal="0"/>
    <pivotField compact="0" numFmtId="43"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0" showAll="0" defaultSubtotal="0"/>
    <pivotField compact="0" numFmtId="43" showAll="0" defaultSubtotal="0"/>
    <pivotField compact="0" numFmtId="1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10" showAll="0" defaultSubtotal="0"/>
    <pivotField compact="0" numFmtId="43" showAll="0" defaultSubtotal="0"/>
    <pivotField compact="0" numFmtId="10" showAll="0" defaultSubtotal="0"/>
    <pivotField compact="0" numFmtId="43" showAll="0" defaultSubtotal="0"/>
    <pivotField compact="0" numFmtId="10" showAll="0" defaultSubtotal="0"/>
    <pivotField compact="0" numFmtId="43" showAll="0" defaultSubtotal="0"/>
    <pivotField compact="0" numFmtId="10" showAll="0" defaultSubtotal="0"/>
    <pivotField compact="0" numFmtId="43" showAll="0" defaultSubtotal="0"/>
    <pivotField compact="0" numFmtId="43" showAll="0" defaultSubtotal="0"/>
    <pivotField compact="0" numFmtId="10" showAll="0" defaultSubtotal="0"/>
    <pivotField compact="0" numFmtId="10" showAll="0" defaultSubtotal="0"/>
    <pivotField compact="0" numFmtId="10" showAll="0" defaultSubtotal="0"/>
    <pivotField compact="0" numFmtId="10"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10" showAll="0" defaultSubtotal="0"/>
    <pivotField compact="0" numFmtId="10" showAll="0" defaultSubtotal="0"/>
    <pivotField compact="0" numFmtId="10"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43" showAll="0" defaultSubtotal="0"/>
    <pivotField compact="0" numFmtId="10" showAll="0" defaultSubtotal="0"/>
    <pivotField compact="0" numFmtId="10" showAll="0" defaultSubtotal="0"/>
    <pivotField compact="0" numFmtId="43" showAll="0" defaultSubtotal="0"/>
    <pivotField compact="0" numFmtId="2" showAll="0" defaultSubtotal="0"/>
    <pivotField dataField="1" compact="0" showAll="0" defaultSubtotal="0"/>
    <pivotField dataField="1" compact="0" numFmtId="2" showAll="0" defaultSubtotal="0"/>
    <pivotField compact="0" showAll="0" defaultSubtotal="0"/>
    <pivotField compact="0" numFmtId="2" showAll="0" defaultSubtotal="0"/>
    <pivotField compact="0" showAll="0" defaultSubtotal="0"/>
    <pivotField compact="0" showAll="0" defaultSubtotal="0"/>
    <pivotField compact="0" showAll="0" defaultSubtotal="0"/>
    <pivotField compact="0" showAll="0" defaultSubtotal="0">
      <items count="2">
        <item x="1"/>
        <item h="1" x="0"/>
      </items>
    </pivotField>
    <pivotField compact="0" showAll="0" defaultSubtotal="0"/>
    <pivotField dataField="1" compact="0" dragToRow="0" dragToCol="0" dragToPage="0" showAll="0" defaultSubtotal="0"/>
    <pivotField compact="0" dragToRow="0" dragToCol="0" dragToPage="0" showAll="0" defaultSubtotal="0"/>
  </pivotFields>
  <rowFields count="1">
    <field x="3"/>
  </rowFields>
  <rowItems count="1">
    <i>
      <x v="3"/>
    </i>
  </rowItems>
  <colFields count="1">
    <field x="-2"/>
  </colFields>
  <colItems count="3">
    <i>
      <x/>
    </i>
    <i i="1">
      <x v="1"/>
    </i>
    <i i="2">
      <x v="2"/>
    </i>
  </colItems>
  <dataFields count="3">
    <dataField name=" Ref. Debt Coverage" fld="85" baseField="3" baseItem="0" numFmtId="2"/>
    <dataField name=" Acq. Debt Coverage" fld="84" baseField="3" baseItem="0" numFmtId="2"/>
    <dataField name="Coverage Target" fld="93" baseField="1" baseItem="0"/>
  </dataFields>
  <formats count="2">
    <format dxfId="0">
      <pivotArea outline="0" collapsedLevelsAreSubtotals="1" fieldPosition="0">
        <references count="1">
          <reference field="4294967294" count="2" selected="0">
            <x v="0"/>
            <x v="1"/>
          </reference>
        </references>
      </pivotArea>
    </format>
    <format dxfId="1">
      <pivotArea dataOnly="0" labelOnly="1" outline="0" fieldPosition="0">
        <references count="1">
          <reference field="4294967294" count="2">
            <x v="0"/>
            <x v="1"/>
          </reference>
        </references>
      </pivotArea>
    </format>
  </formats>
  <chartFormats count="1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burb" sourceName="Suburb">
  <pivotTables>
    <pivotTable tabId="68" name="PivotTable1"/>
    <pivotTable tabId="68" name="PivotTable10"/>
  </pivotTables>
  <data>
    <tabular pivotCacheId="1">
      <items count="10">
        <i x="8" s="1"/>
        <i x="4" s="1" nd="1"/>
        <i x="7" s="1" nd="1"/>
        <i x="1" s="1" nd="1"/>
        <i x="2" s="1" nd="1"/>
        <i x="6" s="1" nd="1"/>
        <i x="5" s="1" nd="1"/>
        <i x="9" s="1" nd="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perty_Rank" sourceName="Property Rank">
  <pivotTables>
    <pivotTable tabId="68" name="PivotTable1"/>
    <pivotTable tabId="68" name="PivotTable10"/>
  </pivotTables>
  <data>
    <tabular pivotCacheId="1" crossFilter="none">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unicipality" sourceName="Municipality">
  <pivotTables>
    <pivotTable tabId="68" name="PivotTable1"/>
    <pivotTable tabId="68" name="PivotTable10"/>
  </pivotTables>
  <data>
    <tabular pivotCacheId="1">
      <items count="5">
        <i x="0" s="1"/>
        <i x="4" s="1" nd="1"/>
        <i x="2" s="1" nd="1"/>
        <i x="1"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burb 1" cache="Slicer_Suburb" caption="Suburb" startItem="4" columnCount="2" rowHeight="241300"/>
  <slicer name="Property Rank" cache="Slicer_Property_Rank" caption="Property Rank" columnCount="2" rowHeight="241300"/>
  <slicer name="Municipality 1" cache="Slicer_Municipality" caption="Municipality" columnCount="2" rowHeight="241300"/>
</slicers>
</file>

<file path=xl/tables/table1.xml><?xml version="1.0" encoding="utf-8"?>
<table xmlns="http://schemas.openxmlformats.org/spreadsheetml/2006/main" id="12" name="tbl_property_DB" displayName="tbl_property_DB" ref="A5:CO16" totalsRowShown="0">
  <tableColumns count="93">
    <tableColumn id="2" name="Listing Number"/>
    <tableColumn id="119" name="Suburb"/>
    <tableColumn id="3" name="City"/>
    <tableColumn id="4" name="Municipality" dataDxfId="114">
      <calculatedColumnFormula>IF(tbl_property_DB[[#This Row],[City]]="pretoria", "city-of-tshwane",IF(tbl_property_DB[[#This Row],[City]]="johannesburg", "city-of-johannesburg", IF(tbl_property_DB[[#This Row],[City]]="cape-town","city-of-cape-town","ERROR")))</calculatedColumnFormula>
    </tableColumn>
    <tableColumn id="5" name="Province"/>
    <tableColumn id="8" name="Asking Price" dataDxfId="113" dataCellStyle="Comma"/>
    <tableColumn id="12" name="Property Type" dataDxfId="112" dataCellStyle="Comma"/>
    <tableColumn id="10" name="Bedrooms" dataDxfId="111"/>
    <tableColumn id="11" name="Bathrooms" dataDxfId="18"/>
    <tableColumn id="7" name="Annual Property Taxes" dataDxfId="110">
      <calculatedColumnFormula>249*12</calculatedColumnFormula>
    </tableColumn>
    <tableColumn id="32" name="Purchase Price" dataDxfId="109" dataCellStyle="Comma"/>
    <tableColumn id="33" name="After Repair Value" dataCellStyle="Comma"/>
    <tableColumn id="35" name="Est. Rehab Cost" dataDxfId="108" dataCellStyle="Comma"/>
    <tableColumn id="36" name="Cash Purchase"/>
    <tableColumn id="103" name="Down Payment (%)"/>
    <tableColumn id="37" name="Down Payment" dataDxfId="107" dataCellStyle="Comma">
      <calculatedColumnFormula>IF(tbl_property_DB[[#This Row],[Cash Purchase]]="Yes",0,(tbl_property_DB[[#This Row],[Purchase Price]]*tbl_property_DB[[#This Row],[Down Payment (%)]]))</calculatedColumnFormula>
    </tableColumn>
    <tableColumn id="38" name="Acq. Loan Interest Rate" dataDxfId="106"/>
    <tableColumn id="34" name="Closing Cost" dataDxfId="26" dataCellStyle="Comma">
      <calculatedColumnFormula>tbl_property_DB[[#This Row],[Purchase Price]]*0.09</calculatedColumnFormula>
    </tableColumn>
    <tableColumn id="39" name="Acq. Loan Fees Charged" dataDxfId="25" dataCellStyle="Comma">
      <calculatedColumnFormula>IF(tbl_property_DB[[#This Row],[Cash Purchase]]="Yes",0,tbl_property_DB[[#This Row],[Purchase Price]]*0.045)</calculatedColumnFormula>
    </tableColumn>
    <tableColumn id="41" name="Acq. Loan Fees Structure"/>
    <tableColumn id="44" name="Acq. Loan Interest Only"/>
    <tableColumn id="45" name="Acq. Loan Include PMI"/>
    <tableColumn id="46" name="Acq. Loan Amortization (y)"/>
    <tableColumn id="48" name="Est. Rehab Time (m)"/>
    <tableColumn id="47" name="Time To Refinance (m)"/>
    <tableColumn id="104" name="Ref. Loan (%) of PV"/>
    <tableColumn id="49" name="Ref. Loan Amount" dataDxfId="105" dataCellStyle="Comma">
      <calculatedColumnFormula>IF(tbl_property_DB[[#This Row],[Time To Refinance (m)]]=0,0,tbl_property_DB[[#This Row],[After Repair Value]])*(1+tbl_property_DB[[#This Row],[Annual PV Growth (%)]])^(1*(ROUND((tbl_property_DB[[#This Row],[Time To Refinance (m)]]/12),0)-1))*tbl_property_DB[[#This Row],[Ref. Loan (%) of PV]]</calculatedColumnFormula>
    </tableColumn>
    <tableColumn id="50" name="Ref. Interest Rate" dataDxfId="24"/>
    <tableColumn id="87" name="Ref. Loan Fees Charged" dataDxfId="22">
      <calculatedColumnFormula>tbl_property_DB[[#This Row],[Ref. Loan Amount]]*0.045</calculatedColumnFormula>
    </tableColumn>
    <tableColumn id="51" name="Ref. Loan Other Charges" dataDxfId="23"/>
    <tableColumn id="52" name="Ref. Fees &amp; Points"/>
    <tableColumn id="55" name="Ref. Interest Only"/>
    <tableColumn id="56" name="Ref. Include PMI"/>
    <tableColumn id="57" name="Ref. Loan Amortization (y)"/>
    <tableColumn id="59" name="Total Gross Rent (m)" dataDxfId="20" dataCellStyle="Comma">
      <calculatedColumnFormula>tbl_property_DB[[#This Row],[Purchase Price]]*0.015</calculatedColumnFormula>
    </tableColumn>
    <tableColumn id="60" name="Other Income (m)" dataDxfId="104" dataCellStyle="Comma"/>
    <tableColumn id="61" name="Electricity (m)" dataDxfId="103" dataCellStyle="Comma"/>
    <tableColumn id="62" name="Water &amp; Sewerage (m)" dataDxfId="102" dataCellStyle="Comma"/>
    <tableColumn id="63" name="PMI (m)" dataDxfId="101" dataCellStyle="Comma"/>
    <tableColumn id="64" name="Refuse (m)" dataDxfId="100" dataCellStyle="Comma"/>
    <tableColumn id="65" name="HOAs (m)" dataDxfId="21" dataCellStyle="Comma">
      <calculatedColumnFormula>tbl_property_DB[[#This Row],[Total Gross Rent (m)]]*0.3</calculatedColumnFormula>
    </tableColumn>
    <tableColumn id="66" name="Insurance (m)" dataDxfId="99" dataCellStyle="Comma"/>
    <tableColumn id="67" name="Property Taxes (m)" dataDxfId="98" dataCellStyle="Comma"/>
    <tableColumn id="68" name="Other Expenses (m)" dataDxfId="97" dataCellStyle="Comma"/>
    <tableColumn id="88" name="Total Fixed Expenses (m)" dataDxfId="96" dataCellStyle="Comma">
      <calculatedColumnFormula>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calculatedColumnFormula>
    </tableColumn>
    <tableColumn id="105" name="Vacancy Cost (%)" dataDxfId="95" dataCellStyle="Comma"/>
    <tableColumn id="69" name="Vacancy Cost" dataDxfId="94" dataCellStyle="Comma">
      <calculatedColumnFormula>tbl_property_DB[[#This Row],[Total Gross Rent (m)]]*tbl_property_DB[[#This Row],[Vacancy Cost (%)]]</calculatedColumnFormula>
    </tableColumn>
    <tableColumn id="107" name="Repairs &amp; Maintenance (%)" dataDxfId="93" dataCellStyle="Comma"/>
    <tableColumn id="70" name="Repairs &amp; Maintenance" dataDxfId="92" dataCellStyle="Comma">
      <calculatedColumnFormula>tbl_property_DB[[#This Row],[Total Gross Rent (m)]]*tbl_property_DB[[#This Row],[Repairs &amp; Maintenance (%)]]</calculatedColumnFormula>
    </tableColumn>
    <tableColumn id="112" name="Capital Expenditures (%)" dataDxfId="91" dataCellStyle="Comma"/>
    <tableColumn id="71" name="Capital Expenditures" dataDxfId="90" dataCellStyle="Comma">
      <calculatedColumnFormula>tbl_property_DB[[#This Row],[Total Gross Rent (m)]]*tbl_property_DB[[#This Row],[Capital Expenditures (%)]]</calculatedColumnFormula>
    </tableColumn>
    <tableColumn id="113" name="Management Fees (%)" dataDxfId="89" dataCellStyle="Comma"/>
    <tableColumn id="72" name="Management Fees" dataDxfId="88" dataCellStyle="Comma">
      <calculatedColumnFormula>tbl_property_DB[[#This Row],[Total Gross Rent (m)]]*tbl_property_DB[[#This Row],[Management Fees (%)]]</calculatedColumnFormula>
    </tableColumn>
    <tableColumn id="89" name="Total Variable Expenses (m)" dataDxfId="87" dataCellStyle="Comma">
      <calculatedColumnFormula>SUM(tbl_property_DB[[#This Row],[Vacancy Cost]],tbl_property_DB[[#This Row],[Repairs &amp; Maintenance]],tbl_property_DB[[#This Row],[Capital Expenditures]],tbl_property_DB[[#This Row],[Management Fees]])</calculatedColumnFormula>
    </tableColumn>
    <tableColumn id="73" name="Annual Income Growth (%)" dataDxfId="86"/>
    <tableColumn id="74" name="Annual PV Growth (%)" dataDxfId="85"/>
    <tableColumn id="75" name="Annual Expense Growth (%)" dataDxfId="84"/>
    <tableColumn id="76" name="Sales Expenses (%)" dataDxfId="83"/>
    <tableColumn id="77" name="Total Project Cost" dataDxfId="82" dataCellStyle="Comma">
      <calculatedColumnFormula>SUM(tbl_property_DB[[#This Row],[Purchase Price]],tbl_property_DB[[#This Row],[Closing Cost]],tbl_property_DB[[#This Row],[Est. Rehab Cost]])</calculatedColumnFormula>
    </tableColumn>
    <tableColumn id="43" name="Total Acq. Loan" dataDxfId="81" dataCellStyle="Comma">
      <calculatedColumnFormula>IF(tbl_property_DB[Cash Purchase]="Yes",0,IF(tbl_property_DB[[#This Row],[Acq. Loan Fees Structure]]="Wrap loan fees/points into the loan", SUM((tbl_property_DB[[#This Row],[Purchase Price]]-tbl_property_DB[[#This Row],[Down Payment]]),tbl_property_DB[[#This Row],[Acq. Loan Fees Charged]],#REF!),(tbl_property_DB[[#This Row],[Purchase Price]]-tbl_property_DB[[#This Row],[Down Payment]])))</calculatedColumnFormula>
    </tableColumn>
    <tableColumn id="78" name="Acq. Loan Total Fees" dataDxfId="80" dataCellStyle="Comma">
      <calculatedColumnFormula>tbl_property_DB[[#This Row],[Acq. Loan Fees Charged]]</calculatedColumnFormula>
    </tableColumn>
    <tableColumn id="79" name="Acq. Monthly P&amp;I" dataDxfId="79" dataCellStyle="Comma">
      <calculatedColumnFormula>IF(tbl_property_DB[[#This Row],[Total Acq. Loan]]=0,0,(ABS(PMT((tbl_property_DB[[#This Row],[Acq. Loan Interest Rate]]/12),(tbl_property_DB[[#This Row],[Acq. Loan Amortization (y)]]*12),tbl_property_DB[[#This Row],[Total Acq. Loan]]))))</calculatedColumnFormula>
    </tableColumn>
    <tableColumn id="80" name="Cash Needed at Purchase" dataDxfId="78" dataCellStyle="Comma">
      <calculatedColumnFormula>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calculatedColumnFormula>
    </tableColumn>
    <tableColumn id="84" name="Holding Costs" dataDxfId="17" dataCellStyle="Comma">
      <calculatedColumnFormula>(SUM(tbl_property_DB[[#This Row],[Acq. Monthly P&amp;I]],tbl_property_DB[[#This Row],[Total Fixed Expenses (m)]]))*tbl_property_DB[[#This Row],[Est. Rehab Time (m)]]</calculatedColumnFormula>
    </tableColumn>
    <tableColumn id="86" name="Total Cash Outlay" dataDxfId="16" dataCellStyle="Comma">
      <calculatedColumnFormula>SUM(tbl_property_DB[[#This Row],[Cash Needed at Purchase]],tbl_property_DB[[#This Row],[Holding Costs]])</calculatedColumnFormula>
    </tableColumn>
    <tableColumn id="92" name="Gross Income (m)" dataDxfId="13" dataCellStyle="Comma">
      <calculatedColumnFormula>tbl_property_DB[[#This Row],[Total Gross Rent (m)]]+tbl_property_DB[[#This Row],[Other Income (m)]]</calculatedColumnFormula>
    </tableColumn>
    <tableColumn id="93" name="Total Expenses (m)" dataDxfId="12" dataCellStyle="Comma">
      <calculatedColumnFormula>SUM(tbl_property_DB[[#This Row],[Acq. Monthly P&amp;I]],tbl_property_DB[[#This Row],[Total Fixed Expenses (m)]],tbl_property_DB[[#This Row],[Total Variable Expenses (m)]])</calculatedColumnFormula>
    </tableColumn>
    <tableColumn id="94" name="Initial Cashflow (m)" dataDxfId="11" dataCellStyle="Comma">
      <calculatedColumnFormula>tbl_property_DB[[#This Row],[Gross Income (m)]]-tbl_property_DB[[#This Row],[Total Expenses (m)]]</calculatedColumnFormula>
    </tableColumn>
    <tableColumn id="96" name="Initial NOI" dataDxfId="10" dataCellStyle="Comma">
      <calculatedColumnFormula>(tbl_property_DB[[#This Row],[Gross Income (m)]]-(tbl_property_DB[[#This Row],[Total Expenses (m)]]-tbl_property_DB[[#This Row],[Acq. Monthly P&amp;I]]))*12</calculatedColumnFormula>
    </tableColumn>
    <tableColumn id="99" name="Purchase Cap Rate" dataDxfId="8" dataCellStyle="Comma">
      <calculatedColumnFormula>tbl_property_DB[[#This Row],[Initial NOI]]/tbl_property_DB[[#This Row],[Purchase Price]]</calculatedColumnFormula>
    </tableColumn>
    <tableColumn id="95" name="Pro Forma Cap Rate" dataDxfId="9" dataCellStyle="Comma">
      <calculatedColumnFormula>(tbl_property_DB[[#This Row],[Initial NOI]]/(tbl_property_DB[[#This Row],[Purchase Price]]+tbl_property_DB[[#This Row],[Closing Cost]]+tbl_property_DB[[#This Row],[Est. Rehab Cost]]+tbl_property_DB[[#This Row],[Holding Costs]]))</calculatedColumnFormula>
    </tableColumn>
    <tableColumn id="98" name="Initial Cash on Cash ROI (y)" dataDxfId="7">
      <calculatedColumnFormula>(tbl_property_DB[[#This Row],[Initial Cashflow (m)]]/tbl_property_DB[[#This Row],[Cash Needed at Purchase]])*12</calculatedColumnFormula>
    </tableColumn>
    <tableColumn id="53" name="Ref. Total Loan" dataDxfId="15" dataCellStyle="Comma">
      <calculatedColumnFormula>IF(tbl_property_DB[[#This Row],[Ref. Fees &amp; Points]]="Wrap loan fees/points into the loan", SUM((tbl_property_DB[[#This Row],[Ref. Loan Amount]],tbl_property_DB[[#This Row],[Ref. Loan Fees Charged]],tbl_property_DB[[#This Row],[Ref. Loan Other Charges]])),tbl_property_DB[[#This Row],[Ref. Loan Amount]])</calculatedColumnFormula>
    </tableColumn>
    <tableColumn id="81" name="Ref. Loan Total Fees" dataDxfId="14" dataCellStyle="Comma">
      <calculatedColumnFormula>tbl_property_DB[[#This Row],[Ref. Loan Fees Charged]]+tbl_property_DB[[#This Row],[Ref. Loan Other Charges]]</calculatedColumnFormula>
    </tableColumn>
    <tableColumn id="82" name="Ref. Monthly P&amp;I" dataDxfId="77" dataCellStyle="Comma">
      <calculatedColumnFormula>IF(tbl_property_DB[[#This Row],[Time To Refinance (m)]]=0,0,ABS(PMT((tbl_property_DB[[#This Row],[Ref. Interest Rate]]/12),(tbl_property_DB[[#This Row],[Ref. Loan Amortization (y)]]*12),tbl_property_DB[[#This Row],[Ref. Total Loan]])))</calculatedColumnFormula>
    </tableColumn>
    <tableColumn id="83" name="Total Cash In Deal" dataDxfId="76" dataCellStyle="Comma">
      <calculatedColumnFormula>tbl_property_DB[[#This Row],[Cash Needed at Purchase]]-(ABS(tbl_property_DB[[#This Row],[Initial Cashflow (m)]]*tbl_property_DB[[#This Row],[Time To Refinance (m)]]))</calculatedColumnFormula>
    </tableColumn>
    <tableColumn id="100" name="Ref. Gross Income (m)" dataDxfId="75" dataCellStyle="Comma">
      <calculatedColumnFormula>(tbl_property_DB[[#This Row],[Gross Income (m)]])*(1+tbl_property_DB[[#This Row],[Annual Income Growth (%)]])^(1*(ROUND((tbl_property_DB[[#This Row],[Time To Refinance (m)]]/12),0)-1))</calculatedColumnFormula>
    </tableColumn>
    <tableColumn id="101" name="Ref. Total Expenses (m)" dataDxfId="74" dataCellStyle="Comma">
      <calculatedColumnFormula>SUM(tbl_property_DB[[#This Row],[Ref. Monthly P&amp;I]],(tbl_property_DB[[#This Row],[Total Fixed Expenses (m)]]+tbl_property_DB[[#This Row],[Total Variable Expenses (m)]])*(1+tbl_property_DB[[#This Row],[Annual Expense Growth (%)]])^(1*(ROUND((tbl_property_DB[[#This Row],[Time To Refinance (m)]]/12),0)-1)))</calculatedColumnFormula>
    </tableColumn>
    <tableColumn id="102" name="Ref. Cashflow (m)" dataDxfId="73">
      <calculatedColumnFormula>tbl_property_DB[[#This Row],[Ref. Gross Income (m)]]-tbl_property_DB[[#This Row],[Ref. Total Expenses (m)]]</calculatedColumnFormula>
    </tableColumn>
    <tableColumn id="85" name="Ref. NOI (y)" dataDxfId="72" dataCellStyle="Comma">
      <calculatedColumnFormula>(tbl_property_DB[[#This Row],[Ref. Gross Income (m)]]-(tbl_property_DB[[#This Row],[Ref. Total Expenses (m)]]))*12</calculatedColumnFormula>
    </tableColumn>
    <tableColumn id="106" name="Ref. Cash on Cash ROI (y)" dataDxfId="71">
      <calculatedColumnFormula>IFERROR(tbl_property_DB[[#This Row],[Ref. Cashflow (m)]]/tbl_property_DB[[#This Row],[Total Cash In Deal]]*12,"-")</calculatedColumnFormula>
    </tableColumn>
    <tableColumn id="108" name="2% Rule" dataDxfId="70">
      <calculatedColumnFormula>IFERROR(tbl_property_DB[[#This Row],[Gross Income (m)]]/(tbl_property_DB[[#This Row],[Purchase Price]]+ tbl_property_DB[[#This Row],[Closing Cost]]+tbl_property_DB[[#This Row],[Est. Rehab Cost]]),"-")</calculatedColumnFormula>
    </tableColumn>
    <tableColumn id="109" name="Total Initial Equity" dataDxfId="69" dataCellStyle="Comma">
      <calculatedColumnFormula>IF(tbl_property_DB[[#This Row],[Cash Purchase]]="Yes",tbl_property_DB[[#This Row],[After Repair Value]],tbl_property_DB[[#This Row],[After Repair Value]]-tbl_property_DB[[#This Row],[Purchase Price]]+tbl_property_DB[[#This Row],[Down Payment]])</calculatedColumnFormula>
    </tableColumn>
    <tableColumn id="110" name="Gross Rent Multiplier" dataDxfId="68">
      <calculatedColumnFormula>IFERROR((tbl_property_DB[[#This Row],[Purchase Price]]+tbl_property_DB[[#This Row],[Closing Cost]]+tbl_property_DB[[#This Row],[Est. Rehab Cost]])/(tbl_property_DB[[#This Row],[Gross Income (m)]]*12),"-")</calculatedColumnFormula>
    </tableColumn>
    <tableColumn id="111" name="Acq. Debt Coverage Ratio" dataDxfId="67">
      <calculatedColumnFormula>IFERROR(IF(tbl_property_DB[[#This Row],[Cash Purchase]]="Yes","No Acq. Loan",tbl_property_DB[[#This Row],[Initial NOI]]/(tbl_property_DB[[#This Row],[Acq. Monthly P&amp;I]]*12)),"-")</calculatedColumnFormula>
    </tableColumn>
    <tableColumn id="54" name="Ref. Debt Coverage Ratio" dataDxfId="66">
      <calculatedColumnFormula>IF(tbl_property_DB[[#This Row],[Time To Refinance (m)]]=0,"No Ref. Loan",tbl_property_DB[[#This Row],[Ref. NOI (y)]]/(tbl_property_DB[[#This Row],[Ref. Monthly P&amp;I]]*12))</calculatedColumnFormula>
    </tableColumn>
    <tableColumn id="114" name="Deal Check" dataDxfId="19">
      <calculatedColumnFormula>IF(OR(tbl_property_DB[[#This Row],[Ref. Debt Coverage Ratio]]&lt;1,tbl_property_DB[[#This Row],[Acq. Debt Coverage Ratio]]&lt;1,tbl_property_DB[[#This Row],[Ref. Cashflow (m)]]&lt;0,tbl_property_DB[[#This Row],[Initial Cashflow (m)]]&lt;0)=TRUE,"No Deal","Proceed")</calculatedColumnFormula>
    </tableColumn>
    <tableColumn id="9" name="Min. desired cashflow (m)" dataDxfId="65"/>
    <tableColumn id="115" name="Cashflow Score" dataDxfId="64">
      <calculatedColumnFormula>IF(tbl_property_DB[[#This Row],[Deal Check]]="Proceed",(SUM(tbl_property_DB[[#This Row],[Initial Cashflow (m)]],tbl_property_DB[[#This Row],[Ref. Cashflow (m)]])/2)/tbl_property_DB[[#This Row],[Min. desired cashflow (m)]],"-")</calculatedColumnFormula>
    </tableColumn>
    <tableColumn id="116" name="Debt Coverage Score" dataDxfId="63">
      <calculatedColumnFormula>IF(tbl_property_DB[[#This Row],[Deal Check]]="Proceed",(SUM(tbl_property_DB[[#This Row],[Acq. Debt Coverage Ratio]],tbl_property_DB[[#This Row],[Ref. Debt Coverage Ratio]])),"-")</calculatedColumnFormula>
    </tableColumn>
    <tableColumn id="117" name="Property Score" dataDxfId="62">
      <calculatedColumnFormula>IFERROR(tbl_property_DB[[#This Row],[Debt Coverage Score]]+tbl_property_DB[[#This Row],[Cashflow Score]],"-")</calculatedColumnFormula>
    </tableColumn>
    <tableColumn id="118" name="Property Rank" dataDxfId="61">
      <calculatedColumnFormula>IFERROR(_xlfn.RANK.EQ(tbl_property_DB[[#This Row],[Property Score]],tbl_property_DB[Property Score]),"-")</calculatedColumnFormula>
    </tableColumn>
    <tableColumn id="120" name="Offer To Purchase" dataDxfId="60"/>
  </tableColumns>
  <tableStyleInfo name="TableStyleLight8" showFirstColumn="0" showLastColumn="0" showRowStripes="0" showColumnStripes="0"/>
</table>
</file>

<file path=xl/tables/table2.xml><?xml version="1.0" encoding="utf-8"?>
<table xmlns="http://schemas.openxmlformats.org/spreadsheetml/2006/main" id="13" name="Table13" displayName="Table13" ref="M20:AQ32" totalsRowShown="0" headerRowDxfId="59" dataDxfId="58">
  <tableColumns count="31">
    <tableColumn id="1" name="Year" dataDxfId="57"/>
    <tableColumn id="2" name="1" dataDxfId="56"/>
    <tableColumn id="3" name="2" dataDxfId="55"/>
    <tableColumn id="4" name="3" dataDxfId="54"/>
    <tableColumn id="5" name="4" dataDxfId="53"/>
    <tableColumn id="6" name="5" dataDxfId="52"/>
    <tableColumn id="7" name="6" dataDxfId="51"/>
    <tableColumn id="8" name="7" dataDxfId="50"/>
    <tableColumn id="9" name="8" dataDxfId="49"/>
    <tableColumn id="10" name="9" dataDxfId="48"/>
    <tableColumn id="11" name="10" dataDxfId="47"/>
    <tableColumn id="12" name="11" dataDxfId="46"/>
    <tableColumn id="13" name="12" dataDxfId="45"/>
    <tableColumn id="14" name="13" dataDxfId="44"/>
    <tableColumn id="15" name="14" dataDxfId="43"/>
    <tableColumn id="16" name="15" dataDxfId="42"/>
    <tableColumn id="17" name="16" dataDxfId="41"/>
    <tableColumn id="18" name="17" dataDxfId="40"/>
    <tableColumn id="19" name="18" dataDxfId="39"/>
    <tableColumn id="20" name="19" dataDxfId="38"/>
    <tableColumn id="21" name="20" dataDxfId="37"/>
    <tableColumn id="22" name="21" dataDxfId="36"/>
    <tableColumn id="23" name="22" dataDxfId="35"/>
    <tableColumn id="24" name="23" dataDxfId="34"/>
    <tableColumn id="25" name="24" dataDxfId="33"/>
    <tableColumn id="26" name="25" dataDxfId="32"/>
    <tableColumn id="27" name="26" dataDxfId="31"/>
    <tableColumn id="28" name="27" dataDxfId="30"/>
    <tableColumn id="29" name="28" dataDxfId="29"/>
    <tableColumn id="30" name="29" dataDxfId="28"/>
    <tableColumn id="31" name="30" dataDxfId="2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4:AD16"/>
  <sheetViews>
    <sheetView showGridLines="0" zoomScale="70" zoomScaleNormal="70" workbookViewId="0">
      <selection activeCell="J30" sqref="J30"/>
    </sheetView>
  </sheetViews>
  <sheetFormatPr defaultRowHeight="15" x14ac:dyDescent="0.25"/>
  <cols>
    <col min="1" max="1" width="3.7109375" customWidth="1"/>
    <col min="2" max="2" width="2.7109375" customWidth="1"/>
    <col min="3" max="3" width="14.5703125" bestFit="1" customWidth="1"/>
    <col min="4" max="4" width="1.42578125" customWidth="1"/>
    <col min="5" max="5" width="29.7109375" bestFit="1" customWidth="1"/>
    <col min="6" max="6" width="1.42578125" customWidth="1"/>
    <col min="7" max="7" width="9.140625" customWidth="1"/>
    <col min="8" max="8" width="1.42578125" customWidth="1"/>
    <col min="9" max="9" width="18.28515625" customWidth="1"/>
    <col min="10" max="10" width="1.42578125" customWidth="1"/>
    <col min="11" max="11" width="10.85546875" bestFit="1" customWidth="1"/>
    <col min="14" max="14" width="9.140625" customWidth="1"/>
    <col min="17" max="17" width="9.140625" customWidth="1"/>
    <col min="18" max="18" width="3.7109375" customWidth="1"/>
  </cols>
  <sheetData>
    <row r="4" spans="2:30" ht="18" thickBot="1" x14ac:dyDescent="0.35">
      <c r="B4" s="6" t="s">
        <v>169</v>
      </c>
      <c r="C4" s="6"/>
      <c r="D4" s="6"/>
      <c r="E4" s="6"/>
      <c r="F4" s="6"/>
      <c r="G4" s="6"/>
      <c r="H4" s="6"/>
      <c r="I4" s="6"/>
      <c r="J4" s="6"/>
      <c r="K4" s="6"/>
      <c r="L4" s="6"/>
      <c r="M4" s="6"/>
      <c r="N4" s="6"/>
      <c r="O4" s="6"/>
      <c r="P4" s="6"/>
      <c r="Q4" s="6"/>
      <c r="R4" s="6"/>
      <c r="S4" s="6"/>
      <c r="T4" s="6"/>
      <c r="U4" s="6"/>
      <c r="V4" s="6"/>
      <c r="W4" s="6"/>
      <c r="X4" s="6"/>
      <c r="Y4" s="6"/>
      <c r="Z4" s="6"/>
      <c r="AA4" s="6"/>
      <c r="AB4" s="6"/>
      <c r="AC4" s="6"/>
      <c r="AD4" s="6"/>
    </row>
    <row r="5" spans="2:30" ht="15.75" thickTop="1" x14ac:dyDescent="0.25"/>
    <row r="6" spans="2:30" x14ac:dyDescent="0.25">
      <c r="C6" s="71" t="str">
        <f>tbl_property_DB[[#Headers],[Listing Number]]</f>
        <v>Listing Number</v>
      </c>
      <c r="D6" s="71"/>
      <c r="E6" s="71" t="str">
        <f>tbl_property_DB[[#Headers],[Suburb]]</f>
        <v>Suburb</v>
      </c>
      <c r="F6" s="71"/>
      <c r="G6" s="71" t="str">
        <f>tbl_property_DB[[#Headers],[City]]</f>
        <v>City</v>
      </c>
      <c r="H6" s="71"/>
      <c r="I6" s="71" t="str">
        <f>tbl_property_DB[[#Headers],[Purchase Price]]</f>
        <v>Purchase Price</v>
      </c>
      <c r="J6" s="71"/>
      <c r="K6" s="71" t="str">
        <f>tbl_property_DB[[#Headers],[Cash Needed at Purchase]]</f>
        <v>Cash Needed at Purchase</v>
      </c>
      <c r="L6" s="71"/>
      <c r="M6" s="71"/>
    </row>
    <row r="7" spans="2:30" x14ac:dyDescent="0.25">
      <c r="B7" s="3">
        <v>1</v>
      </c>
      <c r="C7">
        <f>IFERROR(INDEX(tbl_property_DB[],MATCH(B7,tbl_property_DB[Property Rank],0),MATCH(C6,tbl_property_DB[#Headers],0)),"")</f>
        <v>112636777</v>
      </c>
      <c r="E7" t="str">
        <f>IFERROR(INDEX(tbl_property_DB[],MATCH(B7,tbl_property_DB[Property Rank],0),MATCH($E$6,tbl_property_DB[#Headers],0)),"")</f>
        <v>zambezi-manor-lifestyle-estate</v>
      </c>
      <c r="G7" t="str">
        <f>IFERROR(INDEX(tbl_property_DB[],MATCH(B7,tbl_property_DB[Property Rank],0),MATCH($G$6,tbl_property_DB[#Headers],0)),"")</f>
        <v>pretoria</v>
      </c>
      <c r="I7" s="70">
        <f>IFERROR(INDEX(tbl_property_DB[],MATCH(B7,tbl_property_DB[Property Rank],0),MATCH($I$6,tbl_property_DB[#Headers],0)),"")</f>
        <v>975000</v>
      </c>
      <c r="K7" s="70">
        <f>IFERROR(INDEX(tbl_property_DB[],MATCH(B7,tbl_property_DB[Property Rank],0),MATCH($K$6,tbl_property_DB[#Headers],0)),"")</f>
        <v>411375</v>
      </c>
    </row>
    <row r="8" spans="2:30" x14ac:dyDescent="0.25">
      <c r="B8" s="3">
        <v>2</v>
      </c>
      <c r="C8" t="str">
        <f>IFERROR(INDEX(tbl_property_DB[],MATCH(B8,tbl_property_DB[Property Rank],0),MATCH(C7,tbl_property_DB[#Headers],0)),"")</f>
        <v/>
      </c>
      <c r="E8" t="str">
        <f>IFERROR(INDEX(tbl_property_DB[],MATCH(B8,tbl_property_DB[Property Rank],0),MATCH($E$6,tbl_property_DB[#Headers],0)),"")</f>
        <v/>
      </c>
      <c r="F8" t="str">
        <f>IFERROR(INDEX(tbl_property_DB[],MATCH(B8,tbl_property_DB[Property Rank],0),MATCH($G$6,tbl_property_DB[#Headers],0)),"")</f>
        <v/>
      </c>
      <c r="H8" s="68" t="str">
        <f>IFERROR(INDEX(tbl_property_DB[],MATCH(B8,tbl_property_DB[Property Rank],0),MATCH($I$6,tbl_property_DB[#Headers],0)),"")</f>
        <v/>
      </c>
      <c r="J8" s="68" t="str">
        <f>IFERROR(INDEX(tbl_property_DB[],MATCH(B8,tbl_property_DB[Property Rank],0),MATCH($K$6,tbl_property_DB[#Headers],0)),"")</f>
        <v/>
      </c>
    </row>
    <row r="9" spans="2:30" x14ac:dyDescent="0.25">
      <c r="B9" s="3">
        <v>3</v>
      </c>
      <c r="C9" t="str">
        <f>IFERROR(INDEX(tbl_property_DB[],MATCH(B9,tbl_property_DB[Property Rank],0),MATCH(C8,tbl_property_DB[#Headers],0)),"")</f>
        <v/>
      </c>
      <c r="E9" t="str">
        <f>IFERROR(INDEX(tbl_property_DB[],MATCH(B9,tbl_property_DB[Property Rank],0),MATCH($E$6,tbl_property_DB[#Headers],0)),"")</f>
        <v/>
      </c>
      <c r="F9" t="str">
        <f>IFERROR(INDEX(tbl_property_DB[],MATCH(B9,tbl_property_DB[Property Rank],0),MATCH($G$6,tbl_property_DB[#Headers],0)),"")</f>
        <v/>
      </c>
      <c r="H9" s="68" t="str">
        <f>IFERROR(INDEX(tbl_property_DB[],MATCH(B9,tbl_property_DB[Property Rank],0),MATCH($I$6,tbl_property_DB[#Headers],0)),"")</f>
        <v/>
      </c>
      <c r="J9" s="68" t="str">
        <f>IFERROR(INDEX(tbl_property_DB[],MATCH(B9,tbl_property_DB[Property Rank],0),MATCH($K$6,tbl_property_DB[#Headers],0)),"")</f>
        <v/>
      </c>
    </row>
    <row r="10" spans="2:30" x14ac:dyDescent="0.25">
      <c r="B10" s="3">
        <v>4</v>
      </c>
      <c r="C10" t="str">
        <f>IFERROR(INDEX(tbl_property_DB[],MATCH(B10,tbl_property_DB[Property Rank],0),MATCH(C9,tbl_property_DB[#Headers],0)),"")</f>
        <v/>
      </c>
      <c r="E10" t="str">
        <f>IFERROR(INDEX(tbl_property_DB[],MATCH(B10,tbl_property_DB[Property Rank],0),MATCH($E$6,tbl_property_DB[#Headers],0)),"")</f>
        <v/>
      </c>
      <c r="F10" t="str">
        <f>IFERROR(INDEX(tbl_property_DB[],MATCH(B10,tbl_property_DB[Property Rank],0),MATCH($G$6,tbl_property_DB[#Headers],0)),"")</f>
        <v/>
      </c>
      <c r="H10" s="68" t="str">
        <f>IFERROR(INDEX(tbl_property_DB[],MATCH(B10,tbl_property_DB[Property Rank],0),MATCH($I$6,tbl_property_DB[#Headers],0)),"")</f>
        <v/>
      </c>
      <c r="J10" s="68" t="str">
        <f>IFERROR(INDEX(tbl_property_DB[],MATCH(B10,tbl_property_DB[Property Rank],0),MATCH($K$6,tbl_property_DB[#Headers],0)),"")</f>
        <v/>
      </c>
    </row>
    <row r="11" spans="2:30" x14ac:dyDescent="0.25">
      <c r="B11" s="3">
        <v>5</v>
      </c>
      <c r="C11" t="str">
        <f>IFERROR(INDEX(tbl_property_DB[],MATCH(B11,tbl_property_DB[Property Rank],0),MATCH(C10,tbl_property_DB[#Headers],0)),"")</f>
        <v/>
      </c>
      <c r="E11" t="str">
        <f>IFERROR(INDEX(tbl_property_DB[],MATCH(B11,tbl_property_DB[Property Rank],0),MATCH($E$6,tbl_property_DB[#Headers],0)),"")</f>
        <v/>
      </c>
      <c r="F11" t="str">
        <f>IFERROR(INDEX(tbl_property_DB[],MATCH(B11,tbl_property_DB[Property Rank],0),MATCH($G$6,tbl_property_DB[#Headers],0)),"")</f>
        <v/>
      </c>
      <c r="H11" s="68" t="str">
        <f>IFERROR(INDEX(tbl_property_DB[],MATCH(B11,tbl_property_DB[Property Rank],0),MATCH($I$6,tbl_property_DB[#Headers],0)),"")</f>
        <v/>
      </c>
      <c r="J11" s="68" t="str">
        <f>IFERROR(INDEX(tbl_property_DB[],MATCH(B11,tbl_property_DB[Property Rank],0),MATCH($K$6,tbl_property_DB[#Headers],0)),"")</f>
        <v/>
      </c>
    </row>
    <row r="12" spans="2:30" x14ac:dyDescent="0.25">
      <c r="B12" s="3">
        <v>6</v>
      </c>
      <c r="C12" t="str">
        <f>IFERROR(INDEX(tbl_property_DB[],MATCH(B12,tbl_property_DB[Property Rank],0),MATCH(C11,tbl_property_DB[#Headers],0)),"")</f>
        <v/>
      </c>
      <c r="E12" t="str">
        <f>IFERROR(INDEX(tbl_property_DB[],MATCH(B12,tbl_property_DB[Property Rank],0),MATCH($E$6,tbl_property_DB[#Headers],0)),"")</f>
        <v/>
      </c>
      <c r="F12" t="str">
        <f>IFERROR(INDEX(tbl_property_DB[],MATCH(B12,tbl_property_DB[Property Rank],0),MATCH($G$6,tbl_property_DB[#Headers],0)),"")</f>
        <v/>
      </c>
      <c r="H12" s="68" t="str">
        <f>IFERROR(INDEX(tbl_property_DB[],MATCH(B12,tbl_property_DB[Property Rank],0),MATCH($I$6,tbl_property_DB[#Headers],0)),"")</f>
        <v/>
      </c>
      <c r="J12" s="68" t="str">
        <f>IFERROR(INDEX(tbl_property_DB[],MATCH(B12,tbl_property_DB[Property Rank],0),MATCH($K$6,tbl_property_DB[#Headers],0)),"")</f>
        <v/>
      </c>
    </row>
    <row r="13" spans="2:30" x14ac:dyDescent="0.25">
      <c r="B13" s="3">
        <v>7</v>
      </c>
      <c r="C13" t="str">
        <f>IFERROR(INDEX(tbl_property_DB[],MATCH(B13,tbl_property_DB[Property Rank],0),MATCH(C12,tbl_property_DB[#Headers],0)),"")</f>
        <v/>
      </c>
      <c r="E13" t="str">
        <f>IFERROR(INDEX(tbl_property_DB[],MATCH(B13,tbl_property_DB[Property Rank],0),MATCH($E$6,tbl_property_DB[#Headers],0)),"")</f>
        <v/>
      </c>
      <c r="F13" t="str">
        <f>IFERROR(INDEX(tbl_property_DB[],MATCH(B13,tbl_property_DB[Property Rank],0),MATCH($G$6,tbl_property_DB[#Headers],0)),"")</f>
        <v/>
      </c>
      <c r="H13" s="68" t="str">
        <f>IFERROR(INDEX(tbl_property_DB[],MATCH(B13,tbl_property_DB[Property Rank],0),MATCH($I$6,tbl_property_DB[#Headers],0)),"")</f>
        <v/>
      </c>
      <c r="J13" s="68" t="str">
        <f>IFERROR(INDEX(tbl_property_DB[],MATCH(B13,tbl_property_DB[Property Rank],0),MATCH($K$6,tbl_property_DB[#Headers],0)),"")</f>
        <v/>
      </c>
    </row>
    <row r="14" spans="2:30" x14ac:dyDescent="0.25">
      <c r="B14" s="3">
        <v>8</v>
      </c>
      <c r="C14" t="str">
        <f>IFERROR(INDEX(tbl_property_DB[],MATCH(B14,tbl_property_DB[Property Rank],0),MATCH(C13,tbl_property_DB[#Headers],0)),"")</f>
        <v/>
      </c>
      <c r="E14" t="str">
        <f>IFERROR(INDEX(tbl_property_DB[],MATCH(B14,tbl_property_DB[Property Rank],0),MATCH($E$6,tbl_property_DB[#Headers],0)),"")</f>
        <v/>
      </c>
      <c r="F14" t="str">
        <f>IFERROR(INDEX(tbl_property_DB[],MATCH(B14,tbl_property_DB[Property Rank],0),MATCH($G$6,tbl_property_DB[#Headers],0)),"")</f>
        <v/>
      </c>
      <c r="H14" s="68" t="str">
        <f>IFERROR(INDEX(tbl_property_DB[],MATCH(B14,tbl_property_DB[Property Rank],0),MATCH($I$6,tbl_property_DB[#Headers],0)),"")</f>
        <v/>
      </c>
      <c r="J14" s="68" t="str">
        <f>IFERROR(INDEX(tbl_property_DB[],MATCH(B14,tbl_property_DB[Property Rank],0),MATCH($K$6,tbl_property_DB[#Headers],0)),"")</f>
        <v/>
      </c>
    </row>
    <row r="15" spans="2:30" x14ac:dyDescent="0.25">
      <c r="B15" s="3">
        <v>9</v>
      </c>
      <c r="C15" t="str">
        <f>IFERROR(INDEX(tbl_property_DB[],MATCH(B15,tbl_property_DB[Property Rank],0),MATCH(C14,tbl_property_DB[#Headers],0)),"")</f>
        <v/>
      </c>
      <c r="E15" t="str">
        <f>IFERROR(INDEX(tbl_property_DB[],MATCH(B15,tbl_property_DB[Property Rank],0),MATCH($E$6,tbl_property_DB[#Headers],0)),"")</f>
        <v/>
      </c>
      <c r="F15" t="str">
        <f>IFERROR(INDEX(tbl_property_DB[],MATCH(B15,tbl_property_DB[Property Rank],0),MATCH($G$6,tbl_property_DB[#Headers],0)),"")</f>
        <v/>
      </c>
      <c r="H15" s="68" t="str">
        <f>IFERROR(INDEX(tbl_property_DB[],MATCH(B15,tbl_property_DB[Property Rank],0),MATCH($I$6,tbl_property_DB[#Headers],0)),"")</f>
        <v/>
      </c>
      <c r="J15" s="68" t="str">
        <f>IFERROR(INDEX(tbl_property_DB[],MATCH(B15,tbl_property_DB[Property Rank],0),MATCH($K$6,tbl_property_DB[#Headers],0)),"")</f>
        <v/>
      </c>
    </row>
    <row r="16" spans="2:30" x14ac:dyDescent="0.25">
      <c r="B16" s="3">
        <v>10</v>
      </c>
      <c r="C16" t="str">
        <f>IFERROR(INDEX(tbl_property_DB[],MATCH(B16,tbl_property_DB[Property Rank],0),MATCH(C15,tbl_property_DB[#Headers],0)),"")</f>
        <v/>
      </c>
      <c r="E16" t="str">
        <f>IFERROR(INDEX(tbl_property_DB[],MATCH(B16,tbl_property_DB[Property Rank],0),MATCH($E$6,tbl_property_DB[#Headers],0)),"")</f>
        <v/>
      </c>
      <c r="F16" t="str">
        <f>IFERROR(INDEX(tbl_property_DB[],MATCH(B16,tbl_property_DB[Property Rank],0),MATCH($G$6,tbl_property_DB[#Headers],0)),"")</f>
        <v/>
      </c>
      <c r="H16" s="68" t="str">
        <f>IFERROR(INDEX(tbl_property_DB[],MATCH(B16,tbl_property_DB[Property Rank],0),MATCH($I$6,tbl_property_DB[#Headers],0)),"")</f>
        <v/>
      </c>
      <c r="J16" s="68" t="str">
        <f>IFERROR(INDEX(tbl_property_DB[],MATCH(B16,tbl_property_DB[Property Rank],0),MATCH($K$6,tbl_property_DB[#Headers],0)),"")</f>
        <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3:CO16"/>
  <sheetViews>
    <sheetView tabSelected="1" zoomScaleNormal="100" workbookViewId="0">
      <selection activeCell="B20" sqref="B20"/>
    </sheetView>
  </sheetViews>
  <sheetFormatPr defaultColWidth="12.28515625" defaultRowHeight="15" x14ac:dyDescent="0.25"/>
  <cols>
    <col min="1" max="1" width="16.42578125" bestFit="1" customWidth="1"/>
    <col min="2" max="2" width="31.7109375" bestFit="1" customWidth="1"/>
    <col min="3" max="3" width="14.42578125" bestFit="1" customWidth="1"/>
    <col min="4" max="4" width="22" bestFit="1" customWidth="1"/>
    <col min="5" max="5" width="14.5703125" bestFit="1" customWidth="1"/>
    <col min="6" max="6" width="15.85546875" bestFit="1" customWidth="1"/>
    <col min="7" max="7" width="17.7109375" bestFit="1" customWidth="1"/>
    <col min="8" max="8" width="13.85546875" bestFit="1" customWidth="1"/>
    <col min="9" max="9" width="13" bestFit="1" customWidth="1"/>
    <col min="10" max="10" width="20.140625" customWidth="1"/>
    <col min="11" max="11" width="19.28515625" bestFit="1" customWidth="1"/>
    <col min="12" max="12" width="22.85546875" bestFit="1" customWidth="1"/>
    <col min="13" max="13" width="15.85546875" bestFit="1" customWidth="1"/>
    <col min="14" max="14" width="14.5703125" bestFit="1" customWidth="1"/>
    <col min="15" max="15" width="19.140625" bestFit="1" customWidth="1"/>
    <col min="16" max="16" width="18.85546875" customWidth="1"/>
    <col min="17" max="17" width="18.5703125" bestFit="1" customWidth="1"/>
    <col min="18" max="18" width="21.140625" customWidth="1"/>
    <col min="19" max="19" width="20.85546875" customWidth="1"/>
    <col min="20" max="20" width="35.42578125" bestFit="1" customWidth="1"/>
    <col min="21" max="21" width="20.85546875" customWidth="1"/>
    <col min="22" max="22" width="20.7109375" customWidth="1"/>
    <col min="23" max="23" width="24.140625" customWidth="1"/>
    <col min="24" max="24" width="20.42578125" customWidth="1"/>
    <col min="25" max="25" width="20.28515625" customWidth="1"/>
    <col min="26" max="27" width="17.85546875" customWidth="1"/>
    <col min="28" max="28" width="16.85546875" customWidth="1"/>
    <col min="29" max="29" width="21.7109375" customWidth="1"/>
    <col min="30" max="30" width="22.28515625" customWidth="1"/>
    <col min="31" max="31" width="33" customWidth="1"/>
    <col min="32" max="32" width="16.7109375" bestFit="1" customWidth="1"/>
    <col min="33" max="33" width="15.7109375" bestFit="1" customWidth="1"/>
    <col min="34" max="34" width="24.42578125" bestFit="1" customWidth="1"/>
    <col min="35" max="35" width="19.28515625" bestFit="1" customWidth="1"/>
    <col min="36" max="36" width="16.85546875" bestFit="1" customWidth="1"/>
    <col min="37" max="37" width="12.85546875" customWidth="1"/>
    <col min="38" max="38" width="21.7109375" bestFit="1" customWidth="1"/>
    <col min="39" max="39" width="8.140625" bestFit="1" customWidth="1"/>
    <col min="40" max="40" width="10.7109375" bestFit="1" customWidth="1"/>
    <col min="41" max="41" width="9.5703125" bestFit="1" customWidth="1"/>
    <col min="42" max="42" width="13.28515625" bestFit="1" customWidth="1"/>
    <col min="43" max="43" width="17.28515625" customWidth="1"/>
    <col min="44" max="44" width="18.5703125" customWidth="1"/>
    <col min="45" max="45" width="23" customWidth="1"/>
    <col min="46" max="46" width="16.85546875" customWidth="1"/>
    <col min="47" max="47" width="14.28515625" customWidth="1"/>
    <col min="48" max="48" width="25.5703125" customWidth="1"/>
    <col min="49" max="49" width="22.140625" bestFit="1" customWidth="1"/>
    <col min="50" max="50" width="23.140625" bestFit="1" customWidth="1"/>
    <col min="51" max="51" width="19.5703125" bestFit="1" customWidth="1"/>
    <col min="52" max="52" width="21.140625" bestFit="1" customWidth="1"/>
    <col min="53" max="53" width="17.7109375" bestFit="1" customWidth="1"/>
    <col min="54" max="54" width="26.140625" bestFit="1" customWidth="1"/>
    <col min="55" max="55" width="25.28515625" bestFit="1" customWidth="1"/>
    <col min="56" max="56" width="21" bestFit="1" customWidth="1"/>
    <col min="57" max="57" width="26.28515625" bestFit="1" customWidth="1"/>
    <col min="58" max="58" width="18" bestFit="1" customWidth="1"/>
    <col min="59" max="59" width="16.5703125" bestFit="1" customWidth="1"/>
    <col min="60" max="60" width="14.42578125" bestFit="1" customWidth="1"/>
    <col min="61" max="61" width="19.140625" bestFit="1" customWidth="1"/>
    <col min="62" max="62" width="16.7109375" bestFit="1" customWidth="1"/>
    <col min="63" max="63" width="23.7109375" bestFit="1" customWidth="1"/>
    <col min="64" max="64" width="13.85546875" customWidth="1"/>
    <col min="65" max="65" width="16.42578125" bestFit="1" customWidth="1"/>
    <col min="66" max="66" width="17.7109375" customWidth="1"/>
    <col min="67" max="67" width="18" bestFit="1" customWidth="1"/>
    <col min="68" max="68" width="18.5703125" bestFit="1" customWidth="1"/>
    <col min="69" max="69" width="11.5703125" bestFit="1" customWidth="1"/>
    <col min="70" max="70" width="17.42578125" bestFit="1" customWidth="1"/>
    <col min="71" max="71" width="18.42578125" bestFit="1" customWidth="1"/>
    <col min="72" max="72" width="24.85546875" bestFit="1" customWidth="1"/>
    <col min="73" max="73" width="14.140625" bestFit="1" customWidth="1"/>
    <col min="74" max="74" width="18.85546875" bestFit="1" customWidth="1"/>
    <col min="75" max="75" width="16.42578125" bestFit="1" customWidth="1"/>
    <col min="76" max="76" width="16.7109375" bestFit="1" customWidth="1"/>
    <col min="77" max="77" width="20.85546875" customWidth="1"/>
    <col min="78" max="78" width="22" customWidth="1"/>
    <col min="79" max="79" width="17.42578125" customWidth="1"/>
    <col min="80" max="80" width="12.42578125" customWidth="1"/>
    <col min="81" max="81" width="23.140625" customWidth="1"/>
    <col min="82" max="82" width="9.42578125" customWidth="1"/>
    <col min="83" max="83" width="18.28515625" customWidth="1"/>
    <col min="84" max="84" width="20.7109375" customWidth="1"/>
    <col min="85" max="85" width="23.7109375" customWidth="1"/>
    <col min="86" max="86" width="24" customWidth="1"/>
    <col min="87" max="87" width="14.5703125" bestFit="1" customWidth="1"/>
    <col min="88" max="88" width="24.28515625" customWidth="1"/>
    <col min="89" max="89" width="15.5703125" customWidth="1"/>
    <col min="90" max="90" width="19.7109375" customWidth="1"/>
    <col min="91" max="91" width="14.42578125" customWidth="1"/>
    <col min="92" max="92" width="13.85546875" customWidth="1"/>
    <col min="93" max="93" width="17.140625" customWidth="1"/>
  </cols>
  <sheetData>
    <row r="3" spans="1:93" x14ac:dyDescent="0.25">
      <c r="K3" s="63"/>
      <c r="P3" s="63"/>
      <c r="R3" s="63"/>
      <c r="W3" s="63"/>
      <c r="X3" s="63"/>
      <c r="Y3" s="63"/>
      <c r="Z3" s="63"/>
      <c r="AB3" s="63"/>
      <c r="AH3" s="63"/>
      <c r="AT3" s="63"/>
      <c r="AU3" s="2"/>
      <c r="AV3" s="66"/>
      <c r="AW3" s="2"/>
      <c r="AX3" s="66"/>
      <c r="AY3" s="2"/>
      <c r="AZ3" s="66"/>
      <c r="BA3" s="2"/>
      <c r="BC3" s="66"/>
      <c r="BD3" s="66"/>
      <c r="BE3" s="66"/>
      <c r="BF3" s="66"/>
      <c r="BG3" t="s">
        <v>205</v>
      </c>
      <c r="BL3" t="s">
        <v>178</v>
      </c>
      <c r="BY3" t="s">
        <v>181</v>
      </c>
    </row>
    <row r="4" spans="1:93" s="9" customFormat="1" ht="18.75" x14ac:dyDescent="0.3">
      <c r="A4" s="10" t="s">
        <v>204</v>
      </c>
      <c r="B4" s="10"/>
      <c r="C4" s="10"/>
      <c r="D4" s="10"/>
      <c r="E4" s="10"/>
      <c r="F4" s="10"/>
      <c r="G4" s="10"/>
      <c r="H4" s="10"/>
      <c r="I4" s="10"/>
      <c r="J4" s="10"/>
      <c r="K4" s="11" t="s">
        <v>8</v>
      </c>
      <c r="L4" s="11"/>
      <c r="M4" s="11"/>
      <c r="N4" s="11"/>
      <c r="O4" s="11"/>
      <c r="P4" s="10" t="s">
        <v>206</v>
      </c>
      <c r="Q4" s="10"/>
      <c r="R4" s="10"/>
      <c r="S4" s="10"/>
      <c r="T4" s="10"/>
      <c r="U4" s="10"/>
      <c r="V4" s="10"/>
      <c r="W4" s="10"/>
      <c r="X4" s="10"/>
      <c r="Y4" s="10"/>
      <c r="Z4" s="11" t="s">
        <v>207</v>
      </c>
      <c r="AA4" s="11"/>
      <c r="AB4" s="11"/>
      <c r="AC4" s="11"/>
      <c r="AD4" s="11"/>
      <c r="AE4" s="11"/>
      <c r="AF4" s="11"/>
      <c r="AG4" s="11"/>
      <c r="AH4" s="11"/>
      <c r="AI4" s="14" t="s">
        <v>14</v>
      </c>
      <c r="AJ4" s="14"/>
      <c r="AK4" s="15" t="s">
        <v>15</v>
      </c>
      <c r="AL4" s="15"/>
      <c r="AM4" s="15"/>
      <c r="AN4" s="15"/>
      <c r="AO4" s="15"/>
      <c r="AP4" s="15"/>
      <c r="AQ4" s="15"/>
      <c r="AR4" s="15"/>
      <c r="AS4" s="15"/>
      <c r="AT4" s="15" t="s">
        <v>16</v>
      </c>
      <c r="AU4" s="15"/>
      <c r="AV4" s="15"/>
      <c r="AW4" s="15"/>
      <c r="AX4" s="15"/>
      <c r="AY4" s="15"/>
      <c r="AZ4" s="15"/>
      <c r="BA4" s="15"/>
      <c r="BB4" s="15"/>
      <c r="BC4" s="14" t="s">
        <v>20</v>
      </c>
      <c r="BD4" s="14"/>
      <c r="BE4" s="15"/>
      <c r="BF4" s="15"/>
      <c r="BG4" s="11" t="s">
        <v>208</v>
      </c>
      <c r="BH4" s="11"/>
      <c r="BI4" s="12"/>
      <c r="BJ4" s="12"/>
      <c r="BK4" s="12"/>
      <c r="BL4" s="13" t="s">
        <v>26</v>
      </c>
      <c r="BM4" s="13"/>
      <c r="BN4" s="12" t="s">
        <v>29</v>
      </c>
      <c r="BO4" s="12"/>
      <c r="BP4" s="12"/>
      <c r="BQ4" s="12"/>
      <c r="BR4" s="12"/>
      <c r="BS4" s="12"/>
      <c r="BT4" s="12"/>
      <c r="BU4" s="13" t="s">
        <v>210</v>
      </c>
      <c r="BV4" s="13"/>
      <c r="BW4" s="13"/>
      <c r="BX4" s="13"/>
      <c r="BY4" s="12" t="s">
        <v>177</v>
      </c>
      <c r="BZ4" s="12"/>
      <c r="CA4" s="12"/>
      <c r="CB4" s="12"/>
      <c r="CC4" s="12"/>
      <c r="CD4" s="13" t="s">
        <v>211</v>
      </c>
      <c r="CE4" s="13"/>
      <c r="CF4" s="13"/>
      <c r="CG4" s="13"/>
      <c r="CH4" s="13"/>
      <c r="CI4" s="11" t="s">
        <v>212</v>
      </c>
      <c r="CJ4" s="11"/>
      <c r="CK4" s="11"/>
      <c r="CL4" s="11"/>
      <c r="CM4" s="11"/>
      <c r="CN4" s="11"/>
      <c r="CO4" s="11"/>
    </row>
    <row r="5" spans="1:93" x14ac:dyDescent="0.25">
      <c r="A5" t="s">
        <v>183</v>
      </c>
      <c r="B5" t="s">
        <v>2</v>
      </c>
      <c r="C5" t="s">
        <v>3</v>
      </c>
      <c r="D5" t="s">
        <v>1</v>
      </c>
      <c r="E5" t="s">
        <v>0</v>
      </c>
      <c r="F5" t="s">
        <v>176</v>
      </c>
      <c r="G5" t="s">
        <v>7</v>
      </c>
      <c r="H5" t="s">
        <v>5</v>
      </c>
      <c r="I5" t="s">
        <v>6</v>
      </c>
      <c r="J5" t="s">
        <v>4</v>
      </c>
      <c r="K5" t="s">
        <v>9</v>
      </c>
      <c r="L5" t="s">
        <v>10</v>
      </c>
      <c r="M5" t="s">
        <v>97</v>
      </c>
      <c r="N5" t="s">
        <v>11</v>
      </c>
      <c r="O5" t="s">
        <v>157</v>
      </c>
      <c r="P5" t="s">
        <v>12</v>
      </c>
      <c r="Q5" t="s">
        <v>56</v>
      </c>
      <c r="R5" t="s">
        <v>185</v>
      </c>
      <c r="S5" t="s">
        <v>55</v>
      </c>
      <c r="T5" t="s">
        <v>186</v>
      </c>
      <c r="U5" t="s">
        <v>51</v>
      </c>
      <c r="V5" t="s">
        <v>52</v>
      </c>
      <c r="W5" t="s">
        <v>74</v>
      </c>
      <c r="X5" t="s">
        <v>73</v>
      </c>
      <c r="Y5" t="s">
        <v>96</v>
      </c>
      <c r="Z5" t="s">
        <v>158</v>
      </c>
      <c r="AA5" t="s">
        <v>57</v>
      </c>
      <c r="AB5" t="s">
        <v>58</v>
      </c>
      <c r="AC5" t="s">
        <v>59</v>
      </c>
      <c r="AD5" t="s">
        <v>60</v>
      </c>
      <c r="AE5" t="s">
        <v>61</v>
      </c>
      <c r="AF5" t="s">
        <v>62</v>
      </c>
      <c r="AG5" t="s">
        <v>63</v>
      </c>
      <c r="AH5" t="s">
        <v>75</v>
      </c>
      <c r="AI5" t="s">
        <v>94</v>
      </c>
      <c r="AJ5" t="s">
        <v>95</v>
      </c>
      <c r="AK5" t="s">
        <v>89</v>
      </c>
      <c r="AL5" t="s">
        <v>90</v>
      </c>
      <c r="AM5" t="s">
        <v>91</v>
      </c>
      <c r="AN5" t="s">
        <v>92</v>
      </c>
      <c r="AO5" t="s">
        <v>93</v>
      </c>
      <c r="AP5" t="s">
        <v>76</v>
      </c>
      <c r="AQ5" t="s">
        <v>88</v>
      </c>
      <c r="AR5" t="s">
        <v>77</v>
      </c>
      <c r="AS5" t="s">
        <v>78</v>
      </c>
      <c r="AT5" t="s">
        <v>159</v>
      </c>
      <c r="AU5" t="s">
        <v>48</v>
      </c>
      <c r="AV5" t="s">
        <v>17</v>
      </c>
      <c r="AW5" t="s">
        <v>160</v>
      </c>
      <c r="AX5" t="s">
        <v>18</v>
      </c>
      <c r="AY5" t="s">
        <v>161</v>
      </c>
      <c r="AZ5" t="s">
        <v>19</v>
      </c>
      <c r="BA5" t="s">
        <v>162</v>
      </c>
      <c r="BB5" t="s">
        <v>79</v>
      </c>
      <c r="BC5" t="s">
        <v>21</v>
      </c>
      <c r="BD5" t="s">
        <v>22</v>
      </c>
      <c r="BE5" t="s">
        <v>23</v>
      </c>
      <c r="BF5" t="s">
        <v>24</v>
      </c>
      <c r="BG5" t="s">
        <v>25</v>
      </c>
      <c r="BH5" t="s">
        <v>54</v>
      </c>
      <c r="BI5" t="s">
        <v>53</v>
      </c>
      <c r="BJ5" t="s">
        <v>49</v>
      </c>
      <c r="BK5" t="s">
        <v>68</v>
      </c>
      <c r="BL5" t="s">
        <v>27</v>
      </c>
      <c r="BM5" s="8" t="s">
        <v>28</v>
      </c>
      <c r="BN5" s="7" t="s">
        <v>80</v>
      </c>
      <c r="BO5" s="8" t="s">
        <v>81</v>
      </c>
      <c r="BP5" s="8" t="s">
        <v>82</v>
      </c>
      <c r="BQ5" s="7" t="s">
        <v>98</v>
      </c>
      <c r="BR5" s="8" t="s">
        <v>31</v>
      </c>
      <c r="BS5" s="8" t="s">
        <v>30</v>
      </c>
      <c r="BT5" s="8" t="s">
        <v>83</v>
      </c>
      <c r="BU5" t="s">
        <v>209</v>
      </c>
      <c r="BV5" t="s">
        <v>64</v>
      </c>
      <c r="BW5" t="s">
        <v>65</v>
      </c>
      <c r="BX5" s="5" t="s">
        <v>179</v>
      </c>
      <c r="BY5" s="7" t="s">
        <v>84</v>
      </c>
      <c r="BZ5" s="8" t="s">
        <v>85</v>
      </c>
      <c r="CA5" s="8" t="s">
        <v>86</v>
      </c>
      <c r="CB5" s="8" t="s">
        <v>180</v>
      </c>
      <c r="CC5" s="8" t="s">
        <v>87</v>
      </c>
      <c r="CD5" t="s">
        <v>33</v>
      </c>
      <c r="CE5" t="s">
        <v>34</v>
      </c>
      <c r="CF5" t="s">
        <v>35</v>
      </c>
      <c r="CG5" t="s">
        <v>67</v>
      </c>
      <c r="CH5" t="s">
        <v>66</v>
      </c>
      <c r="CI5" t="s">
        <v>171</v>
      </c>
      <c r="CJ5" t="s">
        <v>182</v>
      </c>
      <c r="CK5" t="s">
        <v>172</v>
      </c>
      <c r="CL5" t="s">
        <v>173</v>
      </c>
      <c r="CM5" t="s">
        <v>170</v>
      </c>
      <c r="CN5" t="s">
        <v>174</v>
      </c>
      <c r="CO5" t="s">
        <v>175</v>
      </c>
    </row>
    <row r="6" spans="1:93" x14ac:dyDescent="0.25">
      <c r="A6">
        <v>112312564</v>
      </c>
      <c r="B6" t="s">
        <v>194</v>
      </c>
      <c r="C6" t="s">
        <v>198</v>
      </c>
      <c r="D6" t="str">
        <f>IF(tbl_property_DB[[#This Row],[City]]="pretoria", "city-of-tshwane",IF(tbl_property_DB[[#This Row],[City]]="johannesburg", "city-of-johannesburg", IF(tbl_property_DB[[#This Row],[City]]="cape-town","city-of-cape-town","ERROR")))</f>
        <v>city-of-tshwane</v>
      </c>
      <c r="E6" t="s">
        <v>197</v>
      </c>
      <c r="F6" s="44">
        <v>440000</v>
      </c>
      <c r="G6" t="s">
        <v>199</v>
      </c>
      <c r="H6" s="75">
        <v>2</v>
      </c>
      <c r="I6" s="75">
        <v>2</v>
      </c>
      <c r="J6" s="17">
        <v>2988</v>
      </c>
      <c r="K6" s="44">
        <v>410000</v>
      </c>
      <c r="L6" s="44">
        <v>410000</v>
      </c>
      <c r="M6" s="45">
        <v>0</v>
      </c>
      <c r="N6" t="s">
        <v>156</v>
      </c>
      <c r="O6" s="76">
        <v>0</v>
      </c>
      <c r="P6" s="45">
        <f>IF(tbl_property_DB[[#This Row],[Cash Purchase]]="Yes",0,(tbl_property_DB[[#This Row],[Purchase Price]]*tbl_property_DB[[#This Row],[Down Payment (%)]]))</f>
        <v>0</v>
      </c>
      <c r="Q6" s="2">
        <v>0</v>
      </c>
      <c r="R6" s="45">
        <f>tbl_property_DB[[#This Row],[Purchase Price]]*0.04</f>
        <v>16400</v>
      </c>
      <c r="S6" s="45">
        <f>IF(tbl_property_DB[[#This Row],[Cash Purchase]]="Yes",0,tbl_property_DB[[#This Row],[Purchase Price]]*0.045)</f>
        <v>0</v>
      </c>
      <c r="T6" t="s">
        <v>13</v>
      </c>
      <c r="U6" t="s">
        <v>50</v>
      </c>
      <c r="V6" t="s">
        <v>50</v>
      </c>
      <c r="W6">
        <v>0</v>
      </c>
      <c r="X6">
        <v>0</v>
      </c>
      <c r="Y6">
        <v>72</v>
      </c>
      <c r="Z6" s="2">
        <v>0.4</v>
      </c>
      <c r="AA6" s="46">
        <f>IF(tbl_property_DB[[#This Row],[Time To Refinance (m)]]=0,0,tbl_property_DB[[#This Row],[After Repair Value]])*(1+tbl_property_DB[[#This Row],[Annual PV Growth (%)]])^(1*(ROUND((tbl_property_DB[[#This Row],[Time To Refinance (m)]]/12),0)-1))*tbl_property_DB[[#This Row],[Ref. Loan (%) of PV]]</f>
        <v>209310.17625000002</v>
      </c>
      <c r="AB6" s="2">
        <v>0.11</v>
      </c>
      <c r="AC6" s="77">
        <f>tbl_property_DB[[#This Row],[Ref. Loan Amount]]*0.045</f>
        <v>9418.9579312500009</v>
      </c>
      <c r="AD6" s="16">
        <v>0</v>
      </c>
      <c r="AE6" t="s">
        <v>203</v>
      </c>
      <c r="AF6" t="s">
        <v>50</v>
      </c>
      <c r="AG6" t="s">
        <v>50</v>
      </c>
      <c r="AH6">
        <v>30</v>
      </c>
      <c r="AI6" s="47">
        <f>tbl_property_DB[[#This Row],[Purchase Price]]*0.015</f>
        <v>6150</v>
      </c>
      <c r="AJ6" s="47">
        <v>0</v>
      </c>
      <c r="AK6" s="45">
        <v>0</v>
      </c>
      <c r="AL6" s="45">
        <v>0</v>
      </c>
      <c r="AM6" s="45">
        <v>0</v>
      </c>
      <c r="AN6" s="45">
        <v>0</v>
      </c>
      <c r="AO6" s="45">
        <f>tbl_property_DB[[#This Row],[Total Gross Rent (m)]]*0.3</f>
        <v>1845</v>
      </c>
      <c r="AP6" s="45">
        <v>0</v>
      </c>
      <c r="AQ6" s="45">
        <v>249</v>
      </c>
      <c r="AR6" s="45">
        <f>2017-1837</f>
        <v>180</v>
      </c>
      <c r="AS6"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2274</v>
      </c>
      <c r="AT6" s="64">
        <v>0.08</v>
      </c>
      <c r="AU6" s="46">
        <f>tbl_property_DB[[#This Row],[Total Gross Rent (m)]]*tbl_property_DB[[#This Row],[Vacancy Cost (%)]]</f>
        <v>492</v>
      </c>
      <c r="AV6" s="65">
        <v>0.05</v>
      </c>
      <c r="AW6" s="46">
        <f>tbl_property_DB[[#This Row],[Total Gross Rent (m)]]*tbl_property_DB[[#This Row],[Repairs &amp; Maintenance (%)]]</f>
        <v>307.5</v>
      </c>
      <c r="AX6" s="65">
        <v>0.05</v>
      </c>
      <c r="AY6" s="46">
        <f>tbl_property_DB[[#This Row],[Total Gross Rent (m)]]*tbl_property_DB[[#This Row],[Capital Expenditures (%)]]</f>
        <v>307.5</v>
      </c>
      <c r="AZ6" s="65">
        <v>7.0000000000000007E-2</v>
      </c>
      <c r="BA6" s="46">
        <f>tbl_property_DB[[#This Row],[Total Gross Rent (m)]]*tbl_property_DB[[#This Row],[Management Fees (%)]]</f>
        <v>430.50000000000006</v>
      </c>
      <c r="BB6" s="46">
        <f>SUM(tbl_property_DB[[#This Row],[Vacancy Cost]],tbl_property_DB[[#This Row],[Repairs &amp; Maintenance]],tbl_property_DB[[#This Row],[Capital Expenditures]],tbl_property_DB[[#This Row],[Management Fees]])</f>
        <v>1537.5</v>
      </c>
      <c r="BC6" s="2">
        <v>0.06</v>
      </c>
      <c r="BD6" s="2">
        <v>0.05</v>
      </c>
      <c r="BE6" s="2">
        <v>0.05</v>
      </c>
      <c r="BF6" s="2">
        <v>7.0000000000000007E-2</v>
      </c>
      <c r="BG6" s="46">
        <f>SUM(tbl_property_DB[[#This Row],[Purchase Price]],tbl_property_DB[[#This Row],[Closing Cost]],tbl_property_DB[[#This Row],[Est. Rehab Cost]])</f>
        <v>426400</v>
      </c>
      <c r="BH6"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0</v>
      </c>
      <c r="BI6" s="46">
        <f>tbl_property_DB[[#This Row],[Acq. Loan Fees Charged]]</f>
        <v>0</v>
      </c>
      <c r="BJ6" s="46">
        <f>IF(tbl_property_DB[[#This Row],[Total Acq. Loan]]=0,0,(ABS(PMT((tbl_property_DB[[#This Row],[Acq. Loan Interest Rate]]/12),(tbl_property_DB[[#This Row],[Acq. Loan Amortization (y)]]*12),tbl_property_DB[[#This Row],[Total Acq. Loan]]))))</f>
        <v>0</v>
      </c>
      <c r="BK6" s="46">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426400</v>
      </c>
      <c r="BL6" s="46">
        <f>(SUM(tbl_property_DB[[#This Row],[Acq. Monthly P&amp;I]],tbl_property_DB[[#This Row],[Total Fixed Expenses (m)]]))*tbl_property_DB[[#This Row],[Est. Rehab Time (m)]]</f>
        <v>0</v>
      </c>
      <c r="BM6" s="46">
        <f>SUM(tbl_property_DB[[#This Row],[Cash Needed at Purchase]],tbl_property_DB[[#This Row],[Holding Costs]])</f>
        <v>426400</v>
      </c>
      <c r="BN6" s="46">
        <f>tbl_property_DB[[#This Row],[Total Gross Rent (m)]]+tbl_property_DB[[#This Row],[Other Income (m)]]</f>
        <v>6150</v>
      </c>
      <c r="BO6" s="46">
        <f>SUM(tbl_property_DB[[#This Row],[Acq. Monthly P&amp;I]],tbl_property_DB[[#This Row],[Total Fixed Expenses (m)]],tbl_property_DB[[#This Row],[Total Variable Expenses (m)]])</f>
        <v>3811.5</v>
      </c>
      <c r="BP6" s="73">
        <f>tbl_property_DB[[#This Row],[Gross Income (m)]]-tbl_property_DB[[#This Row],[Total Expenses (m)]]</f>
        <v>2338.5</v>
      </c>
      <c r="BQ6" s="46">
        <f>(tbl_property_DB[[#This Row],[Gross Income (m)]]-(tbl_property_DB[[#This Row],[Total Expenses (m)]]-tbl_property_DB[[#This Row],[Acq. Monthly P&amp;I]]))*12</f>
        <v>28062</v>
      </c>
      <c r="BR6" s="19">
        <f>tbl_property_DB[[#This Row],[Initial NOI]]/tbl_property_DB[[#This Row],[Purchase Price]]</f>
        <v>6.8443902439024387E-2</v>
      </c>
      <c r="BS6" s="19">
        <f>(tbl_property_DB[[#This Row],[Initial NOI]]/(tbl_property_DB[[#This Row],[Purchase Price]]+tbl_property_DB[[#This Row],[Closing Cost]]+tbl_property_DB[[#This Row],[Est. Rehab Cost]]+tbl_property_DB[[#This Row],[Holding Costs]]))</f>
        <v>6.5811444652908072E-2</v>
      </c>
      <c r="BT6" s="19">
        <f>(tbl_property_DB[[#This Row],[Initial Cashflow (m)]]/tbl_property_DB[[#This Row],[Cash Needed at Purchase]])*12</f>
        <v>6.5811444652908072E-2</v>
      </c>
      <c r="BU6" s="46">
        <f>IF(tbl_property_DB[[#This Row],[Ref. Fees &amp; Points]]="Wrap loan fees/points into the loan", SUM((tbl_property_DB[[#This Row],[Ref. Loan Amount]],tbl_property_DB[[#This Row],[Ref. Loan Fees Charged]],tbl_property_DB[[#This Row],[Ref. Loan Other Charges]])),tbl_property_DB[[#This Row],[Ref. Loan Amount]])</f>
        <v>218729.13418125003</v>
      </c>
      <c r="BV6" s="46">
        <f>tbl_property_DB[[#This Row],[Ref. Loan Fees Charged]]+tbl_property_DB[[#This Row],[Ref. Loan Other Charges]]</f>
        <v>9418.9579312500009</v>
      </c>
      <c r="BW6" s="46">
        <f>IF(tbl_property_DB[[#This Row],[Time To Refinance (m)]]=0,0,ABS(PMT((tbl_property_DB[[#This Row],[Ref. Interest Rate]]/12),(tbl_property_DB[[#This Row],[Ref. Loan Amortization (y)]]*12),tbl_property_DB[[#This Row],[Ref. Total Loan]])))</f>
        <v>2083.0087177781747</v>
      </c>
      <c r="BX6" s="48">
        <f>tbl_property_DB[[#This Row],[Cash Needed at Purchase]]-(ABS(tbl_property_DB[[#This Row],[Initial Cashflow (m)]]*tbl_property_DB[[#This Row],[Time To Refinance (m)]]))</f>
        <v>258028</v>
      </c>
      <c r="BY6" s="46">
        <f>(tbl_property_DB[[#This Row],[Gross Income (m)]])*(1+tbl_property_DB[[#This Row],[Annual Income Growth (%)]])^(1*(ROUND((tbl_property_DB[[#This Row],[Time To Refinance (m)]]/12),0)-1))</f>
        <v>8230.0873022400028</v>
      </c>
      <c r="BZ6" s="46">
        <f>SUM(tbl_property_DB[[#This Row],[Ref. Monthly P&amp;I]],(tbl_property_DB[[#This Row],[Total Fixed Expenses (m)]]+tbl_property_DB[[#This Row],[Total Variable Expenses (m)]])*(1+tbl_property_DB[[#This Row],[Annual Expense Growth (%)]])^(1*(ROUND((tbl_property_DB[[#This Row],[Time To Refinance (m)]]/12),0)-1)))</f>
        <v>6947.5558932469248</v>
      </c>
      <c r="CA6" s="46">
        <f>tbl_property_DB[[#This Row],[Ref. Gross Income (m)]]-tbl_property_DB[[#This Row],[Ref. Total Expenses (m)]]</f>
        <v>1282.531408993078</v>
      </c>
      <c r="CB6" s="46">
        <f>(tbl_property_DB[[#This Row],[Ref. Gross Income (m)]]-(tbl_property_DB[[#This Row],[Ref. Total Expenses (m)]]))*12</f>
        <v>15390.376907916936</v>
      </c>
      <c r="CC6" s="19">
        <f>IFERROR(tbl_property_DB[[#This Row],[Ref. Cashflow (m)]]/tbl_property_DB[[#This Row],[Total Cash In Deal]]*12,"-")</f>
        <v>5.9646150448466578E-2</v>
      </c>
      <c r="CD6" s="19">
        <f>IFERROR(tbl_property_DB[[#This Row],[Gross Income (m)]]/(tbl_property_DB[[#This Row],[Purchase Price]]+ tbl_property_DB[[#This Row],[Closing Cost]]+tbl_property_DB[[#This Row],[Est. Rehab Cost]]),"-")</f>
        <v>1.4423076923076924E-2</v>
      </c>
      <c r="CE6" s="46">
        <f>IF(tbl_property_DB[[#This Row],[Cash Purchase]]="Yes",tbl_property_DB[[#This Row],[After Repair Value]],tbl_property_DB[[#This Row],[After Repair Value]]-tbl_property_DB[[#This Row],[Purchase Price]]+tbl_property_DB[[#This Row],[Down Payment]])</f>
        <v>410000</v>
      </c>
      <c r="CF6" s="18">
        <f>IFERROR((tbl_property_DB[[#This Row],[Purchase Price]]+tbl_property_DB[[#This Row],[Closing Cost]]+tbl_property_DB[[#This Row],[Est. Rehab Cost]])/(tbl_property_DB[[#This Row],[Gross Income (m)]]*12),"-")</f>
        <v>5.7777777777777777</v>
      </c>
      <c r="CG6" s="18" t="str">
        <f>IFERROR(IF(tbl_property_DB[[#This Row],[Cash Purchase]]="Yes","No Acq. Loan",tbl_property_DB[[#This Row],[Initial NOI]]/(tbl_property_DB[[#This Row],[Acq. Monthly P&amp;I]]*12)),"-")</f>
        <v>No Acq. Loan</v>
      </c>
      <c r="CH6" s="18">
        <f>IF(tbl_property_DB[[#This Row],[Time To Refinance (m)]]=0,"No Ref. Loan",tbl_property_DB[[#This Row],[Ref. NOI (y)]]/(tbl_property_DB[[#This Row],[Ref. Monthly P&amp;I]]*12))</f>
        <v>0.61571101361547842</v>
      </c>
      <c r="CI6" s="18" t="str">
        <f>IF(OR(tbl_property_DB[[#This Row],[Ref. Debt Coverage Ratio]]&lt;1,tbl_property_DB[[#This Row],[Acq. Debt Coverage Ratio]]&lt;1,tbl_property_DB[[#This Row],[Ref. Cashflow (m)]]&lt;0,tbl_property_DB[[#This Row],[Initial Cashflow (m)]]&lt;0)=TRUE,"No Deal","Proceed")</f>
        <v>No Deal</v>
      </c>
      <c r="CJ6" s="18">
        <v>500</v>
      </c>
      <c r="CK6" s="18" t="str">
        <f>IF(tbl_property_DB[[#This Row],[Deal Check]]="Proceed",(SUM(tbl_property_DB[[#This Row],[Initial Cashflow (m)]],tbl_property_DB[[#This Row],[Ref. Cashflow (m)]])/2)/tbl_property_DB[[#This Row],[Min. desired cashflow (m)]],"-")</f>
        <v>-</v>
      </c>
      <c r="CL6" s="18" t="str">
        <f>IF(tbl_property_DB[[#This Row],[Deal Check]]="Proceed",(SUM(tbl_property_DB[[#This Row],[Acq. Debt Coverage Ratio]],tbl_property_DB[[#This Row],[Ref. Debt Coverage Ratio]])),"-")</f>
        <v>-</v>
      </c>
      <c r="CM6" s="18" t="str">
        <f>IFERROR(tbl_property_DB[[#This Row],[Debt Coverage Score]]+tbl_property_DB[[#This Row],[Cashflow Score]],"-")</f>
        <v>-</v>
      </c>
      <c r="CN6" s="18" t="str">
        <f>IFERROR(_xlfn.RANK.EQ(tbl_property_DB[[#This Row],[Property Score]],tbl_property_DB[Property Score]),"-")</f>
        <v>-</v>
      </c>
      <c r="CO6" s="18"/>
    </row>
    <row r="7" spans="1:93" x14ac:dyDescent="0.25">
      <c r="A7">
        <v>112637018</v>
      </c>
      <c r="B7" t="s">
        <v>187</v>
      </c>
      <c r="C7" t="s">
        <v>196</v>
      </c>
      <c r="D7" t="str">
        <f>IF(tbl_property_DB[[#This Row],[City]]="pretoria", "city-of-tshwane",IF(tbl_property_DB[[#This Row],[City]]="johannesburg", "city-of-johannesburg", IF(tbl_property_DB[[#This Row],[City]]="cape-town","city-of-cape-town","ERROR")))</f>
        <v>city-of-johannesburg</v>
      </c>
      <c r="E7" t="s">
        <v>197</v>
      </c>
      <c r="F7" s="44">
        <v>499000</v>
      </c>
      <c r="G7" t="s">
        <v>184</v>
      </c>
      <c r="H7" s="75">
        <v>2</v>
      </c>
      <c r="I7" s="75">
        <v>1</v>
      </c>
      <c r="J7" s="20">
        <v>3284</v>
      </c>
      <c r="K7" s="44">
        <v>499000</v>
      </c>
      <c r="L7" s="44">
        <v>550000</v>
      </c>
      <c r="M7" s="45">
        <v>50000</v>
      </c>
      <c r="N7" t="s">
        <v>50</v>
      </c>
      <c r="O7" s="76">
        <v>0.1</v>
      </c>
      <c r="P7" s="72">
        <f>IF(tbl_property_DB[[#This Row],[Cash Purchase]]="Yes",0,(tbl_property_DB[[#This Row],[Purchase Price]]*tbl_property_DB[[#This Row],[Down Payment (%)]]))</f>
        <v>49900</v>
      </c>
      <c r="Q7" s="2">
        <v>0.12</v>
      </c>
      <c r="R7" s="45">
        <f>tbl_property_DB[[#This Row],[Purchase Price]]*0.04</f>
        <v>19960</v>
      </c>
      <c r="S7" s="45">
        <f>IF(tbl_property_DB[[#This Row],[Cash Purchase]]="Yes",0,tbl_property_DB[[#This Row],[Purchase Price]]*0.045)</f>
        <v>22455</v>
      </c>
      <c r="T7" t="s">
        <v>203</v>
      </c>
      <c r="U7" t="s">
        <v>50</v>
      </c>
      <c r="V7" t="s">
        <v>50</v>
      </c>
      <c r="W7">
        <v>20</v>
      </c>
      <c r="X7">
        <v>4</v>
      </c>
      <c r="Y7">
        <f>tbl_property_DB[[#This Row],[Est. Rehab Time (m)]]+1</f>
        <v>5</v>
      </c>
      <c r="Z7" s="76">
        <v>0.7</v>
      </c>
      <c r="AA7" s="73">
        <f>IF(tbl_property_DB[[#This Row],[Time To Refinance (m)]]=0,0,tbl_property_DB[[#This Row],[After Repair Value]])*(1+tbl_property_DB[[#This Row],[Annual PV Growth (%)]])^(1*(ROUND((tbl_property_DB[[#This Row],[Time To Refinance (m)]]/12),0)-1))*tbl_property_DB[[#This Row],[Ref. Loan (%) of PV]]</f>
        <v>366666.66666666663</v>
      </c>
      <c r="AB7" s="2">
        <v>0.12</v>
      </c>
      <c r="AC7" s="77">
        <f>tbl_property_DB[[#This Row],[Ref. Loan Amount]]*0.045</f>
        <v>16499.999999999996</v>
      </c>
      <c r="AD7" s="16">
        <v>0</v>
      </c>
      <c r="AE7" t="s">
        <v>203</v>
      </c>
      <c r="AF7" t="s">
        <v>50</v>
      </c>
      <c r="AG7" t="s">
        <v>50</v>
      </c>
      <c r="AH7">
        <v>25</v>
      </c>
      <c r="AI7" s="47">
        <f>tbl_property_DB[[#This Row],[Purchase Price]]*0.015</f>
        <v>7485</v>
      </c>
      <c r="AJ7" s="47">
        <v>0</v>
      </c>
      <c r="AK7" s="45">
        <v>0</v>
      </c>
      <c r="AL7" s="45">
        <v>300</v>
      </c>
      <c r="AM7" s="45">
        <v>0</v>
      </c>
      <c r="AN7" s="45">
        <v>90</v>
      </c>
      <c r="AO7" s="45">
        <f>tbl_property_DB[[#This Row],[Total Gross Rent (m)]]*0.3</f>
        <v>2245.5</v>
      </c>
      <c r="AP7" s="45">
        <v>620</v>
      </c>
      <c r="AQ7" s="45">
        <v>314</v>
      </c>
      <c r="AR7" s="45">
        <v>0</v>
      </c>
      <c r="AS7"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3569.5</v>
      </c>
      <c r="AT7" s="64">
        <v>0.08</v>
      </c>
      <c r="AU7" s="73">
        <f>tbl_property_DB[[#This Row],[Total Gross Rent (m)]]*tbl_property_DB[[#This Row],[Vacancy Cost (%)]]</f>
        <v>598.80000000000007</v>
      </c>
      <c r="AV7" s="65">
        <v>0.05</v>
      </c>
      <c r="AW7" s="73">
        <f>tbl_property_DB[[#This Row],[Total Gross Rent (m)]]*tbl_property_DB[[#This Row],[Repairs &amp; Maintenance (%)]]</f>
        <v>374.25</v>
      </c>
      <c r="AX7" s="65">
        <v>0.05</v>
      </c>
      <c r="AY7" s="73">
        <f>tbl_property_DB[[#This Row],[Total Gross Rent (m)]]*tbl_property_DB[[#This Row],[Capital Expenditures (%)]]</f>
        <v>374.25</v>
      </c>
      <c r="AZ7" s="65">
        <v>7.0000000000000007E-2</v>
      </c>
      <c r="BA7" s="73">
        <f>tbl_property_DB[[#This Row],[Total Gross Rent (m)]]*tbl_property_DB[[#This Row],[Management Fees (%)]]</f>
        <v>523.95000000000005</v>
      </c>
      <c r="BB7" s="46">
        <f>SUM(tbl_property_DB[[#This Row],[Vacancy Cost]],tbl_property_DB[[#This Row],[Repairs &amp; Maintenance]],tbl_property_DB[[#This Row],[Capital Expenditures]],tbl_property_DB[[#This Row],[Management Fees]])</f>
        <v>1871.2500000000002</v>
      </c>
      <c r="BC7" s="2">
        <v>0.06</v>
      </c>
      <c r="BD7" s="2">
        <v>0.05</v>
      </c>
      <c r="BE7" s="2">
        <v>0.05</v>
      </c>
      <c r="BF7" s="2">
        <v>7.0000000000000007E-2</v>
      </c>
      <c r="BG7" s="46">
        <f>SUM(tbl_property_DB[[#This Row],[Purchase Price]],tbl_property_DB[[#This Row],[Closing Cost]],tbl_property_DB[[#This Row],[Est. Rehab Cost]])</f>
        <v>568960</v>
      </c>
      <c r="BH7"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471555</v>
      </c>
      <c r="BI7" s="46">
        <f>tbl_property_DB[[#This Row],[Acq. Loan Fees Charged]]</f>
        <v>22455</v>
      </c>
      <c r="BJ7" s="73">
        <f>IF(tbl_property_DB[[#This Row],[Total Acq. Loan]]=0,0,(ABS(PMT((tbl_property_DB[[#This Row],[Acq. Loan Interest Rate]]/12),(tbl_property_DB[[#This Row],[Acq. Loan Amortization (y)]]*12),tbl_property_DB[[#This Row],[Total Acq. Loan]]))))</f>
        <v>5192.2267171541744</v>
      </c>
      <c r="BK7" s="73">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119860</v>
      </c>
      <c r="BL7" s="46">
        <f>(SUM(tbl_property_DB[[#This Row],[Acq. Monthly P&amp;I]],tbl_property_DB[[#This Row],[Total Fixed Expenses (m)]]))*tbl_property_DB[[#This Row],[Est. Rehab Time (m)]]</f>
        <v>35046.906868616701</v>
      </c>
      <c r="BM7" s="46">
        <f>SUM(tbl_property_DB[[#This Row],[Cash Needed at Purchase]],tbl_property_DB[[#This Row],[Holding Costs]])</f>
        <v>154906.9068686167</v>
      </c>
      <c r="BN7" s="46">
        <f>tbl_property_DB[[#This Row],[Total Gross Rent (m)]]+tbl_property_DB[[#This Row],[Other Income (m)]]</f>
        <v>7485</v>
      </c>
      <c r="BO7" s="46">
        <f>SUM(tbl_property_DB[[#This Row],[Acq. Monthly P&amp;I]],tbl_property_DB[[#This Row],[Total Fixed Expenses (m)]],tbl_property_DB[[#This Row],[Total Variable Expenses (m)]])</f>
        <v>10632.976717154175</v>
      </c>
      <c r="BP7" s="73">
        <f>tbl_property_DB[[#This Row],[Gross Income (m)]]-tbl_property_DB[[#This Row],[Total Expenses (m)]]</f>
        <v>-3147.9767171541753</v>
      </c>
      <c r="BQ7" s="46">
        <f>(tbl_property_DB[[#This Row],[Gross Income (m)]]-(tbl_property_DB[[#This Row],[Total Expenses (m)]]-tbl_property_DB[[#This Row],[Acq. Monthly P&amp;I]]))*12</f>
        <v>24530.999999999989</v>
      </c>
      <c r="BR7" s="19">
        <f>tbl_property_DB[[#This Row],[Initial NOI]]/tbl_property_DB[[#This Row],[Purchase Price]]</f>
        <v>4.9160320641282541E-2</v>
      </c>
      <c r="BS7" s="19">
        <f>(tbl_property_DB[[#This Row],[Initial NOI]]/(tbl_property_DB[[#This Row],[Purchase Price]]+tbl_property_DB[[#This Row],[Closing Cost]]+tbl_property_DB[[#This Row],[Est. Rehab Cost]]+tbl_property_DB[[#This Row],[Holding Costs]]))</f>
        <v>4.0613773983442146E-2</v>
      </c>
      <c r="BT7" s="19">
        <f>(tbl_property_DB[[#This Row],[Initial Cashflow (m)]]/tbl_property_DB[[#This Row],[Cash Needed at Purchase]])*12</f>
        <v>-0.31516536464083184</v>
      </c>
      <c r="BU7" s="46">
        <f>IF(tbl_property_DB[[#This Row],[Ref. Fees &amp; Points]]="Wrap loan fees/points into the loan", SUM((tbl_property_DB[[#This Row],[Ref. Loan Amount]],tbl_property_DB[[#This Row],[Ref. Loan Fees Charged]],tbl_property_DB[[#This Row],[Ref. Loan Other Charges]])),tbl_property_DB[[#This Row],[Ref. Loan Amount]])</f>
        <v>383166.66666666663</v>
      </c>
      <c r="BV7" s="46">
        <f>tbl_property_DB[[#This Row],[Ref. Loan Fees Charged]]+tbl_property_DB[[#This Row],[Ref. Loan Other Charges]]</f>
        <v>16499.999999999996</v>
      </c>
      <c r="BW7" s="73">
        <f>IF(tbl_property_DB[[#This Row],[Time To Refinance (m)]]=0,0,ABS(PMT((tbl_property_DB[[#This Row],[Ref. Interest Rate]]/12),(tbl_property_DB[[#This Row],[Ref. Loan Amortization (y)]]*12),tbl_property_DB[[#This Row],[Ref. Total Loan]])))</f>
        <v>4035.6038381872436</v>
      </c>
      <c r="BX7" s="74">
        <f>tbl_property_DB[[#This Row],[Cash Needed at Purchase]]-(ABS(tbl_property_DB[[#This Row],[Initial Cashflow (m)]]*tbl_property_DB[[#This Row],[Time To Refinance (m)]]))</f>
        <v>104120.11641422912</v>
      </c>
      <c r="BY7" s="73">
        <f>(tbl_property_DB[[#This Row],[Gross Income (m)]])*(1+tbl_property_DB[[#This Row],[Annual Income Growth (%)]])^(1*(ROUND((tbl_property_DB[[#This Row],[Time To Refinance (m)]]/12),0)-1))</f>
        <v>7061.3207547169804</v>
      </c>
      <c r="BZ7" s="73">
        <f>SUM(tbl_property_DB[[#This Row],[Ref. Monthly P&amp;I]],(tbl_property_DB[[#This Row],[Total Fixed Expenses (m)]]+tbl_property_DB[[#This Row],[Total Variable Expenses (m)]])*(1+tbl_property_DB[[#This Row],[Annual Expense Growth (%)]])^(1*(ROUND((tbl_property_DB[[#This Row],[Time To Refinance (m)]]/12),0)-1)))</f>
        <v>9217.2705048539101</v>
      </c>
      <c r="CA7" s="18">
        <f>tbl_property_DB[[#This Row],[Ref. Gross Income (m)]]-tbl_property_DB[[#This Row],[Ref. Total Expenses (m)]]</f>
        <v>-2155.9497501369297</v>
      </c>
      <c r="CB7" s="73">
        <f>(tbl_property_DB[[#This Row],[Ref. Gross Income (m)]]-(tbl_property_DB[[#This Row],[Ref. Total Expenses (m)]]))*12</f>
        <v>-25871.397001643156</v>
      </c>
      <c r="CC7" s="19">
        <f>IFERROR(tbl_property_DB[[#This Row],[Ref. Cashflow (m)]]/tbl_property_DB[[#This Row],[Total Cash In Deal]]*12,"-")</f>
        <v>-0.24847645097434368</v>
      </c>
      <c r="CD7" s="19">
        <f>IFERROR(tbl_property_DB[[#This Row],[Gross Income (m)]]/(tbl_property_DB[[#This Row],[Purchase Price]]+ tbl_property_DB[[#This Row],[Closing Cost]]+tbl_property_DB[[#This Row],[Est. Rehab Cost]]),"-")</f>
        <v>1.3155582114735657E-2</v>
      </c>
      <c r="CE7" s="73">
        <f>IF(tbl_property_DB[[#This Row],[Cash Purchase]]="Yes",tbl_property_DB[[#This Row],[After Repair Value]],tbl_property_DB[[#This Row],[After Repair Value]]-tbl_property_DB[[#This Row],[Purchase Price]]+tbl_property_DB[[#This Row],[Down Payment]])</f>
        <v>100900</v>
      </c>
      <c r="CF7" s="18">
        <f>IFERROR((tbl_property_DB[[#This Row],[Purchase Price]]+tbl_property_DB[[#This Row],[Closing Cost]]+tbl_property_DB[[#This Row],[Est. Rehab Cost]])/(tbl_property_DB[[#This Row],[Gross Income (m)]]*12),"-")</f>
        <v>6.334446671120018</v>
      </c>
      <c r="CG7" s="18">
        <f>IFERROR(IF(tbl_property_DB[[#This Row],[Cash Purchase]]="Yes","No Acq. Loan",tbl_property_DB[[#This Row],[Initial NOI]]/(tbl_property_DB[[#This Row],[Acq. Monthly P&amp;I]]*12)),"-")</f>
        <v>0.39371354745473042</v>
      </c>
      <c r="CH7" s="18">
        <f>IF(tbl_property_DB[[#This Row],[Time To Refinance (m)]]=0,"No Ref. Loan",tbl_property_DB[[#This Row],[Ref. NOI (y)]]/(tbl_property_DB[[#This Row],[Ref. Monthly P&amp;I]]*12))</f>
        <v>-0.53423225781878592</v>
      </c>
      <c r="CI7" s="18" t="str">
        <f>IF(OR(tbl_property_DB[[#This Row],[Ref. Debt Coverage Ratio]]&lt;1,tbl_property_DB[[#This Row],[Acq. Debt Coverage Ratio]]&lt;1,tbl_property_DB[[#This Row],[Ref. Cashflow (m)]]&lt;0,tbl_property_DB[[#This Row],[Initial Cashflow (m)]]&lt;0)=TRUE,"No Deal","Proceed")</f>
        <v>No Deal</v>
      </c>
      <c r="CJ7" s="18">
        <v>500</v>
      </c>
      <c r="CK7" s="18" t="str">
        <f>IF(tbl_property_DB[[#This Row],[Deal Check]]="Proceed",(SUM(tbl_property_DB[[#This Row],[Initial Cashflow (m)]],tbl_property_DB[[#This Row],[Ref. Cashflow (m)]])/2)/tbl_property_DB[[#This Row],[Min. desired cashflow (m)]],"-")</f>
        <v>-</v>
      </c>
      <c r="CL7" s="18" t="str">
        <f>IF(tbl_property_DB[[#This Row],[Deal Check]]="Proceed",(SUM(tbl_property_DB[[#This Row],[Acq. Debt Coverage Ratio]],tbl_property_DB[[#This Row],[Ref. Debt Coverage Ratio]])),"-")</f>
        <v>-</v>
      </c>
      <c r="CM7" s="18" t="str">
        <f>IFERROR(tbl_property_DB[[#This Row],[Debt Coverage Score]]+tbl_property_DB[[#This Row],[Cashflow Score]],"-")</f>
        <v>-</v>
      </c>
      <c r="CN7" s="18" t="str">
        <f>IFERROR(_xlfn.RANK.EQ(tbl_property_DB[[#This Row],[Property Score]],tbl_property_DB[Property Score]),"-")</f>
        <v>-</v>
      </c>
      <c r="CO7" s="18"/>
    </row>
    <row r="8" spans="1:93" x14ac:dyDescent="0.25">
      <c r="A8">
        <v>112636963</v>
      </c>
      <c r="B8" t="s">
        <v>188</v>
      </c>
      <c r="C8" t="s">
        <v>198</v>
      </c>
      <c r="D8" t="str">
        <f>IF(tbl_property_DB[[#This Row],[City]]="pretoria", "city-of-tshwane",IF(tbl_property_DB[[#This Row],[City]]="johannesburg", "city-of-johannesburg", IF(tbl_property_DB[[#This Row],[City]]="cape-town","city-of-cape-town","ERROR")))</f>
        <v>city-of-tshwane</v>
      </c>
      <c r="E8" t="s">
        <v>197</v>
      </c>
      <c r="F8" s="44">
        <v>890000</v>
      </c>
      <c r="G8" t="s">
        <v>184</v>
      </c>
      <c r="H8" s="75">
        <v>3</v>
      </c>
      <c r="I8" s="75">
        <v>2</v>
      </c>
      <c r="J8" s="20">
        <v>3800</v>
      </c>
      <c r="K8" s="44">
        <v>890000</v>
      </c>
      <c r="L8" s="44">
        <v>940000</v>
      </c>
      <c r="M8" s="45">
        <v>45000</v>
      </c>
      <c r="N8" t="s">
        <v>50</v>
      </c>
      <c r="O8" s="76">
        <v>0.2</v>
      </c>
      <c r="P8" s="72">
        <f>IF(tbl_property_DB[[#This Row],[Cash Purchase]]="Yes",0,(tbl_property_DB[[#This Row],[Purchase Price]]*tbl_property_DB[[#This Row],[Down Payment (%)]]))</f>
        <v>178000</v>
      </c>
      <c r="Q8" s="2">
        <v>0.12</v>
      </c>
      <c r="R8" s="45">
        <f>tbl_property_DB[[#This Row],[Purchase Price]]*0.04</f>
        <v>35600</v>
      </c>
      <c r="S8" s="45">
        <f>IF(tbl_property_DB[[#This Row],[Cash Purchase]]="Yes",0,tbl_property_DB[[#This Row],[Purchase Price]]*0.045)</f>
        <v>40050</v>
      </c>
      <c r="T8" t="s">
        <v>203</v>
      </c>
      <c r="U8" t="s">
        <v>50</v>
      </c>
      <c r="V8" t="s">
        <v>50</v>
      </c>
      <c r="W8">
        <v>15</v>
      </c>
      <c r="X8">
        <v>6</v>
      </c>
      <c r="Y8">
        <f>tbl_property_DB[[#This Row],[Est. Rehab Time (m)]]+1</f>
        <v>7</v>
      </c>
      <c r="Z8" s="76">
        <v>0.7</v>
      </c>
      <c r="AA8" s="73">
        <f>IF(tbl_property_DB[[#This Row],[Time To Refinance (m)]]=0,0,tbl_property_DB[[#This Row],[After Repair Value]])*(1+tbl_property_DB[[#This Row],[Annual PV Growth (%)]])^(1*(ROUND((tbl_property_DB[[#This Row],[Time To Refinance (m)]]/12),0)-1))*tbl_property_DB[[#This Row],[Ref. Loan (%) of PV]]</f>
        <v>658000</v>
      </c>
      <c r="AB8" s="2">
        <v>0.12</v>
      </c>
      <c r="AC8" s="77">
        <f>tbl_property_DB[[#This Row],[Ref. Loan Amount]]*0.045</f>
        <v>29610</v>
      </c>
      <c r="AD8" s="16">
        <v>0</v>
      </c>
      <c r="AE8" t="s">
        <v>203</v>
      </c>
      <c r="AF8" t="s">
        <v>50</v>
      </c>
      <c r="AG8" t="s">
        <v>50</v>
      </c>
      <c r="AH8">
        <v>20</v>
      </c>
      <c r="AI8" s="47">
        <f>tbl_property_DB[[#This Row],[Purchase Price]]*0.015</f>
        <v>13350</v>
      </c>
      <c r="AJ8" s="47">
        <v>0</v>
      </c>
      <c r="AK8" s="45">
        <v>0</v>
      </c>
      <c r="AL8" s="45">
        <v>250</v>
      </c>
      <c r="AM8" s="45">
        <v>0</v>
      </c>
      <c r="AN8" s="45">
        <v>120</v>
      </c>
      <c r="AO8" s="45">
        <f>tbl_property_DB[[#This Row],[Total Gross Rent (m)]]*0.3</f>
        <v>4005</v>
      </c>
      <c r="AP8" s="45">
        <v>541</v>
      </c>
      <c r="AQ8" s="45">
        <v>299</v>
      </c>
      <c r="AR8" s="45">
        <v>0</v>
      </c>
      <c r="AS8"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5215</v>
      </c>
      <c r="AT8" s="64">
        <v>0.08</v>
      </c>
      <c r="AU8" s="73">
        <f>tbl_property_DB[[#This Row],[Total Gross Rent (m)]]*tbl_property_DB[[#This Row],[Vacancy Cost (%)]]</f>
        <v>1068</v>
      </c>
      <c r="AV8" s="65">
        <v>0.05</v>
      </c>
      <c r="AW8" s="73">
        <f>tbl_property_DB[[#This Row],[Total Gross Rent (m)]]*tbl_property_DB[[#This Row],[Repairs &amp; Maintenance (%)]]</f>
        <v>667.5</v>
      </c>
      <c r="AX8" s="65">
        <v>0.05</v>
      </c>
      <c r="AY8" s="73">
        <f>tbl_property_DB[[#This Row],[Total Gross Rent (m)]]*tbl_property_DB[[#This Row],[Capital Expenditures (%)]]</f>
        <v>667.5</v>
      </c>
      <c r="AZ8" s="65">
        <v>7.0000000000000007E-2</v>
      </c>
      <c r="BA8" s="73">
        <f>tbl_property_DB[[#This Row],[Total Gross Rent (m)]]*tbl_property_DB[[#This Row],[Management Fees (%)]]</f>
        <v>934.50000000000011</v>
      </c>
      <c r="BB8" s="46">
        <f>SUM(tbl_property_DB[[#This Row],[Vacancy Cost]],tbl_property_DB[[#This Row],[Repairs &amp; Maintenance]],tbl_property_DB[[#This Row],[Capital Expenditures]],tbl_property_DB[[#This Row],[Management Fees]])</f>
        <v>3337.5</v>
      </c>
      <c r="BC8" s="2">
        <v>0.06</v>
      </c>
      <c r="BD8" s="2">
        <v>0.05</v>
      </c>
      <c r="BE8" s="2">
        <v>0.05</v>
      </c>
      <c r="BF8" s="2">
        <v>7.0000000000000007E-2</v>
      </c>
      <c r="BG8" s="46">
        <f>SUM(tbl_property_DB[[#This Row],[Purchase Price]],tbl_property_DB[[#This Row],[Closing Cost]],tbl_property_DB[[#This Row],[Est. Rehab Cost]])</f>
        <v>970600</v>
      </c>
      <c r="BH8"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752050</v>
      </c>
      <c r="BI8" s="46">
        <f>tbl_property_DB[[#This Row],[Acq. Loan Fees Charged]]</f>
        <v>40050</v>
      </c>
      <c r="BJ8" s="73">
        <f>IF(tbl_property_DB[[#This Row],[Total Acq. Loan]]=0,0,(ABS(PMT((tbl_property_DB[[#This Row],[Acq. Loan Interest Rate]]/12),(tbl_property_DB[[#This Row],[Acq. Loan Amortization (y)]]*12),tbl_property_DB[[#This Row],[Total Acq. Loan]]))))</f>
        <v>9025.8639109592277</v>
      </c>
      <c r="BK8" s="73">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258600</v>
      </c>
      <c r="BL8" s="46">
        <f>(SUM(tbl_property_DB[[#This Row],[Acq. Monthly P&amp;I]],tbl_property_DB[[#This Row],[Total Fixed Expenses (m)]]))*tbl_property_DB[[#This Row],[Est. Rehab Time (m)]]</f>
        <v>85445.18346575537</v>
      </c>
      <c r="BM8" s="46">
        <f>SUM(tbl_property_DB[[#This Row],[Cash Needed at Purchase]],tbl_property_DB[[#This Row],[Holding Costs]])</f>
        <v>344045.18346575537</v>
      </c>
      <c r="BN8" s="46">
        <f>tbl_property_DB[[#This Row],[Total Gross Rent (m)]]+tbl_property_DB[[#This Row],[Other Income (m)]]</f>
        <v>13350</v>
      </c>
      <c r="BO8" s="46">
        <f>SUM(tbl_property_DB[[#This Row],[Acq. Monthly P&amp;I]],tbl_property_DB[[#This Row],[Total Fixed Expenses (m)]],tbl_property_DB[[#This Row],[Total Variable Expenses (m)]])</f>
        <v>17578.363910959226</v>
      </c>
      <c r="BP8" s="73">
        <f>tbl_property_DB[[#This Row],[Gross Income (m)]]-tbl_property_DB[[#This Row],[Total Expenses (m)]]</f>
        <v>-4228.3639109592259</v>
      </c>
      <c r="BQ8" s="46">
        <f>(tbl_property_DB[[#This Row],[Gross Income (m)]]-(tbl_property_DB[[#This Row],[Total Expenses (m)]]-tbl_property_DB[[#This Row],[Acq. Monthly P&amp;I]]))*12</f>
        <v>57570.000000000022</v>
      </c>
      <c r="BR8" s="19">
        <f>tbl_property_DB[[#This Row],[Initial NOI]]/tbl_property_DB[[#This Row],[Purchase Price]]</f>
        <v>6.4685393258426996E-2</v>
      </c>
      <c r="BS8" s="19">
        <f>(tbl_property_DB[[#This Row],[Initial NOI]]/(tbl_property_DB[[#This Row],[Purchase Price]]+tbl_property_DB[[#This Row],[Closing Cost]]+tbl_property_DB[[#This Row],[Est. Rehab Cost]]+tbl_property_DB[[#This Row],[Holding Costs]]))</f>
        <v>5.4514712913196921E-2</v>
      </c>
      <c r="BT8" s="19">
        <f>(tbl_property_DB[[#This Row],[Initial Cashflow (m)]]/tbl_property_DB[[#This Row],[Cash Needed at Purchase]])*12</f>
        <v>-0.19621178241110099</v>
      </c>
      <c r="BU8" s="46">
        <f>IF(tbl_property_DB[[#This Row],[Ref. Fees &amp; Points]]="Wrap loan fees/points into the loan", SUM((tbl_property_DB[[#This Row],[Ref. Loan Amount]],tbl_property_DB[[#This Row],[Ref. Loan Fees Charged]],tbl_property_DB[[#This Row],[Ref. Loan Other Charges]])),tbl_property_DB[[#This Row],[Ref. Loan Amount]])</f>
        <v>687610</v>
      </c>
      <c r="BV8" s="46">
        <f>tbl_property_DB[[#This Row],[Ref. Loan Fees Charged]]+tbl_property_DB[[#This Row],[Ref. Loan Other Charges]]</f>
        <v>29610</v>
      </c>
      <c r="BW8" s="73">
        <f>IF(tbl_property_DB[[#This Row],[Time To Refinance (m)]]=0,0,ABS(PMT((tbl_property_DB[[#This Row],[Ref. Interest Rate]]/12),(tbl_property_DB[[#This Row],[Ref. Loan Amortization (y)]]*12),tbl_property_DB[[#This Row],[Ref. Total Loan]])))</f>
        <v>7571.1783630379941</v>
      </c>
      <c r="BX8" s="74">
        <f>tbl_property_DB[[#This Row],[Cash Needed at Purchase]]-(ABS(tbl_property_DB[[#This Row],[Initial Cashflow (m)]]*tbl_property_DB[[#This Row],[Time To Refinance (m)]]))</f>
        <v>229001.45262328541</v>
      </c>
      <c r="BY8" s="73">
        <f>(tbl_property_DB[[#This Row],[Gross Income (m)]])*(1+tbl_property_DB[[#This Row],[Annual Income Growth (%)]])^(1*(ROUND((tbl_property_DB[[#This Row],[Time To Refinance (m)]]/12),0)-1))</f>
        <v>13350</v>
      </c>
      <c r="BZ8" s="73">
        <f>SUM(tbl_property_DB[[#This Row],[Ref. Monthly P&amp;I]],(tbl_property_DB[[#This Row],[Total Fixed Expenses (m)]]+tbl_property_DB[[#This Row],[Total Variable Expenses (m)]])*(1+tbl_property_DB[[#This Row],[Annual Expense Growth (%)]])^(1*(ROUND((tbl_property_DB[[#This Row],[Time To Refinance (m)]]/12),0)-1)))</f>
        <v>16123.678363037994</v>
      </c>
      <c r="CA8" s="18">
        <f>tbl_property_DB[[#This Row],[Ref. Gross Income (m)]]-tbl_property_DB[[#This Row],[Ref. Total Expenses (m)]]</f>
        <v>-2773.6783630379941</v>
      </c>
      <c r="CB8" s="73">
        <f>(tbl_property_DB[[#This Row],[Ref. Gross Income (m)]]-(tbl_property_DB[[#This Row],[Ref. Total Expenses (m)]]))*12</f>
        <v>-33284.14035645593</v>
      </c>
      <c r="CC8" s="19">
        <f>IFERROR(tbl_property_DB[[#This Row],[Ref. Cashflow (m)]]/tbl_property_DB[[#This Row],[Total Cash In Deal]]*12,"-")</f>
        <v>-0.14534466910657282</v>
      </c>
      <c r="CD8" s="19">
        <f>IFERROR(tbl_property_DB[[#This Row],[Gross Income (m)]]/(tbl_property_DB[[#This Row],[Purchase Price]]+ tbl_property_DB[[#This Row],[Closing Cost]]+tbl_property_DB[[#This Row],[Est. Rehab Cost]]),"-")</f>
        <v>1.3754378734803214E-2</v>
      </c>
      <c r="CE8" s="73">
        <f>IF(tbl_property_DB[[#This Row],[Cash Purchase]]="Yes",tbl_property_DB[[#This Row],[After Repair Value]],tbl_property_DB[[#This Row],[After Repair Value]]-tbl_property_DB[[#This Row],[Purchase Price]]+tbl_property_DB[[#This Row],[Down Payment]])</f>
        <v>228000</v>
      </c>
      <c r="CF8" s="18">
        <f>IFERROR((tbl_property_DB[[#This Row],[Purchase Price]]+tbl_property_DB[[#This Row],[Closing Cost]]+tbl_property_DB[[#This Row],[Est. Rehab Cost]])/(tbl_property_DB[[#This Row],[Gross Income (m)]]*12),"-")</f>
        <v>6.0586766541822721</v>
      </c>
      <c r="CG8" s="18">
        <f>IFERROR(IF(tbl_property_DB[[#This Row],[Cash Purchase]]="Yes","No Acq. Loan",tbl_property_DB[[#This Row],[Initial NOI]]/(tbl_property_DB[[#This Row],[Acq. Monthly P&amp;I]]*12)),"-")</f>
        <v>0.53152806726621082</v>
      </c>
      <c r="CH8" s="18">
        <f>IF(tbl_property_DB[[#This Row],[Time To Refinance (m)]]=0,"No Ref. Loan",tbl_property_DB[[#This Row],[Ref. NOI (y)]]/(tbl_property_DB[[#This Row],[Ref. Monthly P&amp;I]]*12))</f>
        <v>-0.36634698458286408</v>
      </c>
      <c r="CI8" s="18" t="str">
        <f>IF(OR(tbl_property_DB[[#This Row],[Ref. Debt Coverage Ratio]]&lt;1,tbl_property_DB[[#This Row],[Acq. Debt Coverage Ratio]]&lt;1,tbl_property_DB[[#This Row],[Ref. Cashflow (m)]]&lt;0,tbl_property_DB[[#This Row],[Initial Cashflow (m)]]&lt;0)=TRUE,"No Deal","Proceed")</f>
        <v>No Deal</v>
      </c>
      <c r="CJ8" s="18">
        <v>500</v>
      </c>
      <c r="CK8" s="18" t="str">
        <f>IF(tbl_property_DB[[#This Row],[Deal Check]]="Proceed",(SUM(tbl_property_DB[[#This Row],[Initial Cashflow (m)]],tbl_property_DB[[#This Row],[Ref. Cashflow (m)]])/2)/tbl_property_DB[[#This Row],[Min. desired cashflow (m)]],"-")</f>
        <v>-</v>
      </c>
      <c r="CL8" s="18" t="str">
        <f>IF(tbl_property_DB[[#This Row],[Deal Check]]="Proceed",(SUM(tbl_property_DB[[#This Row],[Acq. Debt Coverage Ratio]],tbl_property_DB[[#This Row],[Ref. Debt Coverage Ratio]])),"-")</f>
        <v>-</v>
      </c>
      <c r="CM8" s="18" t="str">
        <f>IFERROR(tbl_property_DB[[#This Row],[Debt Coverage Score]]+tbl_property_DB[[#This Row],[Cashflow Score]],"-")</f>
        <v>-</v>
      </c>
      <c r="CN8" s="18" t="str">
        <f>IFERROR(_xlfn.RANK.EQ(tbl_property_DB[[#This Row],[Property Score]],tbl_property_DB[Property Score]),"-")</f>
        <v>-</v>
      </c>
      <c r="CO8" s="18"/>
    </row>
    <row r="9" spans="1:93" x14ac:dyDescent="0.25">
      <c r="A9">
        <v>112637556</v>
      </c>
      <c r="B9" t="s">
        <v>189</v>
      </c>
      <c r="C9" t="s">
        <v>198</v>
      </c>
      <c r="D9" t="str">
        <f>IF(tbl_property_DB[[#This Row],[City]]="pretoria", "city-of-tshwane",IF(tbl_property_DB[[#This Row],[City]]="johannesburg", "city-of-johannesburg", IF(tbl_property_DB[[#This Row],[City]]="cape-town","city-of-cape-town","ERROR")))</f>
        <v>city-of-tshwane</v>
      </c>
      <c r="E9" t="s">
        <v>197</v>
      </c>
      <c r="F9" s="44">
        <v>990000</v>
      </c>
      <c r="G9" t="s">
        <v>199</v>
      </c>
      <c r="H9" s="75">
        <v>3</v>
      </c>
      <c r="I9" s="75">
        <v>2</v>
      </c>
      <c r="J9" s="20">
        <v>3800</v>
      </c>
      <c r="K9" s="44">
        <v>990000</v>
      </c>
      <c r="L9" s="44">
        <v>1200000</v>
      </c>
      <c r="M9" s="45">
        <v>39000</v>
      </c>
      <c r="N9" t="s">
        <v>50</v>
      </c>
      <c r="O9" s="76">
        <v>0.15</v>
      </c>
      <c r="P9" s="72">
        <f>IF(tbl_property_DB[[#This Row],[Cash Purchase]]="Yes",0,(tbl_property_DB[[#This Row],[Purchase Price]]*tbl_property_DB[[#This Row],[Down Payment (%)]]))</f>
        <v>148500</v>
      </c>
      <c r="Q9" s="2">
        <v>0.12</v>
      </c>
      <c r="R9" s="45">
        <f>tbl_property_DB[[#This Row],[Purchase Price]]*0.04</f>
        <v>39600</v>
      </c>
      <c r="S9" s="45">
        <f>IF(tbl_property_DB[[#This Row],[Cash Purchase]]="Yes",0,tbl_property_DB[[#This Row],[Purchase Price]]*0.045)</f>
        <v>44550</v>
      </c>
      <c r="T9" t="s">
        <v>203</v>
      </c>
      <c r="U9" t="s">
        <v>50</v>
      </c>
      <c r="V9" t="s">
        <v>50</v>
      </c>
      <c r="W9">
        <v>25</v>
      </c>
      <c r="X9">
        <v>8</v>
      </c>
      <c r="Y9">
        <f>tbl_property_DB[[#This Row],[Est. Rehab Time (m)]]+1</f>
        <v>9</v>
      </c>
      <c r="Z9" s="76">
        <v>0.7</v>
      </c>
      <c r="AA9" s="73">
        <f>IF(tbl_property_DB[[#This Row],[Time To Refinance (m)]]=0,0,tbl_property_DB[[#This Row],[After Repair Value]])*(1+tbl_property_DB[[#This Row],[Annual PV Growth (%)]])^(1*(ROUND((tbl_property_DB[[#This Row],[Time To Refinance (m)]]/12),0)-1))*tbl_property_DB[[#This Row],[Ref. Loan (%) of PV]]</f>
        <v>840000</v>
      </c>
      <c r="AB9" s="2">
        <v>0.12</v>
      </c>
      <c r="AC9" s="77">
        <f>tbl_property_DB[[#This Row],[Ref. Loan Amount]]*0.045</f>
        <v>37800</v>
      </c>
      <c r="AD9" s="16">
        <v>0</v>
      </c>
      <c r="AE9" t="s">
        <v>203</v>
      </c>
      <c r="AF9" t="s">
        <v>50</v>
      </c>
      <c r="AG9" t="s">
        <v>50</v>
      </c>
      <c r="AH9">
        <v>25</v>
      </c>
      <c r="AI9" s="47">
        <f>tbl_property_DB[[#This Row],[Purchase Price]]*0.015</f>
        <v>14850</v>
      </c>
      <c r="AJ9" s="47">
        <v>0</v>
      </c>
      <c r="AK9" s="45">
        <v>0</v>
      </c>
      <c r="AL9" s="45">
        <v>0</v>
      </c>
      <c r="AM9" s="45">
        <v>0</v>
      </c>
      <c r="AN9" s="45">
        <v>0</v>
      </c>
      <c r="AO9" s="45">
        <f>tbl_property_DB[[#This Row],[Total Gross Rent (m)]]*0.3</f>
        <v>4455</v>
      </c>
      <c r="AP9" s="45">
        <v>0</v>
      </c>
      <c r="AQ9" s="45">
        <v>268</v>
      </c>
      <c r="AR9" s="45">
        <v>0</v>
      </c>
      <c r="AS9"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4723</v>
      </c>
      <c r="AT9" s="64">
        <v>0.08</v>
      </c>
      <c r="AU9" s="73">
        <f>tbl_property_DB[[#This Row],[Total Gross Rent (m)]]*tbl_property_DB[[#This Row],[Vacancy Cost (%)]]</f>
        <v>1188</v>
      </c>
      <c r="AV9" s="65">
        <v>0.05</v>
      </c>
      <c r="AW9" s="73">
        <f>tbl_property_DB[[#This Row],[Total Gross Rent (m)]]*tbl_property_DB[[#This Row],[Repairs &amp; Maintenance (%)]]</f>
        <v>742.5</v>
      </c>
      <c r="AX9" s="65">
        <v>0.05</v>
      </c>
      <c r="AY9" s="73">
        <f>tbl_property_DB[[#This Row],[Total Gross Rent (m)]]*tbl_property_DB[[#This Row],[Capital Expenditures (%)]]</f>
        <v>742.5</v>
      </c>
      <c r="AZ9" s="65">
        <v>7.0000000000000007E-2</v>
      </c>
      <c r="BA9" s="73">
        <f>tbl_property_DB[[#This Row],[Total Gross Rent (m)]]*tbl_property_DB[[#This Row],[Management Fees (%)]]</f>
        <v>1039.5</v>
      </c>
      <c r="BB9" s="46">
        <f>SUM(tbl_property_DB[[#This Row],[Vacancy Cost]],tbl_property_DB[[#This Row],[Repairs &amp; Maintenance]],tbl_property_DB[[#This Row],[Capital Expenditures]],tbl_property_DB[[#This Row],[Management Fees]])</f>
        <v>3712.5</v>
      </c>
      <c r="BC9" s="2">
        <v>0.06</v>
      </c>
      <c r="BD9" s="2">
        <v>0.05</v>
      </c>
      <c r="BE9" s="2">
        <v>0.05</v>
      </c>
      <c r="BF9" s="2">
        <v>7.0000000000000007E-2</v>
      </c>
      <c r="BG9" s="46">
        <f>SUM(tbl_property_DB[[#This Row],[Purchase Price]],tbl_property_DB[[#This Row],[Closing Cost]],tbl_property_DB[[#This Row],[Est. Rehab Cost]])</f>
        <v>1068600</v>
      </c>
      <c r="BH9"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886050</v>
      </c>
      <c r="BI9" s="46">
        <f>tbl_property_DB[[#This Row],[Acq. Loan Fees Charged]]</f>
        <v>44550</v>
      </c>
      <c r="BJ9" s="73">
        <f>IF(tbl_property_DB[[#This Row],[Total Acq. Loan]]=0,0,(ABS(PMT((tbl_property_DB[[#This Row],[Acq. Loan Interest Rate]]/12),(tbl_property_DB[[#This Row],[Acq. Loan Amortization (y)]]*12),tbl_property_DB[[#This Row],[Total Acq. Loan]]))))</f>
        <v>9332.0925119420826</v>
      </c>
      <c r="BK9" s="73">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227100</v>
      </c>
      <c r="BL9" s="46">
        <f>(SUM(tbl_property_DB[[#This Row],[Acq. Monthly P&amp;I]],tbl_property_DB[[#This Row],[Total Fixed Expenses (m)]]))*tbl_property_DB[[#This Row],[Est. Rehab Time (m)]]</f>
        <v>112440.74009553666</v>
      </c>
      <c r="BM9" s="46">
        <f>SUM(tbl_property_DB[[#This Row],[Cash Needed at Purchase]],tbl_property_DB[[#This Row],[Holding Costs]])</f>
        <v>339540.74009553669</v>
      </c>
      <c r="BN9" s="46">
        <f>tbl_property_DB[[#This Row],[Total Gross Rent (m)]]+tbl_property_DB[[#This Row],[Other Income (m)]]</f>
        <v>14850</v>
      </c>
      <c r="BO9" s="46">
        <f>SUM(tbl_property_DB[[#This Row],[Acq. Monthly P&amp;I]],tbl_property_DB[[#This Row],[Total Fixed Expenses (m)]],tbl_property_DB[[#This Row],[Total Variable Expenses (m)]])</f>
        <v>17767.592511942083</v>
      </c>
      <c r="BP9" s="73">
        <f>tbl_property_DB[[#This Row],[Gross Income (m)]]-tbl_property_DB[[#This Row],[Total Expenses (m)]]</f>
        <v>-2917.5925119420826</v>
      </c>
      <c r="BQ9" s="46">
        <f>(tbl_property_DB[[#This Row],[Gross Income (m)]]-(tbl_property_DB[[#This Row],[Total Expenses (m)]]-tbl_property_DB[[#This Row],[Acq. Monthly P&amp;I]]))*12</f>
        <v>76974</v>
      </c>
      <c r="BR9" s="19">
        <f>tbl_property_DB[[#This Row],[Initial NOI]]/tbl_property_DB[[#This Row],[Purchase Price]]</f>
        <v>7.7751515151515155E-2</v>
      </c>
      <c r="BS9" s="19">
        <f>(tbl_property_DB[[#This Row],[Initial NOI]]/(tbl_property_DB[[#This Row],[Purchase Price]]+tbl_property_DB[[#This Row],[Closing Cost]]+tbl_property_DB[[#This Row],[Est. Rehab Cost]]+tbl_property_DB[[#This Row],[Holding Costs]]))</f>
        <v>6.5174720385829721E-2</v>
      </c>
      <c r="BT9" s="19">
        <f>(tbl_property_DB[[#This Row],[Initial Cashflow (m)]]/tbl_property_DB[[#This Row],[Cash Needed at Purchase]])*12</f>
        <v>-0.15416605082917215</v>
      </c>
      <c r="BU9" s="46">
        <f>IF(tbl_property_DB[[#This Row],[Ref. Fees &amp; Points]]="Wrap loan fees/points into the loan", SUM((tbl_property_DB[[#This Row],[Ref. Loan Amount]],tbl_property_DB[[#This Row],[Ref. Loan Fees Charged]],tbl_property_DB[[#This Row],[Ref. Loan Other Charges]])),tbl_property_DB[[#This Row],[Ref. Loan Amount]])</f>
        <v>877800</v>
      </c>
      <c r="BV9" s="46">
        <f>tbl_property_DB[[#This Row],[Ref. Loan Fees Charged]]+tbl_property_DB[[#This Row],[Ref. Loan Other Charges]]</f>
        <v>37800</v>
      </c>
      <c r="BW9" s="73">
        <f>IF(tbl_property_DB[[#This Row],[Time To Refinance (m)]]=0,0,ABS(PMT((tbl_property_DB[[#This Row],[Ref. Interest Rate]]/12),(tbl_property_DB[[#This Row],[Ref. Loan Amortization (y)]]*12),tbl_property_DB[[#This Row],[Ref. Total Loan]])))</f>
        <v>9245.2015202107777</v>
      </c>
      <c r="BX9" s="74">
        <f>tbl_property_DB[[#This Row],[Cash Needed at Purchase]]-(ABS(tbl_property_DB[[#This Row],[Initial Cashflow (m)]]*tbl_property_DB[[#This Row],[Time To Refinance (m)]]))</f>
        <v>200841.66739252125</v>
      </c>
      <c r="BY9" s="73">
        <f>(tbl_property_DB[[#This Row],[Gross Income (m)]])*(1+tbl_property_DB[[#This Row],[Annual Income Growth (%)]])^(1*(ROUND((tbl_property_DB[[#This Row],[Time To Refinance (m)]]/12),0)-1))</f>
        <v>14850</v>
      </c>
      <c r="BZ9" s="73">
        <f>SUM(tbl_property_DB[[#This Row],[Ref. Monthly P&amp;I]],(tbl_property_DB[[#This Row],[Total Fixed Expenses (m)]]+tbl_property_DB[[#This Row],[Total Variable Expenses (m)]])*(1+tbl_property_DB[[#This Row],[Annual Expense Growth (%)]])^(1*(ROUND((tbl_property_DB[[#This Row],[Time To Refinance (m)]]/12),0)-1)))</f>
        <v>17680.70152021078</v>
      </c>
      <c r="CA9" s="18">
        <f>tbl_property_DB[[#This Row],[Ref. Gross Income (m)]]-tbl_property_DB[[#This Row],[Ref. Total Expenses (m)]]</f>
        <v>-2830.7015202107796</v>
      </c>
      <c r="CB9" s="73">
        <f>(tbl_property_DB[[#This Row],[Ref. Gross Income (m)]]-(tbl_property_DB[[#This Row],[Ref. Total Expenses (m)]]))*12</f>
        <v>-33968.418242529355</v>
      </c>
      <c r="CC9" s="19">
        <f>IFERROR(tbl_property_DB[[#This Row],[Ref. Cashflow (m)]]/tbl_property_DB[[#This Row],[Total Cash In Deal]]*12,"-")</f>
        <v>-0.16913033377751294</v>
      </c>
      <c r="CD9" s="19">
        <f>IFERROR(tbl_property_DB[[#This Row],[Gross Income (m)]]/(tbl_property_DB[[#This Row],[Purchase Price]]+ tbl_property_DB[[#This Row],[Closing Cost]]+tbl_property_DB[[#This Row],[Est. Rehab Cost]]),"-")</f>
        <v>1.3896687254351487E-2</v>
      </c>
      <c r="CE9" s="73">
        <f>IF(tbl_property_DB[[#This Row],[Cash Purchase]]="Yes",tbl_property_DB[[#This Row],[After Repair Value]],tbl_property_DB[[#This Row],[After Repair Value]]-tbl_property_DB[[#This Row],[Purchase Price]]+tbl_property_DB[[#This Row],[Down Payment]])</f>
        <v>358500</v>
      </c>
      <c r="CF9" s="18">
        <f>IFERROR((tbl_property_DB[[#This Row],[Purchase Price]]+tbl_property_DB[[#This Row],[Closing Cost]]+tbl_property_DB[[#This Row],[Est. Rehab Cost]])/(tbl_property_DB[[#This Row],[Gross Income (m)]]*12),"-")</f>
        <v>5.9966329966329965</v>
      </c>
      <c r="CG9" s="18">
        <f>IFERROR(IF(tbl_property_DB[[#This Row],[Cash Purchase]]="Yes","No Acq. Loan",tbl_property_DB[[#This Row],[Initial NOI]]/(tbl_property_DB[[#This Row],[Acq. Monthly P&amp;I]]*12)),"-")</f>
        <v>0.68735923821924172</v>
      </c>
      <c r="CH9" s="18">
        <f>IF(tbl_property_DB[[#This Row],[Time To Refinance (m)]]=0,"No Ref. Loan",tbl_property_DB[[#This Row],[Ref. NOI (y)]]/(tbl_property_DB[[#This Row],[Ref. Monthly P&amp;I]]*12))</f>
        <v>-0.3061806185644122</v>
      </c>
      <c r="CI9" s="18" t="str">
        <f>IF(OR(tbl_property_DB[[#This Row],[Ref. Debt Coverage Ratio]]&lt;1,tbl_property_DB[[#This Row],[Acq. Debt Coverage Ratio]]&lt;1,tbl_property_DB[[#This Row],[Ref. Cashflow (m)]]&lt;0,tbl_property_DB[[#This Row],[Initial Cashflow (m)]]&lt;0)=TRUE,"No Deal","Proceed")</f>
        <v>No Deal</v>
      </c>
      <c r="CJ9" s="18">
        <v>500</v>
      </c>
      <c r="CK9" s="18" t="str">
        <f>IF(tbl_property_DB[[#This Row],[Deal Check]]="Proceed",(SUM(tbl_property_DB[[#This Row],[Initial Cashflow (m)]],tbl_property_DB[[#This Row],[Ref. Cashflow (m)]])/2)/tbl_property_DB[[#This Row],[Min. desired cashflow (m)]],"-")</f>
        <v>-</v>
      </c>
      <c r="CL9" s="18" t="str">
        <f>IF(tbl_property_DB[[#This Row],[Deal Check]]="Proceed",(SUM(tbl_property_DB[[#This Row],[Acq. Debt Coverage Ratio]],tbl_property_DB[[#This Row],[Ref. Debt Coverage Ratio]])),"-")</f>
        <v>-</v>
      </c>
      <c r="CM9" s="18" t="str">
        <f>IFERROR(tbl_property_DB[[#This Row],[Debt Coverage Score]]+tbl_property_DB[[#This Row],[Cashflow Score]],"-")</f>
        <v>-</v>
      </c>
      <c r="CN9" s="18" t="str">
        <f>IFERROR(_xlfn.RANK.EQ(tbl_property_DB[[#This Row],[Property Score]],tbl_property_DB[Property Score]),"-")</f>
        <v>-</v>
      </c>
      <c r="CO9" s="18"/>
    </row>
    <row r="10" spans="1:93" x14ac:dyDescent="0.25">
      <c r="A10">
        <v>112636967</v>
      </c>
      <c r="B10" t="s">
        <v>190</v>
      </c>
      <c r="C10" t="s">
        <v>198</v>
      </c>
      <c r="D10" t="str">
        <f>IF(tbl_property_DB[[#This Row],[City]]="pretoria", "city-of-tshwane",IF(tbl_property_DB[[#This Row],[City]]="johannesburg", "city-of-johannesburg", IF(tbl_property_DB[[#This Row],[City]]="cape-town","city-of-cape-town","ERROR")))</f>
        <v>city-of-tshwane</v>
      </c>
      <c r="E10" t="s">
        <v>197</v>
      </c>
      <c r="F10" s="44">
        <v>899000</v>
      </c>
      <c r="G10" t="s">
        <v>200</v>
      </c>
      <c r="H10" s="75">
        <v>2</v>
      </c>
      <c r="I10" s="75">
        <v>1.5</v>
      </c>
      <c r="J10" s="20">
        <v>2900</v>
      </c>
      <c r="K10" s="44">
        <v>899000</v>
      </c>
      <c r="L10" s="44">
        <v>930000</v>
      </c>
      <c r="M10" s="45">
        <v>78000</v>
      </c>
      <c r="N10" t="s">
        <v>50</v>
      </c>
      <c r="O10" s="76">
        <v>0.1</v>
      </c>
      <c r="P10" s="72">
        <f>IF(tbl_property_DB[[#This Row],[Cash Purchase]]="Yes",0,(tbl_property_DB[[#This Row],[Purchase Price]]*tbl_property_DB[[#This Row],[Down Payment (%)]]))</f>
        <v>89900</v>
      </c>
      <c r="Q10" s="2">
        <v>0.12</v>
      </c>
      <c r="R10" s="45">
        <f>tbl_property_DB[[#This Row],[Purchase Price]]*0.04</f>
        <v>35960</v>
      </c>
      <c r="S10" s="45">
        <f>IF(tbl_property_DB[[#This Row],[Cash Purchase]]="Yes",0,tbl_property_DB[[#This Row],[Purchase Price]]*0.045)</f>
        <v>40455</v>
      </c>
      <c r="T10" t="s">
        <v>203</v>
      </c>
      <c r="U10" t="s">
        <v>50</v>
      </c>
      <c r="V10" t="s">
        <v>50</v>
      </c>
      <c r="W10">
        <v>20</v>
      </c>
      <c r="X10">
        <v>10</v>
      </c>
      <c r="Y10">
        <f>tbl_property_DB[[#This Row],[Est. Rehab Time (m)]]+1</f>
        <v>11</v>
      </c>
      <c r="Z10" s="76">
        <v>0.7</v>
      </c>
      <c r="AA10" s="73">
        <f>IF(tbl_property_DB[[#This Row],[Time To Refinance (m)]]=0,0,tbl_property_DB[[#This Row],[After Repair Value]])*(1+tbl_property_DB[[#This Row],[Annual PV Growth (%)]])^(1*(ROUND((tbl_property_DB[[#This Row],[Time To Refinance (m)]]/12),0)-1))*tbl_property_DB[[#This Row],[Ref. Loan (%) of PV]]</f>
        <v>651000</v>
      </c>
      <c r="AB10" s="2">
        <v>0.12</v>
      </c>
      <c r="AC10" s="77">
        <f>tbl_property_DB[[#This Row],[Ref. Loan Amount]]*0.045</f>
        <v>29295</v>
      </c>
      <c r="AD10" s="16">
        <v>0</v>
      </c>
      <c r="AE10" t="s">
        <v>203</v>
      </c>
      <c r="AF10" t="s">
        <v>50</v>
      </c>
      <c r="AG10" t="s">
        <v>50</v>
      </c>
      <c r="AH10">
        <v>20</v>
      </c>
      <c r="AI10" s="47">
        <f>tbl_property_DB[[#This Row],[Purchase Price]]*0.015</f>
        <v>13485</v>
      </c>
      <c r="AJ10" s="47">
        <v>0</v>
      </c>
      <c r="AK10" s="45">
        <v>0</v>
      </c>
      <c r="AL10" s="45">
        <v>0</v>
      </c>
      <c r="AM10" s="45">
        <v>0</v>
      </c>
      <c r="AN10" s="45">
        <v>0</v>
      </c>
      <c r="AO10" s="45">
        <f>tbl_property_DB[[#This Row],[Total Gross Rent (m)]]*0.3</f>
        <v>4045.5</v>
      </c>
      <c r="AP10" s="45">
        <v>0</v>
      </c>
      <c r="AQ10" s="45">
        <v>321</v>
      </c>
      <c r="AR10" s="45">
        <v>0</v>
      </c>
      <c r="AS10"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4366.5</v>
      </c>
      <c r="AT10" s="64">
        <v>0.08</v>
      </c>
      <c r="AU10" s="73">
        <f>tbl_property_DB[[#This Row],[Total Gross Rent (m)]]*tbl_property_DB[[#This Row],[Vacancy Cost (%)]]</f>
        <v>1078.8</v>
      </c>
      <c r="AV10" s="65">
        <v>0.05</v>
      </c>
      <c r="AW10" s="73">
        <f>tbl_property_DB[[#This Row],[Total Gross Rent (m)]]*tbl_property_DB[[#This Row],[Repairs &amp; Maintenance (%)]]</f>
        <v>674.25</v>
      </c>
      <c r="AX10" s="65">
        <v>0.05</v>
      </c>
      <c r="AY10" s="73">
        <f>tbl_property_DB[[#This Row],[Total Gross Rent (m)]]*tbl_property_DB[[#This Row],[Capital Expenditures (%)]]</f>
        <v>674.25</v>
      </c>
      <c r="AZ10" s="65">
        <v>7.0000000000000007E-2</v>
      </c>
      <c r="BA10" s="73">
        <f>tbl_property_DB[[#This Row],[Total Gross Rent (m)]]*tbl_property_DB[[#This Row],[Management Fees (%)]]</f>
        <v>943.95</v>
      </c>
      <c r="BB10" s="46">
        <f>SUM(tbl_property_DB[[#This Row],[Vacancy Cost]],tbl_property_DB[[#This Row],[Repairs &amp; Maintenance]],tbl_property_DB[[#This Row],[Capital Expenditures]],tbl_property_DB[[#This Row],[Management Fees]])</f>
        <v>3371.25</v>
      </c>
      <c r="BC10" s="2">
        <v>0.06</v>
      </c>
      <c r="BD10" s="2">
        <v>0.05</v>
      </c>
      <c r="BE10" s="2">
        <v>0.05</v>
      </c>
      <c r="BF10" s="2">
        <v>7.0000000000000007E-2</v>
      </c>
      <c r="BG10" s="46">
        <f>SUM(tbl_property_DB[[#This Row],[Purchase Price]],tbl_property_DB[[#This Row],[Closing Cost]],tbl_property_DB[[#This Row],[Est. Rehab Cost]])</f>
        <v>1012960</v>
      </c>
      <c r="BH10"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849555</v>
      </c>
      <c r="BI10" s="46">
        <f>tbl_property_DB[[#This Row],[Acq. Loan Fees Charged]]</f>
        <v>40455</v>
      </c>
      <c r="BJ10" s="73">
        <f>IF(tbl_property_DB[[#This Row],[Total Acq. Loan]]=0,0,(ABS(PMT((tbl_property_DB[[#This Row],[Acq. Loan Interest Rate]]/12),(tbl_property_DB[[#This Row],[Acq. Loan Amortization (y)]]*12),tbl_property_DB[[#This Row],[Total Acq. Loan]]))))</f>
        <v>9354.3323020472999</v>
      </c>
      <c r="BK10" s="73">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203860</v>
      </c>
      <c r="BL10" s="46">
        <f>(SUM(tbl_property_DB[[#This Row],[Acq. Monthly P&amp;I]],tbl_property_DB[[#This Row],[Total Fixed Expenses (m)]]))*tbl_property_DB[[#This Row],[Est. Rehab Time (m)]]</f>
        <v>137208.32302047301</v>
      </c>
      <c r="BM10" s="46">
        <f>SUM(tbl_property_DB[[#This Row],[Cash Needed at Purchase]],tbl_property_DB[[#This Row],[Holding Costs]])</f>
        <v>341068.32302047301</v>
      </c>
      <c r="BN10" s="46">
        <f>tbl_property_DB[[#This Row],[Total Gross Rent (m)]]+tbl_property_DB[[#This Row],[Other Income (m)]]</f>
        <v>13485</v>
      </c>
      <c r="BO10" s="46">
        <f>SUM(tbl_property_DB[[#This Row],[Acq. Monthly P&amp;I]],tbl_property_DB[[#This Row],[Total Fixed Expenses (m)]],tbl_property_DB[[#This Row],[Total Variable Expenses (m)]])</f>
        <v>17092.0823020473</v>
      </c>
      <c r="BP10" s="73">
        <f>tbl_property_DB[[#This Row],[Gross Income (m)]]-tbl_property_DB[[#This Row],[Total Expenses (m)]]</f>
        <v>-3607.0823020472999</v>
      </c>
      <c r="BQ10" s="46">
        <f>(tbl_property_DB[[#This Row],[Gross Income (m)]]-(tbl_property_DB[[#This Row],[Total Expenses (m)]]-tbl_property_DB[[#This Row],[Acq. Monthly P&amp;I]]))*12</f>
        <v>68967</v>
      </c>
      <c r="BR10" s="19">
        <f>tbl_property_DB[[#This Row],[Initial NOI]]/tbl_property_DB[[#This Row],[Purchase Price]]</f>
        <v>7.6715239154616241E-2</v>
      </c>
      <c r="BS10" s="19">
        <f>(tbl_property_DB[[#This Row],[Initial NOI]]/(tbl_property_DB[[#This Row],[Purchase Price]]+tbl_property_DB[[#This Row],[Closing Cost]]+tbl_property_DB[[#This Row],[Est. Rehab Cost]]+tbl_property_DB[[#This Row],[Holding Costs]]))</f>
        <v>5.9962527761923401E-2</v>
      </c>
      <c r="BT10" s="19">
        <f>(tbl_property_DB[[#This Row],[Initial Cashflow (m)]]/tbl_property_DB[[#This Row],[Cash Needed at Purchase]])*12</f>
        <v>-0.21232702651117238</v>
      </c>
      <c r="BU10" s="46">
        <f>IF(tbl_property_DB[[#This Row],[Ref. Fees &amp; Points]]="Wrap loan fees/points into the loan", SUM((tbl_property_DB[[#This Row],[Ref. Loan Amount]],tbl_property_DB[[#This Row],[Ref. Loan Fees Charged]],tbl_property_DB[[#This Row],[Ref. Loan Other Charges]])),tbl_property_DB[[#This Row],[Ref. Loan Amount]])</f>
        <v>680295</v>
      </c>
      <c r="BV10" s="46">
        <f>tbl_property_DB[[#This Row],[Ref. Loan Fees Charged]]+tbl_property_DB[[#This Row],[Ref. Loan Other Charges]]</f>
        <v>29295</v>
      </c>
      <c r="BW10" s="73">
        <f>IF(tbl_property_DB[[#This Row],[Time To Refinance (m)]]=0,0,ABS(PMT((tbl_property_DB[[#This Row],[Ref. Interest Rate]]/12),(tbl_property_DB[[#This Row],[Ref. Loan Amortization (y)]]*12),tbl_property_DB[[#This Row],[Ref. Total Loan]])))</f>
        <v>7490.633912367377</v>
      </c>
      <c r="BX10" s="74">
        <f>tbl_property_DB[[#This Row],[Cash Needed at Purchase]]-(ABS(tbl_property_DB[[#This Row],[Initial Cashflow (m)]]*tbl_property_DB[[#This Row],[Time To Refinance (m)]]))</f>
        <v>164182.0946774797</v>
      </c>
      <c r="BY10" s="73">
        <f>(tbl_property_DB[[#This Row],[Gross Income (m)]])*(1+tbl_property_DB[[#This Row],[Annual Income Growth (%)]])^(1*(ROUND((tbl_property_DB[[#This Row],[Time To Refinance (m)]]/12),0)-1))</f>
        <v>13485</v>
      </c>
      <c r="BZ10" s="73">
        <f>SUM(tbl_property_DB[[#This Row],[Ref. Monthly P&amp;I]],(tbl_property_DB[[#This Row],[Total Fixed Expenses (m)]]+tbl_property_DB[[#This Row],[Total Variable Expenses (m)]])*(1+tbl_property_DB[[#This Row],[Annual Expense Growth (%)]])^(1*(ROUND((tbl_property_DB[[#This Row],[Time To Refinance (m)]]/12),0)-1)))</f>
        <v>15228.383912367377</v>
      </c>
      <c r="CA10" s="18">
        <f>tbl_property_DB[[#This Row],[Ref. Gross Income (m)]]-tbl_property_DB[[#This Row],[Ref. Total Expenses (m)]]</f>
        <v>-1743.383912367377</v>
      </c>
      <c r="CB10" s="73">
        <f>(tbl_property_DB[[#This Row],[Ref. Gross Income (m)]]-(tbl_property_DB[[#This Row],[Ref. Total Expenses (m)]]))*12</f>
        <v>-20920.606948408524</v>
      </c>
      <c r="CC10" s="19">
        <f>IFERROR(tbl_property_DB[[#This Row],[Ref. Cashflow (m)]]/tbl_property_DB[[#This Row],[Total Cash In Deal]]*12,"-")</f>
        <v>-0.12742319428622889</v>
      </c>
      <c r="CD10" s="19">
        <f>IFERROR(tbl_property_DB[[#This Row],[Gross Income (m)]]/(tbl_property_DB[[#This Row],[Purchase Price]]+ tbl_property_DB[[#This Row],[Closing Cost]]+tbl_property_DB[[#This Row],[Est. Rehab Cost]]),"-")</f>
        <v>1.331247038382562E-2</v>
      </c>
      <c r="CE10" s="73">
        <f>IF(tbl_property_DB[[#This Row],[Cash Purchase]]="Yes",tbl_property_DB[[#This Row],[After Repair Value]],tbl_property_DB[[#This Row],[After Repair Value]]-tbl_property_DB[[#This Row],[Purchase Price]]+tbl_property_DB[[#This Row],[Down Payment]])</f>
        <v>120900</v>
      </c>
      <c r="CF10" s="18">
        <f>IFERROR((tbl_property_DB[[#This Row],[Purchase Price]]+tbl_property_DB[[#This Row],[Closing Cost]]+tbl_property_DB[[#This Row],[Est. Rehab Cost]])/(tbl_property_DB[[#This Row],[Gross Income (m)]]*12),"-")</f>
        <v>6.2597948337659126</v>
      </c>
      <c r="CG10" s="18">
        <f>IFERROR(IF(tbl_property_DB[[#This Row],[Cash Purchase]]="Yes","No Acq. Loan",tbl_property_DB[[#This Row],[Initial NOI]]/(tbl_property_DB[[#This Row],[Acq. Monthly P&amp;I]]*12)),"-")</f>
        <v>0.61439446605314096</v>
      </c>
      <c r="CH10" s="18">
        <f>IF(tbl_property_DB[[#This Row],[Time To Refinance (m)]]=0,"No Ref. Loan",tbl_property_DB[[#This Row],[Ref. NOI (y)]]/(tbl_property_DB[[#This Row],[Ref. Monthly P&amp;I]]*12))</f>
        <v>-0.23274183904368503</v>
      </c>
      <c r="CI10" s="18" t="str">
        <f>IF(OR(tbl_property_DB[[#This Row],[Ref. Debt Coverage Ratio]]&lt;1,tbl_property_DB[[#This Row],[Acq. Debt Coverage Ratio]]&lt;1,tbl_property_DB[[#This Row],[Ref. Cashflow (m)]]&lt;0,tbl_property_DB[[#This Row],[Initial Cashflow (m)]]&lt;0)=TRUE,"No Deal","Proceed")</f>
        <v>No Deal</v>
      </c>
      <c r="CJ10" s="18">
        <v>500</v>
      </c>
      <c r="CK10" s="18" t="str">
        <f>IF(tbl_property_DB[[#This Row],[Deal Check]]="Proceed",(SUM(tbl_property_DB[[#This Row],[Initial Cashflow (m)]],tbl_property_DB[[#This Row],[Ref. Cashflow (m)]])/2)/tbl_property_DB[[#This Row],[Min. desired cashflow (m)]],"-")</f>
        <v>-</v>
      </c>
      <c r="CL10" s="18" t="str">
        <f>IF(tbl_property_DB[[#This Row],[Deal Check]]="Proceed",(SUM(tbl_property_DB[[#This Row],[Acq. Debt Coverage Ratio]],tbl_property_DB[[#This Row],[Ref. Debt Coverage Ratio]])),"-")</f>
        <v>-</v>
      </c>
      <c r="CM10" s="18" t="str">
        <f>IFERROR(tbl_property_DB[[#This Row],[Debt Coverage Score]]+tbl_property_DB[[#This Row],[Cashflow Score]],"-")</f>
        <v>-</v>
      </c>
      <c r="CN10" s="18" t="str">
        <f>IFERROR(_xlfn.RANK.EQ(tbl_property_DB[[#This Row],[Property Score]],tbl_property_DB[Property Score]),"-")</f>
        <v>-</v>
      </c>
      <c r="CO10" s="18"/>
    </row>
    <row r="11" spans="1:93" x14ac:dyDescent="0.25">
      <c r="A11">
        <v>112637405</v>
      </c>
      <c r="B11" t="s">
        <v>191</v>
      </c>
      <c r="C11" t="s">
        <v>198</v>
      </c>
      <c r="D11" t="str">
        <f>IF(tbl_property_DB[[#This Row],[City]]="pretoria", "city-of-tshwane",IF(tbl_property_DB[[#This Row],[City]]="johannesburg", "city-of-johannesburg", IF(tbl_property_DB[[#This Row],[City]]="cape-town","city-of-cape-town","ERROR")))</f>
        <v>city-of-tshwane</v>
      </c>
      <c r="E11" t="s">
        <v>197</v>
      </c>
      <c r="F11" s="44">
        <v>829000</v>
      </c>
      <c r="G11" t="s">
        <v>199</v>
      </c>
      <c r="H11" s="75">
        <v>2</v>
      </c>
      <c r="I11" s="75">
        <v>2</v>
      </c>
      <c r="J11" s="20">
        <v>2500</v>
      </c>
      <c r="K11" s="44">
        <v>829000</v>
      </c>
      <c r="L11" s="44">
        <v>850000</v>
      </c>
      <c r="M11" s="45">
        <v>100000</v>
      </c>
      <c r="N11" t="s">
        <v>50</v>
      </c>
      <c r="O11" s="76">
        <v>0.25</v>
      </c>
      <c r="P11" s="72">
        <f>IF(tbl_property_DB[[#This Row],[Cash Purchase]]="Yes",0,(tbl_property_DB[[#This Row],[Purchase Price]]*tbl_property_DB[[#This Row],[Down Payment (%)]]))</f>
        <v>207250</v>
      </c>
      <c r="Q11" s="2">
        <v>0.12</v>
      </c>
      <c r="R11" s="45">
        <f>tbl_property_DB[[#This Row],[Purchase Price]]*0.04</f>
        <v>33160</v>
      </c>
      <c r="S11" s="45">
        <f>IF(tbl_property_DB[[#This Row],[Cash Purchase]]="Yes",0,tbl_property_DB[[#This Row],[Purchase Price]]*0.045)</f>
        <v>37305</v>
      </c>
      <c r="T11" t="s">
        <v>203</v>
      </c>
      <c r="U11" t="s">
        <v>50</v>
      </c>
      <c r="V11" t="s">
        <v>50</v>
      </c>
      <c r="W11">
        <v>15</v>
      </c>
      <c r="X11">
        <v>8</v>
      </c>
      <c r="Y11">
        <f>tbl_property_DB[[#This Row],[Est. Rehab Time (m)]]+1</f>
        <v>9</v>
      </c>
      <c r="Z11" s="76">
        <v>0.6</v>
      </c>
      <c r="AA11" s="73">
        <f>IF(tbl_property_DB[[#This Row],[Time To Refinance (m)]]=0,0,tbl_property_DB[[#This Row],[After Repair Value]])*(1+tbl_property_DB[[#This Row],[Annual PV Growth (%)]])^(1*(ROUND((tbl_property_DB[[#This Row],[Time To Refinance (m)]]/12),0)-1))*tbl_property_DB[[#This Row],[Ref. Loan (%) of PV]]</f>
        <v>510000</v>
      </c>
      <c r="AB11" s="2">
        <v>0.12</v>
      </c>
      <c r="AC11" s="77">
        <f>tbl_property_DB[[#This Row],[Ref. Loan Amount]]*0.045</f>
        <v>22950</v>
      </c>
      <c r="AD11" s="16">
        <v>0</v>
      </c>
      <c r="AE11" t="s">
        <v>203</v>
      </c>
      <c r="AF11" t="s">
        <v>50</v>
      </c>
      <c r="AG11" t="s">
        <v>50</v>
      </c>
      <c r="AH11">
        <v>20</v>
      </c>
      <c r="AI11" s="47">
        <f>tbl_property_DB[[#This Row],[Purchase Price]]*0.015</f>
        <v>12435</v>
      </c>
      <c r="AJ11" s="47">
        <v>0</v>
      </c>
      <c r="AK11" s="45">
        <v>0</v>
      </c>
      <c r="AL11" s="45">
        <v>0</v>
      </c>
      <c r="AM11" s="45">
        <v>0</v>
      </c>
      <c r="AN11" s="45">
        <v>0</v>
      </c>
      <c r="AO11" s="45">
        <f>tbl_property_DB[[#This Row],[Total Gross Rent (m)]]*0.3</f>
        <v>3730.5</v>
      </c>
      <c r="AP11" s="45">
        <v>0</v>
      </c>
      <c r="AQ11" s="45">
        <v>540</v>
      </c>
      <c r="AR11" s="45">
        <v>0</v>
      </c>
      <c r="AS11"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4270.5</v>
      </c>
      <c r="AT11" s="64">
        <v>0.08</v>
      </c>
      <c r="AU11" s="73">
        <f>tbl_property_DB[[#This Row],[Total Gross Rent (m)]]*tbl_property_DB[[#This Row],[Vacancy Cost (%)]]</f>
        <v>994.80000000000007</v>
      </c>
      <c r="AV11" s="65">
        <v>0.05</v>
      </c>
      <c r="AW11" s="73">
        <f>tbl_property_DB[[#This Row],[Total Gross Rent (m)]]*tbl_property_DB[[#This Row],[Repairs &amp; Maintenance (%)]]</f>
        <v>621.75</v>
      </c>
      <c r="AX11" s="65">
        <v>0.05</v>
      </c>
      <c r="AY11" s="73">
        <f>tbl_property_DB[[#This Row],[Total Gross Rent (m)]]*tbl_property_DB[[#This Row],[Capital Expenditures (%)]]</f>
        <v>621.75</v>
      </c>
      <c r="AZ11" s="65">
        <v>7.0000000000000007E-2</v>
      </c>
      <c r="BA11" s="73">
        <f>tbl_property_DB[[#This Row],[Total Gross Rent (m)]]*tbl_property_DB[[#This Row],[Management Fees (%)]]</f>
        <v>870.45</v>
      </c>
      <c r="BB11" s="46">
        <f>SUM(tbl_property_DB[[#This Row],[Vacancy Cost]],tbl_property_DB[[#This Row],[Repairs &amp; Maintenance]],tbl_property_DB[[#This Row],[Capital Expenditures]],tbl_property_DB[[#This Row],[Management Fees]])</f>
        <v>3108.75</v>
      </c>
      <c r="BC11" s="2">
        <v>0.06</v>
      </c>
      <c r="BD11" s="2">
        <v>0.05</v>
      </c>
      <c r="BE11" s="2">
        <v>0.05</v>
      </c>
      <c r="BF11" s="2">
        <v>7.0000000000000007E-2</v>
      </c>
      <c r="BG11" s="46">
        <f>SUM(tbl_property_DB[[#This Row],[Purchase Price]],tbl_property_DB[[#This Row],[Closing Cost]],tbl_property_DB[[#This Row],[Est. Rehab Cost]])</f>
        <v>962160</v>
      </c>
      <c r="BH11"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659055</v>
      </c>
      <c r="BI11" s="46">
        <f>tbl_property_DB[[#This Row],[Acq. Loan Fees Charged]]</f>
        <v>37305</v>
      </c>
      <c r="BJ11" s="73">
        <f>IF(tbl_property_DB[[#This Row],[Total Acq. Loan]]=0,0,(ABS(PMT((tbl_property_DB[[#This Row],[Acq. Loan Interest Rate]]/12),(tbl_property_DB[[#This Row],[Acq. Loan Amortization (y)]]*12),tbl_property_DB[[#This Row],[Total Acq. Loan]]))))</f>
        <v>7909.767621617224</v>
      </c>
      <c r="BK11" s="73">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340410</v>
      </c>
      <c r="BL11" s="46">
        <f>(SUM(tbl_property_DB[[#This Row],[Acq. Monthly P&amp;I]],tbl_property_DB[[#This Row],[Total Fixed Expenses (m)]]))*tbl_property_DB[[#This Row],[Est. Rehab Time (m)]]</f>
        <v>97442.140972937792</v>
      </c>
      <c r="BM11" s="46">
        <f>SUM(tbl_property_DB[[#This Row],[Cash Needed at Purchase]],tbl_property_DB[[#This Row],[Holding Costs]])</f>
        <v>437852.14097293781</v>
      </c>
      <c r="BN11" s="46">
        <f>tbl_property_DB[[#This Row],[Total Gross Rent (m)]]+tbl_property_DB[[#This Row],[Other Income (m)]]</f>
        <v>12435</v>
      </c>
      <c r="BO11" s="46">
        <f>SUM(tbl_property_DB[[#This Row],[Acq. Monthly P&amp;I]],tbl_property_DB[[#This Row],[Total Fixed Expenses (m)]],tbl_property_DB[[#This Row],[Total Variable Expenses (m)]])</f>
        <v>15289.017621617224</v>
      </c>
      <c r="BP11" s="73">
        <f>tbl_property_DB[[#This Row],[Gross Income (m)]]-tbl_property_DB[[#This Row],[Total Expenses (m)]]</f>
        <v>-2854.017621617224</v>
      </c>
      <c r="BQ11" s="46">
        <f>(tbl_property_DB[[#This Row],[Gross Income (m)]]-(tbl_property_DB[[#This Row],[Total Expenses (m)]]-tbl_property_DB[[#This Row],[Acq. Monthly P&amp;I]]))*12</f>
        <v>60669</v>
      </c>
      <c r="BR11" s="19">
        <f>tbl_property_DB[[#This Row],[Initial NOI]]/tbl_property_DB[[#This Row],[Purchase Price]]</f>
        <v>7.3183353437876963E-2</v>
      </c>
      <c r="BS11" s="19">
        <f>(tbl_property_DB[[#This Row],[Initial NOI]]/(tbl_property_DB[[#This Row],[Purchase Price]]+tbl_property_DB[[#This Row],[Closing Cost]]+tbl_property_DB[[#This Row],[Est. Rehab Cost]]+tbl_property_DB[[#This Row],[Holding Costs]]))</f>
        <v>5.7256396201967936E-2</v>
      </c>
      <c r="BT11" s="19">
        <f>(tbl_property_DB[[#This Row],[Initial Cashflow (m)]]/tbl_property_DB[[#This Row],[Cash Needed at Purchase]])*12</f>
        <v>-0.10060871143446634</v>
      </c>
      <c r="BU11" s="46">
        <f>IF(tbl_property_DB[[#This Row],[Ref. Fees &amp; Points]]="Wrap loan fees/points into the loan", SUM((tbl_property_DB[[#This Row],[Ref. Loan Amount]],tbl_property_DB[[#This Row],[Ref. Loan Fees Charged]],tbl_property_DB[[#This Row],[Ref. Loan Other Charges]])),tbl_property_DB[[#This Row],[Ref. Loan Amount]])</f>
        <v>532950</v>
      </c>
      <c r="BV11" s="46">
        <f>tbl_property_DB[[#This Row],[Ref. Loan Fees Charged]]+tbl_property_DB[[#This Row],[Ref. Loan Other Charges]]</f>
        <v>22950</v>
      </c>
      <c r="BW11" s="73">
        <f>IF(tbl_property_DB[[#This Row],[Time To Refinance (m)]]=0,0,ABS(PMT((tbl_property_DB[[#This Row],[Ref. Interest Rate]]/12),(tbl_property_DB[[#This Row],[Ref. Loan Amortization (y)]]*12),tbl_property_DB[[#This Row],[Ref. Total Loan]])))</f>
        <v>5868.2385488592354</v>
      </c>
      <c r="BX11" s="74">
        <f>tbl_property_DB[[#This Row],[Cash Needed at Purchase]]-(ABS(tbl_property_DB[[#This Row],[Initial Cashflow (m)]]*tbl_property_DB[[#This Row],[Time To Refinance (m)]]))</f>
        <v>314723.84140544501</v>
      </c>
      <c r="BY11" s="73">
        <f>(tbl_property_DB[[#This Row],[Gross Income (m)]])*(1+tbl_property_DB[[#This Row],[Annual Income Growth (%)]])^(1*(ROUND((tbl_property_DB[[#This Row],[Time To Refinance (m)]]/12),0)-1))</f>
        <v>12435</v>
      </c>
      <c r="BZ11" s="73">
        <f>SUM(tbl_property_DB[[#This Row],[Ref. Monthly P&amp;I]],(tbl_property_DB[[#This Row],[Total Fixed Expenses (m)]]+tbl_property_DB[[#This Row],[Total Variable Expenses (m)]])*(1+tbl_property_DB[[#This Row],[Annual Expense Growth (%)]])^(1*(ROUND((tbl_property_DB[[#This Row],[Time To Refinance (m)]]/12),0)-1)))</f>
        <v>13247.488548859235</v>
      </c>
      <c r="CA11" s="18">
        <f>tbl_property_DB[[#This Row],[Ref. Gross Income (m)]]-tbl_property_DB[[#This Row],[Ref. Total Expenses (m)]]</f>
        <v>-812.48854885923538</v>
      </c>
      <c r="CB11" s="73">
        <f>(tbl_property_DB[[#This Row],[Ref. Gross Income (m)]]-(tbl_property_DB[[#This Row],[Ref. Total Expenses (m)]]))*12</f>
        <v>-9749.8625863108246</v>
      </c>
      <c r="CC11" s="19">
        <f>IFERROR(tbl_property_DB[[#This Row],[Ref. Cashflow (m)]]/tbl_property_DB[[#This Row],[Total Cash In Deal]]*12,"-")</f>
        <v>-3.097910391145265E-2</v>
      </c>
      <c r="CD11" s="19">
        <f>IFERROR(tbl_property_DB[[#This Row],[Gross Income (m)]]/(tbl_property_DB[[#This Row],[Purchase Price]]+ tbl_property_DB[[#This Row],[Closing Cost]]+tbl_property_DB[[#This Row],[Est. Rehab Cost]]),"-")</f>
        <v>1.2924045896732352E-2</v>
      </c>
      <c r="CE11" s="73">
        <f>IF(tbl_property_DB[[#This Row],[Cash Purchase]]="Yes",tbl_property_DB[[#This Row],[After Repair Value]],tbl_property_DB[[#This Row],[After Repair Value]]-tbl_property_DB[[#This Row],[Purchase Price]]+tbl_property_DB[[#This Row],[Down Payment]])</f>
        <v>228250</v>
      </c>
      <c r="CF11" s="18">
        <f>IFERROR((tbl_property_DB[[#This Row],[Purchase Price]]+tbl_property_DB[[#This Row],[Closing Cost]]+tbl_property_DB[[#This Row],[Est. Rehab Cost]])/(tbl_property_DB[[#This Row],[Gross Income (m)]]*12),"-")</f>
        <v>6.4479292320064339</v>
      </c>
      <c r="CG11" s="18">
        <f>IFERROR(IF(tbl_property_DB[[#This Row],[Cash Purchase]]="Yes","No Acq. Loan",tbl_property_DB[[#This Row],[Initial NOI]]/(tbl_property_DB[[#This Row],[Acq. Monthly P&amp;I]]*12)),"-")</f>
        <v>0.63917806967966351</v>
      </c>
      <c r="CH11" s="18">
        <f>IF(tbl_property_DB[[#This Row],[Time To Refinance (m)]]=0,"No Ref. Loan",tbl_property_DB[[#This Row],[Ref. NOI (y)]]/(tbl_property_DB[[#This Row],[Ref. Monthly P&amp;I]]*12))</f>
        <v>-0.13845526934435551</v>
      </c>
      <c r="CI11" s="18" t="str">
        <f>IF(OR(tbl_property_DB[[#This Row],[Ref. Debt Coverage Ratio]]&lt;1,tbl_property_DB[[#This Row],[Acq. Debt Coverage Ratio]]&lt;1,tbl_property_DB[[#This Row],[Ref. Cashflow (m)]]&lt;0,tbl_property_DB[[#This Row],[Initial Cashflow (m)]]&lt;0)=TRUE,"No Deal","Proceed")</f>
        <v>No Deal</v>
      </c>
      <c r="CJ11" s="18">
        <v>500</v>
      </c>
      <c r="CK11" s="18" t="str">
        <f>IF(tbl_property_DB[[#This Row],[Deal Check]]="Proceed",(SUM(tbl_property_DB[[#This Row],[Initial Cashflow (m)]],tbl_property_DB[[#This Row],[Ref. Cashflow (m)]])/2)/tbl_property_DB[[#This Row],[Min. desired cashflow (m)]],"-")</f>
        <v>-</v>
      </c>
      <c r="CL11" s="18" t="str">
        <f>IF(tbl_property_DB[[#This Row],[Deal Check]]="Proceed",(SUM(tbl_property_DB[[#This Row],[Acq. Debt Coverage Ratio]],tbl_property_DB[[#This Row],[Ref. Debt Coverage Ratio]])),"-")</f>
        <v>-</v>
      </c>
      <c r="CM11" s="18" t="str">
        <f>IFERROR(tbl_property_DB[[#This Row],[Debt Coverage Score]]+tbl_property_DB[[#This Row],[Cashflow Score]],"-")</f>
        <v>-</v>
      </c>
      <c r="CN11" s="18" t="str">
        <f>IFERROR(_xlfn.RANK.EQ(tbl_property_DB[[#This Row],[Property Score]],tbl_property_DB[Property Score]),"-")</f>
        <v>-</v>
      </c>
      <c r="CO11" s="18"/>
    </row>
    <row r="12" spans="1:93" x14ac:dyDescent="0.25">
      <c r="A12">
        <v>112637095</v>
      </c>
      <c r="B12" t="s">
        <v>192</v>
      </c>
      <c r="C12" t="s">
        <v>201</v>
      </c>
      <c r="D12" t="str">
        <f>IF(tbl_property_DB[[#This Row],[City]]="pretoria", "city-of-tshwane",IF(tbl_property_DB[[#This Row],[City]]="johannesburg", "city-of-johannesburg", IF(tbl_property_DB[[#This Row],[City]]="cape-town","city-of-cape-town","ERROR")))</f>
        <v>city-of-cape-town</v>
      </c>
      <c r="E12" t="s">
        <v>202</v>
      </c>
      <c r="F12" s="44">
        <v>920000</v>
      </c>
      <c r="G12" t="s">
        <v>184</v>
      </c>
      <c r="H12" s="75">
        <v>2</v>
      </c>
      <c r="I12" s="75">
        <v>1</v>
      </c>
      <c r="J12" s="20">
        <v>2600</v>
      </c>
      <c r="K12" s="44">
        <v>920000</v>
      </c>
      <c r="L12" s="44">
        <v>960000</v>
      </c>
      <c r="M12" s="45">
        <v>81000</v>
      </c>
      <c r="N12" t="s">
        <v>50</v>
      </c>
      <c r="O12" s="76">
        <v>0.1</v>
      </c>
      <c r="P12" s="72">
        <f>IF(tbl_property_DB[[#This Row],[Cash Purchase]]="Yes",0,(tbl_property_DB[[#This Row],[Purchase Price]]*tbl_property_DB[[#This Row],[Down Payment (%)]]))</f>
        <v>92000</v>
      </c>
      <c r="Q12" s="2">
        <v>0.12</v>
      </c>
      <c r="R12" s="45">
        <f>tbl_property_DB[[#This Row],[Purchase Price]]*0.04</f>
        <v>36800</v>
      </c>
      <c r="S12" s="45">
        <f>IF(tbl_property_DB[[#This Row],[Cash Purchase]]="Yes",0,tbl_property_DB[[#This Row],[Purchase Price]]*0.045)</f>
        <v>41400</v>
      </c>
      <c r="T12" t="s">
        <v>203</v>
      </c>
      <c r="U12" t="s">
        <v>50</v>
      </c>
      <c r="V12" t="s">
        <v>50</v>
      </c>
      <c r="W12">
        <v>20</v>
      </c>
      <c r="X12">
        <v>7</v>
      </c>
      <c r="Y12">
        <f>tbl_property_DB[[#This Row],[Est. Rehab Time (m)]]+1</f>
        <v>8</v>
      </c>
      <c r="Z12" s="76">
        <v>0.7</v>
      </c>
      <c r="AA12" s="73">
        <f>IF(tbl_property_DB[[#This Row],[Time To Refinance (m)]]=0,0,tbl_property_DB[[#This Row],[After Repair Value]])*(1+tbl_property_DB[[#This Row],[Annual PV Growth (%)]])^(1*(ROUND((tbl_property_DB[[#This Row],[Time To Refinance (m)]]/12),0)-1))*tbl_property_DB[[#This Row],[Ref. Loan (%) of PV]]</f>
        <v>672000</v>
      </c>
      <c r="AB12" s="2">
        <v>0.12</v>
      </c>
      <c r="AC12" s="77">
        <f>tbl_property_DB[[#This Row],[Ref. Loan Amount]]*0.045</f>
        <v>30240</v>
      </c>
      <c r="AD12" s="16">
        <v>0</v>
      </c>
      <c r="AE12" t="s">
        <v>203</v>
      </c>
      <c r="AF12" t="s">
        <v>50</v>
      </c>
      <c r="AG12" t="s">
        <v>50</v>
      </c>
      <c r="AH12">
        <v>25</v>
      </c>
      <c r="AI12" s="47">
        <f>tbl_property_DB[[#This Row],[Purchase Price]]*0.015</f>
        <v>13800</v>
      </c>
      <c r="AJ12" s="47">
        <v>0</v>
      </c>
      <c r="AK12" s="45">
        <v>0</v>
      </c>
      <c r="AL12" s="45">
        <v>0</v>
      </c>
      <c r="AM12" s="45">
        <v>0</v>
      </c>
      <c r="AN12" s="45">
        <v>0</v>
      </c>
      <c r="AO12" s="45">
        <f>tbl_property_DB[[#This Row],[Total Gross Rent (m)]]*0.3</f>
        <v>4140</v>
      </c>
      <c r="AP12" s="45">
        <v>0</v>
      </c>
      <c r="AQ12" s="45">
        <v>126</v>
      </c>
      <c r="AR12" s="45">
        <v>210</v>
      </c>
      <c r="AS12"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4476</v>
      </c>
      <c r="AT12" s="64">
        <v>0.08</v>
      </c>
      <c r="AU12" s="73">
        <f>tbl_property_DB[[#This Row],[Total Gross Rent (m)]]*tbl_property_DB[[#This Row],[Vacancy Cost (%)]]</f>
        <v>1104</v>
      </c>
      <c r="AV12" s="65">
        <v>0.05</v>
      </c>
      <c r="AW12" s="73">
        <f>tbl_property_DB[[#This Row],[Total Gross Rent (m)]]*tbl_property_DB[[#This Row],[Repairs &amp; Maintenance (%)]]</f>
        <v>690</v>
      </c>
      <c r="AX12" s="65">
        <v>0.05</v>
      </c>
      <c r="AY12" s="73">
        <f>tbl_property_DB[[#This Row],[Total Gross Rent (m)]]*tbl_property_DB[[#This Row],[Capital Expenditures (%)]]</f>
        <v>690</v>
      </c>
      <c r="AZ12" s="65">
        <v>7.0000000000000007E-2</v>
      </c>
      <c r="BA12" s="73">
        <f>tbl_property_DB[[#This Row],[Total Gross Rent (m)]]*tbl_property_DB[[#This Row],[Management Fees (%)]]</f>
        <v>966.00000000000011</v>
      </c>
      <c r="BB12" s="46">
        <f>SUM(tbl_property_DB[[#This Row],[Vacancy Cost]],tbl_property_DB[[#This Row],[Repairs &amp; Maintenance]],tbl_property_DB[[#This Row],[Capital Expenditures]],tbl_property_DB[[#This Row],[Management Fees]])</f>
        <v>3450</v>
      </c>
      <c r="BC12" s="2">
        <v>0.06</v>
      </c>
      <c r="BD12" s="2">
        <v>0.05</v>
      </c>
      <c r="BE12" s="2">
        <v>0.05</v>
      </c>
      <c r="BF12" s="2">
        <v>7.0000000000000007E-2</v>
      </c>
      <c r="BG12" s="46">
        <f>SUM(tbl_property_DB[[#This Row],[Purchase Price]],tbl_property_DB[[#This Row],[Closing Cost]],tbl_property_DB[[#This Row],[Est. Rehab Cost]])</f>
        <v>1037800</v>
      </c>
      <c r="BH12"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869400</v>
      </c>
      <c r="BI12" s="46">
        <f>tbl_property_DB[[#This Row],[Acq. Loan Fees Charged]]</f>
        <v>41400</v>
      </c>
      <c r="BJ12" s="73">
        <f>IF(tbl_property_DB[[#This Row],[Total Acq. Loan]]=0,0,(ABS(PMT((tbl_property_DB[[#This Row],[Acq. Loan Interest Rate]]/12),(tbl_property_DB[[#This Row],[Acq. Loan Amortization (y)]]*12),tbl_property_DB[[#This Row],[Total Acq. Loan]]))))</f>
        <v>9572.8428452541884</v>
      </c>
      <c r="BK12" s="73">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209800</v>
      </c>
      <c r="BL12" s="46">
        <f>(SUM(tbl_property_DB[[#This Row],[Acq. Monthly P&amp;I]],tbl_property_DB[[#This Row],[Total Fixed Expenses (m)]]))*tbl_property_DB[[#This Row],[Est. Rehab Time (m)]]</f>
        <v>98341.899916779323</v>
      </c>
      <c r="BM12" s="46">
        <f>SUM(tbl_property_DB[[#This Row],[Cash Needed at Purchase]],tbl_property_DB[[#This Row],[Holding Costs]])</f>
        <v>308141.89991677931</v>
      </c>
      <c r="BN12" s="46">
        <f>tbl_property_DB[[#This Row],[Total Gross Rent (m)]]+tbl_property_DB[[#This Row],[Other Income (m)]]</f>
        <v>13800</v>
      </c>
      <c r="BO12" s="46">
        <f>SUM(tbl_property_DB[[#This Row],[Acq. Monthly P&amp;I]],tbl_property_DB[[#This Row],[Total Fixed Expenses (m)]],tbl_property_DB[[#This Row],[Total Variable Expenses (m)]])</f>
        <v>17498.842845254188</v>
      </c>
      <c r="BP12" s="73">
        <f>tbl_property_DB[[#This Row],[Gross Income (m)]]-tbl_property_DB[[#This Row],[Total Expenses (m)]]</f>
        <v>-3698.8428452541884</v>
      </c>
      <c r="BQ12" s="46">
        <f>(tbl_property_DB[[#This Row],[Gross Income (m)]]-(tbl_property_DB[[#This Row],[Total Expenses (m)]]-tbl_property_DB[[#This Row],[Acq. Monthly P&amp;I]]))*12</f>
        <v>70488</v>
      </c>
      <c r="BR12" s="19">
        <f>tbl_property_DB[[#This Row],[Initial NOI]]/tbl_property_DB[[#This Row],[Purchase Price]]</f>
        <v>7.6617391304347832E-2</v>
      </c>
      <c r="BS12" s="19">
        <f>(tbl_property_DB[[#This Row],[Initial NOI]]/(tbl_property_DB[[#This Row],[Purchase Price]]+tbl_property_DB[[#This Row],[Closing Cost]]+tbl_property_DB[[#This Row],[Est. Rehab Cost]]+tbl_property_DB[[#This Row],[Holding Costs]]))</f>
        <v>6.204154604734069E-2</v>
      </c>
      <c r="BT12" s="19">
        <f>(tbl_property_DB[[#This Row],[Initial Cashflow (m)]]/tbl_property_DB[[#This Row],[Cash Needed at Purchase]])*12</f>
        <v>-0.21156393776477722</v>
      </c>
      <c r="BU12" s="46">
        <f>IF(tbl_property_DB[[#This Row],[Ref. Fees &amp; Points]]="Wrap loan fees/points into the loan", SUM((tbl_property_DB[[#This Row],[Ref. Loan Amount]],tbl_property_DB[[#This Row],[Ref. Loan Fees Charged]],tbl_property_DB[[#This Row],[Ref. Loan Other Charges]])),tbl_property_DB[[#This Row],[Ref. Loan Amount]])</f>
        <v>702240</v>
      </c>
      <c r="BV12" s="46">
        <f>tbl_property_DB[[#This Row],[Ref. Loan Fees Charged]]+tbl_property_DB[[#This Row],[Ref. Loan Other Charges]]</f>
        <v>30240</v>
      </c>
      <c r="BW12" s="73">
        <f>IF(tbl_property_DB[[#This Row],[Time To Refinance (m)]]=0,0,ABS(PMT((tbl_property_DB[[#This Row],[Ref. Interest Rate]]/12),(tbl_property_DB[[#This Row],[Ref. Loan Amortization (y)]]*12),tbl_property_DB[[#This Row],[Ref. Total Loan]])))</f>
        <v>7396.1612161686226</v>
      </c>
      <c r="BX12" s="74">
        <f>tbl_property_DB[[#This Row],[Cash Needed at Purchase]]-(ABS(tbl_property_DB[[#This Row],[Initial Cashflow (m)]]*tbl_property_DB[[#This Row],[Time To Refinance (m)]]))</f>
        <v>180209.25723796649</v>
      </c>
      <c r="BY12" s="73">
        <f>(tbl_property_DB[[#This Row],[Gross Income (m)]])*(1+tbl_property_DB[[#This Row],[Annual Income Growth (%)]])^(1*(ROUND((tbl_property_DB[[#This Row],[Time To Refinance (m)]]/12),0)-1))</f>
        <v>13800</v>
      </c>
      <c r="BZ12" s="73">
        <f>SUM(tbl_property_DB[[#This Row],[Ref. Monthly P&amp;I]],(tbl_property_DB[[#This Row],[Total Fixed Expenses (m)]]+tbl_property_DB[[#This Row],[Total Variable Expenses (m)]])*(1+tbl_property_DB[[#This Row],[Annual Expense Growth (%)]])^(1*(ROUND((tbl_property_DB[[#This Row],[Time To Refinance (m)]]/12),0)-1)))</f>
        <v>15322.161216168623</v>
      </c>
      <c r="CA12" s="18">
        <f>tbl_property_DB[[#This Row],[Ref. Gross Income (m)]]-tbl_property_DB[[#This Row],[Ref. Total Expenses (m)]]</f>
        <v>-1522.1612161686226</v>
      </c>
      <c r="CB12" s="73">
        <f>(tbl_property_DB[[#This Row],[Ref. Gross Income (m)]]-(tbl_property_DB[[#This Row],[Ref. Total Expenses (m)]]))*12</f>
        <v>-18265.934594023471</v>
      </c>
      <c r="CC12" s="19">
        <f>IFERROR(tbl_property_DB[[#This Row],[Ref. Cashflow (m)]]/tbl_property_DB[[#This Row],[Total Cash In Deal]]*12,"-")</f>
        <v>-0.10135957982393373</v>
      </c>
      <c r="CD12" s="19">
        <f>IFERROR(tbl_property_DB[[#This Row],[Gross Income (m)]]/(tbl_property_DB[[#This Row],[Purchase Price]]+ tbl_property_DB[[#This Row],[Closing Cost]]+tbl_property_DB[[#This Row],[Est. Rehab Cost]]),"-")</f>
        <v>1.3297359799576027E-2</v>
      </c>
      <c r="CE12" s="73">
        <f>IF(tbl_property_DB[[#This Row],[Cash Purchase]]="Yes",tbl_property_DB[[#This Row],[After Repair Value]],tbl_property_DB[[#This Row],[After Repair Value]]-tbl_property_DB[[#This Row],[Purchase Price]]+tbl_property_DB[[#This Row],[Down Payment]])</f>
        <v>132000</v>
      </c>
      <c r="CF12" s="18">
        <f>IFERROR((tbl_property_DB[[#This Row],[Purchase Price]]+tbl_property_DB[[#This Row],[Closing Cost]]+tbl_property_DB[[#This Row],[Est. Rehab Cost]])/(tbl_property_DB[[#This Row],[Gross Income (m)]]*12),"-")</f>
        <v>6.2669082125603861</v>
      </c>
      <c r="CG12" s="18">
        <f>IFERROR(IF(tbl_property_DB[[#This Row],[Cash Purchase]]="Yes","No Acq. Loan",tbl_property_DB[[#This Row],[Initial NOI]]/(tbl_property_DB[[#This Row],[Acq. Monthly P&amp;I]]*12)),"-")</f>
        <v>0.6136108254312439</v>
      </c>
      <c r="CH12" s="18">
        <f>IF(tbl_property_DB[[#This Row],[Time To Refinance (m)]]=0,"No Ref. Loan",tbl_property_DB[[#This Row],[Ref. NOI (y)]]/(tbl_property_DB[[#This Row],[Ref. Monthly P&amp;I]]*12))</f>
        <v>-0.20580422352626004</v>
      </c>
      <c r="CI12" s="18" t="str">
        <f>IF(OR(tbl_property_DB[[#This Row],[Ref. Debt Coverage Ratio]]&lt;1,tbl_property_DB[[#This Row],[Acq. Debt Coverage Ratio]]&lt;1,tbl_property_DB[[#This Row],[Ref. Cashflow (m)]]&lt;0,tbl_property_DB[[#This Row],[Initial Cashflow (m)]]&lt;0)=TRUE,"No Deal","Proceed")</f>
        <v>No Deal</v>
      </c>
      <c r="CJ12" s="18">
        <v>500</v>
      </c>
      <c r="CK12" s="18" t="str">
        <f>IF(tbl_property_DB[[#This Row],[Deal Check]]="Proceed",(SUM(tbl_property_DB[[#This Row],[Initial Cashflow (m)]],tbl_property_DB[[#This Row],[Ref. Cashflow (m)]])/2)/tbl_property_DB[[#This Row],[Min. desired cashflow (m)]],"-")</f>
        <v>-</v>
      </c>
      <c r="CL12" s="18" t="str">
        <f>IF(tbl_property_DB[[#This Row],[Deal Check]]="Proceed",(SUM(tbl_property_DB[[#This Row],[Acq. Debt Coverage Ratio]],tbl_property_DB[[#This Row],[Ref. Debt Coverage Ratio]])),"-")</f>
        <v>-</v>
      </c>
      <c r="CM12" s="18" t="str">
        <f>IFERROR(tbl_property_DB[[#This Row],[Debt Coverage Score]]+tbl_property_DB[[#This Row],[Cashflow Score]],"-")</f>
        <v>-</v>
      </c>
      <c r="CN12" s="18" t="str">
        <f>IFERROR(_xlfn.RANK.EQ(tbl_property_DB[[#This Row],[Property Score]],tbl_property_DB[Property Score]),"-")</f>
        <v>-</v>
      </c>
      <c r="CO12" s="18"/>
    </row>
    <row r="13" spans="1:93" x14ac:dyDescent="0.25">
      <c r="A13">
        <v>112637515</v>
      </c>
      <c r="B13" t="s">
        <v>193</v>
      </c>
      <c r="C13" t="s">
        <v>198</v>
      </c>
      <c r="D13" t="str">
        <f>IF(tbl_property_DB[[#This Row],[City]]="pretoria", "city-of-tshwane",IF(tbl_property_DB[[#This Row],[City]]="johannesburg", "city-of-johannesburg", IF(tbl_property_DB[[#This Row],[City]]="cape-town","city-of-cape-town","ERROR")))</f>
        <v>city-of-tshwane</v>
      </c>
      <c r="E13" t="s">
        <v>197</v>
      </c>
      <c r="F13" s="44">
        <v>899999</v>
      </c>
      <c r="G13" t="s">
        <v>184</v>
      </c>
      <c r="H13" s="75">
        <v>3</v>
      </c>
      <c r="I13" s="75">
        <v>2</v>
      </c>
      <c r="J13" s="20">
        <v>2800</v>
      </c>
      <c r="K13" s="44">
        <v>899999</v>
      </c>
      <c r="L13" s="44">
        <v>940000</v>
      </c>
      <c r="M13" s="45">
        <v>110000</v>
      </c>
      <c r="N13" t="s">
        <v>50</v>
      </c>
      <c r="O13" s="76">
        <v>0.3</v>
      </c>
      <c r="P13" s="72">
        <f>IF(tbl_property_DB[[#This Row],[Cash Purchase]]="Yes",0,(tbl_property_DB[[#This Row],[Purchase Price]]*tbl_property_DB[[#This Row],[Down Payment (%)]]))</f>
        <v>269999.7</v>
      </c>
      <c r="Q13" s="2">
        <v>0.12</v>
      </c>
      <c r="R13" s="45">
        <f>tbl_property_DB[[#This Row],[Purchase Price]]*0.04</f>
        <v>35999.96</v>
      </c>
      <c r="S13" s="45">
        <f>IF(tbl_property_DB[[#This Row],[Cash Purchase]]="Yes",0,tbl_property_DB[[#This Row],[Purchase Price]]*0.045)</f>
        <v>40499.955000000002</v>
      </c>
      <c r="T13" t="s">
        <v>203</v>
      </c>
      <c r="U13" t="s">
        <v>50</v>
      </c>
      <c r="V13" t="s">
        <v>50</v>
      </c>
      <c r="W13">
        <v>30</v>
      </c>
      <c r="X13">
        <v>10</v>
      </c>
      <c r="Y13">
        <f>tbl_property_DB[[#This Row],[Est. Rehab Time (m)]]+1</f>
        <v>11</v>
      </c>
      <c r="Z13" s="76">
        <v>0.7</v>
      </c>
      <c r="AA13" s="73">
        <f>IF(tbl_property_DB[[#This Row],[Time To Refinance (m)]]=0,0,tbl_property_DB[[#This Row],[After Repair Value]])*(1+tbl_property_DB[[#This Row],[Annual PV Growth (%)]])^(1*(ROUND((tbl_property_DB[[#This Row],[Time To Refinance (m)]]/12),0)-1))*tbl_property_DB[[#This Row],[Ref. Loan (%) of PV]]</f>
        <v>658000</v>
      </c>
      <c r="AB13" s="2">
        <v>0.11</v>
      </c>
      <c r="AC13" s="77">
        <f>tbl_property_DB[[#This Row],[Ref. Loan Amount]]*0.045</f>
        <v>29610</v>
      </c>
      <c r="AD13" s="16">
        <v>0</v>
      </c>
      <c r="AE13" t="s">
        <v>203</v>
      </c>
      <c r="AF13" t="s">
        <v>50</v>
      </c>
      <c r="AG13" t="s">
        <v>50</v>
      </c>
      <c r="AH13">
        <v>30</v>
      </c>
      <c r="AI13" s="47">
        <f>tbl_property_DB[[#This Row],[Purchase Price]]*0.015</f>
        <v>13499.984999999999</v>
      </c>
      <c r="AJ13" s="47">
        <v>0</v>
      </c>
      <c r="AK13" s="45">
        <v>0</v>
      </c>
      <c r="AL13" s="45">
        <v>254</v>
      </c>
      <c r="AM13" s="45">
        <v>0</v>
      </c>
      <c r="AN13" s="45">
        <v>141</v>
      </c>
      <c r="AO13" s="45">
        <f>tbl_property_DB[[#This Row],[Total Gross Rent (m)]]*0.3</f>
        <v>4049.9954999999995</v>
      </c>
      <c r="AP13" s="45">
        <v>451</v>
      </c>
      <c r="AQ13" s="45">
        <v>354</v>
      </c>
      <c r="AR13" s="45">
        <v>0</v>
      </c>
      <c r="AS13"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5249.9954999999991</v>
      </c>
      <c r="AT13" s="64">
        <v>0.08</v>
      </c>
      <c r="AU13" s="73">
        <f>tbl_property_DB[[#This Row],[Total Gross Rent (m)]]*tbl_property_DB[[#This Row],[Vacancy Cost (%)]]</f>
        <v>1079.9987999999998</v>
      </c>
      <c r="AV13" s="65">
        <v>0.05</v>
      </c>
      <c r="AW13" s="73">
        <f>tbl_property_DB[[#This Row],[Total Gross Rent (m)]]*tbl_property_DB[[#This Row],[Repairs &amp; Maintenance (%)]]</f>
        <v>674.99924999999996</v>
      </c>
      <c r="AX13" s="65">
        <v>0.05</v>
      </c>
      <c r="AY13" s="73">
        <f>tbl_property_DB[[#This Row],[Total Gross Rent (m)]]*tbl_property_DB[[#This Row],[Capital Expenditures (%)]]</f>
        <v>674.99924999999996</v>
      </c>
      <c r="AZ13" s="65">
        <v>7.0000000000000007E-2</v>
      </c>
      <c r="BA13" s="73">
        <f>tbl_property_DB[[#This Row],[Total Gross Rent (m)]]*tbl_property_DB[[#This Row],[Management Fees (%)]]</f>
        <v>944.99895000000004</v>
      </c>
      <c r="BB13" s="46">
        <f>SUM(tbl_property_DB[[#This Row],[Vacancy Cost]],tbl_property_DB[[#This Row],[Repairs &amp; Maintenance]],tbl_property_DB[[#This Row],[Capital Expenditures]],tbl_property_DB[[#This Row],[Management Fees]])</f>
        <v>3374.9962499999997</v>
      </c>
      <c r="BC13" s="2">
        <v>0.06</v>
      </c>
      <c r="BD13" s="2">
        <v>0.05</v>
      </c>
      <c r="BE13" s="2">
        <v>0.05</v>
      </c>
      <c r="BF13" s="2">
        <v>7.0000000000000007E-2</v>
      </c>
      <c r="BG13" s="46">
        <f>SUM(tbl_property_DB[[#This Row],[Purchase Price]],tbl_property_DB[[#This Row],[Closing Cost]],tbl_property_DB[[#This Row],[Est. Rehab Cost]])</f>
        <v>1045998.96</v>
      </c>
      <c r="BH13"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670499.255</v>
      </c>
      <c r="BI13" s="46">
        <f>tbl_property_DB[[#This Row],[Acq. Loan Fees Charged]]</f>
        <v>40499.955000000002</v>
      </c>
      <c r="BJ13" s="73">
        <f>IF(tbl_property_DB[[#This Row],[Total Acq. Loan]]=0,0,(ABS(PMT((tbl_property_DB[[#This Row],[Acq. Loan Interest Rate]]/12),(tbl_property_DB[[#This Row],[Acq. Loan Amortization (y)]]*12),tbl_property_DB[[#This Row],[Total Acq. Loan]]))))</f>
        <v>6896.8397992216596</v>
      </c>
      <c r="BK13" s="73">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415999.66000000003</v>
      </c>
      <c r="BL13" s="46">
        <f>(SUM(tbl_property_DB[[#This Row],[Acq. Monthly P&amp;I]],tbl_property_DB[[#This Row],[Total Fixed Expenses (m)]]))*tbl_property_DB[[#This Row],[Est. Rehab Time (m)]]</f>
        <v>121468.35299221659</v>
      </c>
      <c r="BM13" s="46">
        <f>SUM(tbl_property_DB[[#This Row],[Cash Needed at Purchase]],tbl_property_DB[[#This Row],[Holding Costs]])</f>
        <v>537468.01299221662</v>
      </c>
      <c r="BN13" s="46">
        <f>tbl_property_DB[[#This Row],[Total Gross Rent (m)]]+tbl_property_DB[[#This Row],[Other Income (m)]]</f>
        <v>13499.984999999999</v>
      </c>
      <c r="BO13" s="46">
        <f>SUM(tbl_property_DB[[#This Row],[Acq. Monthly P&amp;I]],tbl_property_DB[[#This Row],[Total Fixed Expenses (m)]],tbl_property_DB[[#This Row],[Total Variable Expenses (m)]])</f>
        <v>15521.831549221659</v>
      </c>
      <c r="BP13" s="73">
        <f>tbl_property_DB[[#This Row],[Gross Income (m)]]-tbl_property_DB[[#This Row],[Total Expenses (m)]]</f>
        <v>-2021.8465492216601</v>
      </c>
      <c r="BQ13" s="46">
        <f>(tbl_property_DB[[#This Row],[Gross Income (m)]]-(tbl_property_DB[[#This Row],[Total Expenses (m)]]-tbl_property_DB[[#This Row],[Acq. Monthly P&amp;I]]))*12</f>
        <v>58499.918999999994</v>
      </c>
      <c r="BR13" s="19">
        <f>tbl_property_DB[[#This Row],[Initial NOI]]/tbl_property_DB[[#This Row],[Purchase Price]]</f>
        <v>6.4999982222202463E-2</v>
      </c>
      <c r="BS13" s="19">
        <f>(tbl_property_DB[[#This Row],[Initial NOI]]/(tbl_property_DB[[#This Row],[Purchase Price]]+tbl_property_DB[[#This Row],[Closing Cost]]+tbl_property_DB[[#This Row],[Est. Rehab Cost]]+tbl_property_DB[[#This Row],[Holding Costs]]))</f>
        <v>5.0108399908914629E-2</v>
      </c>
      <c r="BT13" s="19">
        <f>(tbl_property_DB[[#This Row],[Initial Cashflow (m)]]/tbl_property_DB[[#This Row],[Cash Needed at Purchase]])*12</f>
        <v>-5.8322544279627339E-2</v>
      </c>
      <c r="BU13" s="46">
        <f>IF(tbl_property_DB[[#This Row],[Ref. Fees &amp; Points]]="Wrap loan fees/points into the loan", SUM((tbl_property_DB[[#This Row],[Ref. Loan Amount]],tbl_property_DB[[#This Row],[Ref. Loan Fees Charged]],tbl_property_DB[[#This Row],[Ref. Loan Other Charges]])),tbl_property_DB[[#This Row],[Ref. Loan Amount]])</f>
        <v>687610</v>
      </c>
      <c r="BV13" s="46">
        <f>tbl_property_DB[[#This Row],[Ref. Loan Fees Charged]]+tbl_property_DB[[#This Row],[Ref. Loan Other Charges]]</f>
        <v>29610</v>
      </c>
      <c r="BW13" s="73">
        <f>IF(tbl_property_DB[[#This Row],[Time To Refinance (m)]]=0,0,ABS(PMT((tbl_property_DB[[#This Row],[Ref. Interest Rate]]/12),(tbl_property_DB[[#This Row],[Ref. Loan Amortization (y)]]*12),tbl_property_DB[[#This Row],[Ref. Total Loan]])))</f>
        <v>6548.2709004122717</v>
      </c>
      <c r="BX13" s="74">
        <f>tbl_property_DB[[#This Row],[Cash Needed at Purchase]]-(ABS(tbl_property_DB[[#This Row],[Initial Cashflow (m)]]*tbl_property_DB[[#This Row],[Time To Refinance (m)]]))</f>
        <v>393759.34795856179</v>
      </c>
      <c r="BY13" s="73">
        <f>(tbl_property_DB[[#This Row],[Gross Income (m)]])*(1+tbl_property_DB[[#This Row],[Annual Income Growth (%)]])^(1*(ROUND((tbl_property_DB[[#This Row],[Time To Refinance (m)]]/12),0)-1))</f>
        <v>13499.984999999999</v>
      </c>
      <c r="BZ13" s="73">
        <f>SUM(tbl_property_DB[[#This Row],[Ref. Monthly P&amp;I]],(tbl_property_DB[[#This Row],[Total Fixed Expenses (m)]]+tbl_property_DB[[#This Row],[Total Variable Expenses (m)]])*(1+tbl_property_DB[[#This Row],[Annual Expense Growth (%)]])^(1*(ROUND((tbl_property_DB[[#This Row],[Time To Refinance (m)]]/12),0)-1)))</f>
        <v>15173.262650412271</v>
      </c>
      <c r="CA13" s="18">
        <f>tbl_property_DB[[#This Row],[Ref. Gross Income (m)]]-tbl_property_DB[[#This Row],[Ref. Total Expenses (m)]]</f>
        <v>-1673.2776504122721</v>
      </c>
      <c r="CB13" s="73">
        <f>(tbl_property_DB[[#This Row],[Ref. Gross Income (m)]]-(tbl_property_DB[[#This Row],[Ref. Total Expenses (m)]]))*12</f>
        <v>-20079.331804947265</v>
      </c>
      <c r="CC13" s="19">
        <f>IFERROR(tbl_property_DB[[#This Row],[Ref. Cashflow (m)]]/tbl_property_DB[[#This Row],[Total Cash In Deal]]*12,"-")</f>
        <v>-5.0993917754710322E-2</v>
      </c>
      <c r="CD13" s="19">
        <f>IFERROR(tbl_property_DB[[#This Row],[Gross Income (m)]]/(tbl_property_DB[[#This Row],[Purchase Price]]+ tbl_property_DB[[#This Row],[Closing Cost]]+tbl_property_DB[[#This Row],[Est. Rehab Cost]]),"-")</f>
        <v>1.2906308243365748E-2</v>
      </c>
      <c r="CE13" s="73">
        <f>IF(tbl_property_DB[[#This Row],[Cash Purchase]]="Yes",tbl_property_DB[[#This Row],[After Repair Value]],tbl_property_DB[[#This Row],[After Repair Value]]-tbl_property_DB[[#This Row],[Purchase Price]]+tbl_property_DB[[#This Row],[Down Payment]])</f>
        <v>310000.7</v>
      </c>
      <c r="CF13" s="18">
        <f>IFERROR((tbl_property_DB[[#This Row],[Purchase Price]]+tbl_property_DB[[#This Row],[Closing Cost]]+tbl_property_DB[[#This Row],[Est. Rehab Cost]])/(tbl_property_DB[[#This Row],[Gross Income (m)]]*12),"-")</f>
        <v>6.4567908779157905</v>
      </c>
      <c r="CG13" s="18">
        <f>IFERROR(IF(tbl_property_DB[[#This Row],[Cash Purchase]]="Yes","No Acq. Loan",tbl_property_DB[[#This Row],[Initial NOI]]/(tbl_property_DB[[#This Row],[Acq. Monthly P&amp;I]]*12)),"-")</f>
        <v>0.70684449572834285</v>
      </c>
      <c r="CH13" s="18">
        <f>IF(tbl_property_DB[[#This Row],[Time To Refinance (m)]]=0,"No Ref. Loan",tbl_property_DB[[#This Row],[Ref. NOI (y)]]/(tbl_property_DB[[#This Row],[Ref. Monthly P&amp;I]]*12))</f>
        <v>-0.25552969262571662</v>
      </c>
      <c r="CI13" s="18" t="str">
        <f>IF(OR(tbl_property_DB[[#This Row],[Ref. Debt Coverage Ratio]]&lt;1,tbl_property_DB[[#This Row],[Acq. Debt Coverage Ratio]]&lt;1,tbl_property_DB[[#This Row],[Ref. Cashflow (m)]]&lt;0,tbl_property_DB[[#This Row],[Initial Cashflow (m)]]&lt;0)=TRUE,"No Deal","Proceed")</f>
        <v>No Deal</v>
      </c>
      <c r="CJ13" s="18">
        <v>500</v>
      </c>
      <c r="CK13" s="18" t="str">
        <f>IF(tbl_property_DB[[#This Row],[Deal Check]]="Proceed",(SUM(tbl_property_DB[[#This Row],[Initial Cashflow (m)]],tbl_property_DB[[#This Row],[Ref. Cashflow (m)]])/2)/tbl_property_DB[[#This Row],[Min. desired cashflow (m)]],"-")</f>
        <v>-</v>
      </c>
      <c r="CL13" s="18" t="str">
        <f>IF(tbl_property_DB[[#This Row],[Deal Check]]="Proceed",(SUM(tbl_property_DB[[#This Row],[Acq. Debt Coverage Ratio]],tbl_property_DB[[#This Row],[Ref. Debt Coverage Ratio]])),"-")</f>
        <v>-</v>
      </c>
      <c r="CM13" s="18" t="str">
        <f>IFERROR(tbl_property_DB[[#This Row],[Debt Coverage Score]]+tbl_property_DB[[#This Row],[Cashflow Score]],"-")</f>
        <v>-</v>
      </c>
      <c r="CN13" s="18" t="str">
        <f>IFERROR(_xlfn.RANK.EQ(tbl_property_DB[[#This Row],[Property Score]],tbl_property_DB[Property Score]),"-")</f>
        <v>-</v>
      </c>
      <c r="CO13" s="18"/>
    </row>
    <row r="14" spans="1:93" x14ac:dyDescent="0.25">
      <c r="A14">
        <v>112636974</v>
      </c>
      <c r="B14" t="s">
        <v>194</v>
      </c>
      <c r="C14" t="s">
        <v>198</v>
      </c>
      <c r="D14" t="str">
        <f>IF(tbl_property_DB[[#This Row],[City]]="pretoria", "city-of-tshwane",IF(tbl_property_DB[[#This Row],[City]]="johannesburg", "city-of-johannesburg", IF(tbl_property_DB[[#This Row],[City]]="cape-town","city-of-cape-town","ERROR")))</f>
        <v>city-of-tshwane</v>
      </c>
      <c r="E14" t="s">
        <v>197</v>
      </c>
      <c r="F14" s="44">
        <v>380000</v>
      </c>
      <c r="G14" t="s">
        <v>199</v>
      </c>
      <c r="H14" s="75">
        <v>2</v>
      </c>
      <c r="I14" s="75">
        <v>2</v>
      </c>
      <c r="J14" s="20">
        <v>2988</v>
      </c>
      <c r="K14" s="44">
        <v>380000</v>
      </c>
      <c r="L14" s="44">
        <v>420000</v>
      </c>
      <c r="M14" s="45">
        <v>150000</v>
      </c>
      <c r="N14" t="s">
        <v>50</v>
      </c>
      <c r="O14" s="76">
        <v>0.1</v>
      </c>
      <c r="P14" s="72">
        <f>IF(tbl_property_DB[[#This Row],[Cash Purchase]]="Yes",0,(tbl_property_DB[[#This Row],[Purchase Price]]*tbl_property_DB[[#This Row],[Down Payment (%)]]))</f>
        <v>38000</v>
      </c>
      <c r="Q14" s="2">
        <v>0.12</v>
      </c>
      <c r="R14" s="45">
        <f>tbl_property_DB[[#This Row],[Purchase Price]]*0.04</f>
        <v>15200</v>
      </c>
      <c r="S14" s="45">
        <f>IF(tbl_property_DB[[#This Row],[Cash Purchase]]="Yes",0,tbl_property_DB[[#This Row],[Purchase Price]]*0.045)</f>
        <v>17100</v>
      </c>
      <c r="T14" t="s">
        <v>203</v>
      </c>
      <c r="U14" t="s">
        <v>50</v>
      </c>
      <c r="V14" t="s">
        <v>50</v>
      </c>
      <c r="W14">
        <v>25</v>
      </c>
      <c r="X14">
        <v>8</v>
      </c>
      <c r="Y14">
        <f>tbl_property_DB[[#This Row],[Est. Rehab Time (m)]]+1</f>
        <v>9</v>
      </c>
      <c r="Z14" s="76">
        <v>0.5</v>
      </c>
      <c r="AA14" s="73">
        <f>IF(tbl_property_DB[[#This Row],[Time To Refinance (m)]]=0,0,tbl_property_DB[[#This Row],[After Repair Value]])*(1+tbl_property_DB[[#This Row],[Annual PV Growth (%)]])^(1*(ROUND((tbl_property_DB[[#This Row],[Time To Refinance (m)]]/12),0)-1))*tbl_property_DB[[#This Row],[Ref. Loan (%) of PV]]</f>
        <v>210000</v>
      </c>
      <c r="AB14" s="2">
        <v>0.115</v>
      </c>
      <c r="AC14" s="77">
        <f>tbl_property_DB[[#This Row],[Ref. Loan Amount]]*0.045</f>
        <v>9450</v>
      </c>
      <c r="AD14" s="16">
        <v>0</v>
      </c>
      <c r="AE14" t="s">
        <v>203</v>
      </c>
      <c r="AF14" t="s">
        <v>50</v>
      </c>
      <c r="AG14" t="s">
        <v>50</v>
      </c>
      <c r="AH14">
        <v>25</v>
      </c>
      <c r="AI14" s="47">
        <f>tbl_property_DB[[#This Row],[Purchase Price]]*0.015</f>
        <v>5700</v>
      </c>
      <c r="AJ14" s="47">
        <v>0</v>
      </c>
      <c r="AK14" s="45">
        <v>0</v>
      </c>
      <c r="AL14" s="45">
        <v>149</v>
      </c>
      <c r="AM14" s="45">
        <v>0</v>
      </c>
      <c r="AN14" s="45">
        <v>98</v>
      </c>
      <c r="AO14" s="45">
        <v>1684</v>
      </c>
      <c r="AP14" s="45">
        <v>149</v>
      </c>
      <c r="AQ14" s="45">
        <v>289</v>
      </c>
      <c r="AR14" s="45">
        <v>0</v>
      </c>
      <c r="AS14"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2369</v>
      </c>
      <c r="AT14" s="64">
        <v>0.08</v>
      </c>
      <c r="AU14" s="73">
        <f>tbl_property_DB[[#This Row],[Total Gross Rent (m)]]*tbl_property_DB[[#This Row],[Vacancy Cost (%)]]</f>
        <v>456</v>
      </c>
      <c r="AV14" s="65">
        <v>0.05</v>
      </c>
      <c r="AW14" s="73">
        <f>tbl_property_DB[[#This Row],[Total Gross Rent (m)]]*tbl_property_DB[[#This Row],[Repairs &amp; Maintenance (%)]]</f>
        <v>285</v>
      </c>
      <c r="AX14" s="65">
        <v>0.05</v>
      </c>
      <c r="AY14" s="73">
        <f>tbl_property_DB[[#This Row],[Total Gross Rent (m)]]*tbl_property_DB[[#This Row],[Capital Expenditures (%)]]</f>
        <v>285</v>
      </c>
      <c r="AZ14" s="65">
        <v>7.0000000000000007E-2</v>
      </c>
      <c r="BA14" s="73">
        <f>tbl_property_DB[[#This Row],[Total Gross Rent (m)]]*tbl_property_DB[[#This Row],[Management Fees (%)]]</f>
        <v>399.00000000000006</v>
      </c>
      <c r="BB14" s="46">
        <f>SUM(tbl_property_DB[[#This Row],[Vacancy Cost]],tbl_property_DB[[#This Row],[Repairs &amp; Maintenance]],tbl_property_DB[[#This Row],[Capital Expenditures]],tbl_property_DB[[#This Row],[Management Fees]])</f>
        <v>1425</v>
      </c>
      <c r="BC14" s="2">
        <v>0.06</v>
      </c>
      <c r="BD14" s="2">
        <v>0.05</v>
      </c>
      <c r="BE14" s="2">
        <v>0.05</v>
      </c>
      <c r="BF14" s="2">
        <v>7.0000000000000007E-2</v>
      </c>
      <c r="BG14" s="46">
        <f>SUM(tbl_property_DB[[#This Row],[Purchase Price]],tbl_property_DB[[#This Row],[Closing Cost]],tbl_property_DB[[#This Row],[Est. Rehab Cost]])</f>
        <v>545200</v>
      </c>
      <c r="BH14"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359100</v>
      </c>
      <c r="BI14" s="46">
        <f>tbl_property_DB[[#This Row],[Acq. Loan Fees Charged]]</f>
        <v>17100</v>
      </c>
      <c r="BJ14" s="73">
        <f>IF(tbl_property_DB[[#This Row],[Total Acq. Loan]]=0,0,(ABS(PMT((tbl_property_DB[[#This Row],[Acq. Loan Interest Rate]]/12),(tbl_property_DB[[#This Row],[Acq. Loan Amortization (y)]]*12),tbl_property_DB[[#This Row],[Total Acq. Loan]]))))</f>
        <v>3782.127894631682</v>
      </c>
      <c r="BK14" s="73">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203200</v>
      </c>
      <c r="BL14" s="46">
        <f>(SUM(tbl_property_DB[[#This Row],[Acq. Monthly P&amp;I]],tbl_property_DB[[#This Row],[Total Fixed Expenses (m)]]))*tbl_property_DB[[#This Row],[Est. Rehab Time (m)]]</f>
        <v>49209.023157053452</v>
      </c>
      <c r="BM14" s="46">
        <f>SUM(tbl_property_DB[[#This Row],[Cash Needed at Purchase]],tbl_property_DB[[#This Row],[Holding Costs]])</f>
        <v>252409.02315705345</v>
      </c>
      <c r="BN14" s="46">
        <f>tbl_property_DB[[#This Row],[Total Gross Rent (m)]]+tbl_property_DB[[#This Row],[Other Income (m)]]</f>
        <v>5700</v>
      </c>
      <c r="BO14" s="46">
        <f>SUM(tbl_property_DB[[#This Row],[Acq. Monthly P&amp;I]],tbl_property_DB[[#This Row],[Total Fixed Expenses (m)]],tbl_property_DB[[#This Row],[Total Variable Expenses (m)]])</f>
        <v>7576.1278946316816</v>
      </c>
      <c r="BP14" s="73">
        <f>tbl_property_DB[[#This Row],[Gross Income (m)]]-tbl_property_DB[[#This Row],[Total Expenses (m)]]</f>
        <v>-1876.1278946316816</v>
      </c>
      <c r="BQ14" s="46">
        <f>(tbl_property_DB[[#This Row],[Gross Income (m)]]-(tbl_property_DB[[#This Row],[Total Expenses (m)]]-tbl_property_DB[[#This Row],[Acq. Monthly P&amp;I]]))*12</f>
        <v>22872.000000000007</v>
      </c>
      <c r="BR14" s="19">
        <f>tbl_property_DB[[#This Row],[Initial NOI]]/tbl_property_DB[[#This Row],[Purchase Price]]</f>
        <v>6.0189473684210543E-2</v>
      </c>
      <c r="BS14" s="19">
        <f>(tbl_property_DB[[#This Row],[Initial NOI]]/(tbl_property_DB[[#This Row],[Purchase Price]]+tbl_property_DB[[#This Row],[Closing Cost]]+tbl_property_DB[[#This Row],[Est. Rehab Cost]]+tbl_property_DB[[#This Row],[Holding Costs]]))</f>
        <v>3.8478554512044849E-2</v>
      </c>
      <c r="BT14" s="19">
        <f>(tbl_property_DB[[#This Row],[Initial Cashflow (m)]]/tbl_property_DB[[#This Row],[Cash Needed at Purchase]])*12</f>
        <v>-0.11079495440738277</v>
      </c>
      <c r="BU14" s="46">
        <f>IF(tbl_property_DB[[#This Row],[Ref. Fees &amp; Points]]="Wrap loan fees/points into the loan", SUM((tbl_property_DB[[#This Row],[Ref. Loan Amount]],tbl_property_DB[[#This Row],[Ref. Loan Fees Charged]],tbl_property_DB[[#This Row],[Ref. Loan Other Charges]])),tbl_property_DB[[#This Row],[Ref. Loan Amount]])</f>
        <v>219450</v>
      </c>
      <c r="BV14" s="46">
        <f>tbl_property_DB[[#This Row],[Ref. Loan Fees Charged]]+tbl_property_DB[[#This Row],[Ref. Loan Other Charges]]</f>
        <v>9450</v>
      </c>
      <c r="BW14" s="73">
        <f>IF(tbl_property_DB[[#This Row],[Time To Refinance (m)]]=0,0,ABS(PMT((tbl_property_DB[[#This Row],[Ref. Interest Rate]]/12),(tbl_property_DB[[#This Row],[Ref. Loan Amortization (y)]]*12),tbl_property_DB[[#This Row],[Ref. Total Loan]])))</f>
        <v>2230.6411436445087</v>
      </c>
      <c r="BX14" s="74">
        <f>tbl_property_DB[[#This Row],[Cash Needed at Purchase]]-(ABS(tbl_property_DB[[#This Row],[Initial Cashflow (m)]]*tbl_property_DB[[#This Row],[Time To Refinance (m)]]))</f>
        <v>186314.84894831487</v>
      </c>
      <c r="BY14" s="73">
        <f>(tbl_property_DB[[#This Row],[Gross Income (m)]])*(1+tbl_property_DB[[#This Row],[Annual Income Growth (%)]])^(1*(ROUND((tbl_property_DB[[#This Row],[Time To Refinance (m)]]/12),0)-1))</f>
        <v>5700</v>
      </c>
      <c r="BZ14" s="73">
        <f>SUM(tbl_property_DB[[#This Row],[Ref. Monthly P&amp;I]],(tbl_property_DB[[#This Row],[Total Fixed Expenses (m)]]+tbl_property_DB[[#This Row],[Total Variable Expenses (m)]])*(1+tbl_property_DB[[#This Row],[Annual Expense Growth (%)]])^(1*(ROUND((tbl_property_DB[[#This Row],[Time To Refinance (m)]]/12),0)-1)))</f>
        <v>6024.6411436445087</v>
      </c>
      <c r="CA14" s="18">
        <f>tbl_property_DB[[#This Row],[Ref. Gross Income (m)]]-tbl_property_DB[[#This Row],[Ref. Total Expenses (m)]]</f>
        <v>-324.6411436445087</v>
      </c>
      <c r="CB14" s="73">
        <f>(tbl_property_DB[[#This Row],[Ref. Gross Income (m)]]-(tbl_property_DB[[#This Row],[Ref. Total Expenses (m)]]))*12</f>
        <v>-3895.6937237341044</v>
      </c>
      <c r="CC14" s="19">
        <f>IFERROR(tbl_property_DB[[#This Row],[Ref. Cashflow (m)]]/tbl_property_DB[[#This Row],[Total Cash In Deal]]*12,"-")</f>
        <v>-2.0909196157600937E-2</v>
      </c>
      <c r="CD14" s="19">
        <f>IFERROR(tbl_property_DB[[#This Row],[Gross Income (m)]]/(tbl_property_DB[[#This Row],[Purchase Price]]+ tbl_property_DB[[#This Row],[Closing Cost]]+tbl_property_DB[[#This Row],[Est. Rehab Cost]]),"-")</f>
        <v>1.045487894350697E-2</v>
      </c>
      <c r="CE14" s="73">
        <f>IF(tbl_property_DB[[#This Row],[Cash Purchase]]="Yes",tbl_property_DB[[#This Row],[After Repair Value]],tbl_property_DB[[#This Row],[After Repair Value]]-tbl_property_DB[[#This Row],[Purchase Price]]+tbl_property_DB[[#This Row],[Down Payment]])</f>
        <v>78000</v>
      </c>
      <c r="CF14" s="18">
        <f>IFERROR((tbl_property_DB[[#This Row],[Purchase Price]]+tbl_property_DB[[#This Row],[Closing Cost]]+tbl_property_DB[[#This Row],[Est. Rehab Cost]])/(tbl_property_DB[[#This Row],[Gross Income (m)]]*12),"-")</f>
        <v>7.9707602339181287</v>
      </c>
      <c r="CG14" s="18">
        <f>IFERROR(IF(tbl_property_DB[[#This Row],[Cash Purchase]]="Yes","No Acq. Loan",tbl_property_DB[[#This Row],[Initial NOI]]/(tbl_property_DB[[#This Row],[Acq. Monthly P&amp;I]]*12)),"-")</f>
        <v>0.50394911359432337</v>
      </c>
      <c r="CH14" s="18">
        <f>IF(tbl_property_DB[[#This Row],[Time To Refinance (m)]]=0,"No Ref. Loan",tbl_property_DB[[#This Row],[Ref. NOI (y)]]/(tbl_property_DB[[#This Row],[Ref. Monthly P&amp;I]]*12))</f>
        <v>-0.14553714503539431</v>
      </c>
      <c r="CI14" s="18" t="str">
        <f>IF(OR(tbl_property_DB[[#This Row],[Ref. Debt Coverage Ratio]]&lt;1,tbl_property_DB[[#This Row],[Acq. Debt Coverage Ratio]]&lt;1,tbl_property_DB[[#This Row],[Ref. Cashflow (m)]]&lt;0,tbl_property_DB[[#This Row],[Initial Cashflow (m)]]&lt;0)=TRUE,"No Deal","Proceed")</f>
        <v>No Deal</v>
      </c>
      <c r="CJ14" s="18">
        <v>500</v>
      </c>
      <c r="CK14" s="18" t="str">
        <f>IF(tbl_property_DB[[#This Row],[Deal Check]]="Proceed",(SUM(tbl_property_DB[[#This Row],[Initial Cashflow (m)]],tbl_property_DB[[#This Row],[Ref. Cashflow (m)]])/2)/tbl_property_DB[[#This Row],[Min. desired cashflow (m)]],"-")</f>
        <v>-</v>
      </c>
      <c r="CL14" s="18" t="str">
        <f>IF(tbl_property_DB[[#This Row],[Deal Check]]="Proceed",(SUM(tbl_property_DB[[#This Row],[Acq. Debt Coverage Ratio]],tbl_property_DB[[#This Row],[Ref. Debt Coverage Ratio]])),"-")</f>
        <v>-</v>
      </c>
      <c r="CM14" s="18" t="str">
        <f>IFERROR(tbl_property_DB[[#This Row],[Debt Coverage Score]]+tbl_property_DB[[#This Row],[Cashflow Score]],"-")</f>
        <v>-</v>
      </c>
      <c r="CN14" s="18" t="str">
        <f>IFERROR(_xlfn.RANK.EQ(tbl_property_DB[[#This Row],[Property Score]],tbl_property_DB[Property Score]),"-")</f>
        <v>-</v>
      </c>
      <c r="CO14" s="18"/>
    </row>
    <row r="15" spans="1:93" x14ac:dyDescent="0.25">
      <c r="A15">
        <v>112636777</v>
      </c>
      <c r="B15" t="s">
        <v>195</v>
      </c>
      <c r="C15" t="s">
        <v>198</v>
      </c>
      <c r="D15" t="str">
        <f>IF(tbl_property_DB[[#This Row],[City]]="pretoria", "city-of-tshwane",IF(tbl_property_DB[[#This Row],[City]]="johannesburg", "city-of-johannesburg", IF(tbl_property_DB[[#This Row],[City]]="cape-town","city-of-cape-town","ERROR")))</f>
        <v>city-of-tshwane</v>
      </c>
      <c r="E15" t="s">
        <v>197</v>
      </c>
      <c r="F15" s="44">
        <v>975000</v>
      </c>
      <c r="G15" t="s">
        <v>199</v>
      </c>
      <c r="H15" s="75">
        <v>2</v>
      </c>
      <c r="I15" s="75">
        <v>1</v>
      </c>
      <c r="J15" s="20">
        <v>3200</v>
      </c>
      <c r="K15" s="44">
        <v>975000</v>
      </c>
      <c r="L15" s="44">
        <v>1050000</v>
      </c>
      <c r="M15" s="45">
        <v>36000</v>
      </c>
      <c r="N15" t="s">
        <v>50</v>
      </c>
      <c r="O15" s="76">
        <v>0.3</v>
      </c>
      <c r="P15" s="72">
        <f>IF(tbl_property_DB[[#This Row],[Cash Purchase]]="Yes",0,(tbl_property_DB[[#This Row],[Purchase Price]]*tbl_property_DB[[#This Row],[Down Payment (%)]]))</f>
        <v>292500</v>
      </c>
      <c r="Q15" s="2">
        <v>0.12</v>
      </c>
      <c r="R15" s="45">
        <f>tbl_property_DB[[#This Row],[Purchase Price]]*0.04</f>
        <v>39000</v>
      </c>
      <c r="S15" s="45">
        <f>IF(tbl_property_DB[[#This Row],[Cash Purchase]]="Yes",0,tbl_property_DB[[#This Row],[Purchase Price]]*0.045)</f>
        <v>43875</v>
      </c>
      <c r="T15" t="s">
        <v>13</v>
      </c>
      <c r="U15" t="s">
        <v>50</v>
      </c>
      <c r="V15" t="s">
        <v>50</v>
      </c>
      <c r="W15">
        <v>20</v>
      </c>
      <c r="X15">
        <v>7</v>
      </c>
      <c r="Y15">
        <f>tbl_property_DB[[#This Row],[Est. Rehab Time (m)]]+1</f>
        <v>8</v>
      </c>
      <c r="Z15" s="76">
        <v>0.5</v>
      </c>
      <c r="AA15" s="73">
        <f>IF(tbl_property_DB[[#This Row],[Time To Refinance (m)]]=0,0,tbl_property_DB[[#This Row],[After Repair Value]])*(1+tbl_property_DB[[#This Row],[Annual PV Growth (%)]])^(1*(ROUND((tbl_property_DB[[#This Row],[Time To Refinance (m)]]/12),0)-1))*tbl_property_DB[[#This Row],[Ref. Loan (%) of PV]]</f>
        <v>525000</v>
      </c>
      <c r="AB15" s="2">
        <v>0.1</v>
      </c>
      <c r="AC15" s="77">
        <f>tbl_property_DB[[#This Row],[Ref. Loan Amount]]*0.045</f>
        <v>23625</v>
      </c>
      <c r="AD15" s="16">
        <v>0</v>
      </c>
      <c r="AE15" t="s">
        <v>13</v>
      </c>
      <c r="AF15" t="s">
        <v>50</v>
      </c>
      <c r="AG15" t="s">
        <v>50</v>
      </c>
      <c r="AH15">
        <v>30</v>
      </c>
      <c r="AI15" s="47">
        <f>tbl_property_DB[[#This Row],[Purchase Price]]*0.015</f>
        <v>14625</v>
      </c>
      <c r="AJ15" s="47">
        <v>0</v>
      </c>
      <c r="AK15" s="45">
        <v>0</v>
      </c>
      <c r="AL15" s="45">
        <v>0</v>
      </c>
      <c r="AM15" s="45">
        <v>0</v>
      </c>
      <c r="AN15" s="45">
        <v>0</v>
      </c>
      <c r="AO15" s="45">
        <v>1399</v>
      </c>
      <c r="AP15" s="45">
        <v>0</v>
      </c>
      <c r="AQ15" s="45">
        <v>249</v>
      </c>
      <c r="AR15" s="45">
        <v>0</v>
      </c>
      <c r="AS15"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1648</v>
      </c>
      <c r="AT15" s="64">
        <v>0.08</v>
      </c>
      <c r="AU15" s="73">
        <f>tbl_property_DB[[#This Row],[Total Gross Rent (m)]]*tbl_property_DB[[#This Row],[Vacancy Cost (%)]]</f>
        <v>1170</v>
      </c>
      <c r="AV15" s="65">
        <v>0.05</v>
      </c>
      <c r="AW15" s="73">
        <f>tbl_property_DB[[#This Row],[Total Gross Rent (m)]]*tbl_property_DB[[#This Row],[Repairs &amp; Maintenance (%)]]</f>
        <v>731.25</v>
      </c>
      <c r="AX15" s="65">
        <v>0.05</v>
      </c>
      <c r="AY15" s="73">
        <f>tbl_property_DB[[#This Row],[Total Gross Rent (m)]]*tbl_property_DB[[#This Row],[Capital Expenditures (%)]]</f>
        <v>731.25</v>
      </c>
      <c r="AZ15" s="65">
        <v>7.0000000000000007E-2</v>
      </c>
      <c r="BA15" s="73">
        <f>tbl_property_DB[[#This Row],[Total Gross Rent (m)]]*tbl_property_DB[[#This Row],[Management Fees (%)]]</f>
        <v>1023.7500000000001</v>
      </c>
      <c r="BB15" s="46">
        <f>SUM(tbl_property_DB[[#This Row],[Vacancy Cost]],tbl_property_DB[[#This Row],[Repairs &amp; Maintenance]],tbl_property_DB[[#This Row],[Capital Expenditures]],tbl_property_DB[[#This Row],[Management Fees]])</f>
        <v>3656.25</v>
      </c>
      <c r="BC15" s="2">
        <v>0.06</v>
      </c>
      <c r="BD15" s="2">
        <v>0.05</v>
      </c>
      <c r="BE15" s="2">
        <v>0.05</v>
      </c>
      <c r="BF15" s="2">
        <v>7.0000000000000007E-2</v>
      </c>
      <c r="BG15" s="46">
        <f>SUM(tbl_property_DB[[#This Row],[Purchase Price]],tbl_property_DB[[#This Row],[Closing Cost]],tbl_property_DB[[#This Row],[Est. Rehab Cost]])</f>
        <v>1050000</v>
      </c>
      <c r="BH15"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682500</v>
      </c>
      <c r="BI15" s="46">
        <f>tbl_property_DB[[#This Row],[Acq. Loan Fees Charged]]</f>
        <v>43875</v>
      </c>
      <c r="BJ15" s="73">
        <f>IF(tbl_property_DB[[#This Row],[Total Acq. Loan]]=0,0,(ABS(PMT((tbl_property_DB[[#This Row],[Acq. Loan Interest Rate]]/12),(tbl_property_DB[[#This Row],[Acq. Loan Amortization (y)]]*12),tbl_property_DB[[#This Row],[Total Acq. Loan]]))))</f>
        <v>7514.9128616125881</v>
      </c>
      <c r="BK15" s="73">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411375</v>
      </c>
      <c r="BL15" s="46">
        <f>(SUM(tbl_property_DB[[#This Row],[Acq. Monthly P&amp;I]],tbl_property_DB[[#This Row],[Total Fixed Expenses (m)]]))*tbl_property_DB[[#This Row],[Est. Rehab Time (m)]]</f>
        <v>64140.390031288123</v>
      </c>
      <c r="BM15" s="46">
        <f>SUM(tbl_property_DB[[#This Row],[Cash Needed at Purchase]],tbl_property_DB[[#This Row],[Holding Costs]])</f>
        <v>475515.39003128815</v>
      </c>
      <c r="BN15" s="46">
        <f>tbl_property_DB[[#This Row],[Total Gross Rent (m)]]+tbl_property_DB[[#This Row],[Other Income (m)]]</f>
        <v>14625</v>
      </c>
      <c r="BO15" s="46">
        <f>SUM(tbl_property_DB[[#This Row],[Acq. Monthly P&amp;I]],tbl_property_DB[[#This Row],[Total Fixed Expenses (m)]],tbl_property_DB[[#This Row],[Total Variable Expenses (m)]])</f>
        <v>12819.162861612589</v>
      </c>
      <c r="BP15" s="73">
        <f>tbl_property_DB[[#This Row],[Gross Income (m)]]-tbl_property_DB[[#This Row],[Total Expenses (m)]]</f>
        <v>1805.837138387411</v>
      </c>
      <c r="BQ15" s="46">
        <f>(tbl_property_DB[[#This Row],[Gross Income (m)]]-(tbl_property_DB[[#This Row],[Total Expenses (m)]]-tbl_property_DB[[#This Row],[Acq. Monthly P&amp;I]]))*12</f>
        <v>111849</v>
      </c>
      <c r="BR15" s="19">
        <f>tbl_property_DB[[#This Row],[Initial NOI]]/tbl_property_DB[[#This Row],[Purchase Price]]</f>
        <v>0.11471692307692308</v>
      </c>
      <c r="BS15" s="19">
        <f>(tbl_property_DB[[#This Row],[Initial NOI]]/(tbl_property_DB[[#This Row],[Purchase Price]]+tbl_property_DB[[#This Row],[Closing Cost]]+tbl_property_DB[[#This Row],[Est. Rehab Cost]]+tbl_property_DB[[#This Row],[Holding Costs]]))</f>
        <v>0.10039040052830234</v>
      </c>
      <c r="BT15" s="19">
        <f>(tbl_property_DB[[#This Row],[Initial Cashflow (m)]]/tbl_property_DB[[#This Row],[Cash Needed at Purchase]])*12</f>
        <v>5.2677108868183373E-2</v>
      </c>
      <c r="BU15" s="46">
        <f>IF(tbl_property_DB[[#This Row],[Ref. Fees &amp; Points]]="Wrap loan fees/points into the loan", SUM((tbl_property_DB[[#This Row],[Ref. Loan Amount]],tbl_property_DB[[#This Row],[Ref. Loan Fees Charged]],tbl_property_DB[[#This Row],[Ref. Loan Other Charges]])),tbl_property_DB[[#This Row],[Ref. Loan Amount]])</f>
        <v>525000</v>
      </c>
      <c r="BV15" s="46">
        <f>tbl_property_DB[[#This Row],[Ref. Loan Fees Charged]]+tbl_property_DB[[#This Row],[Ref. Loan Other Charges]]</f>
        <v>23625</v>
      </c>
      <c r="BW15" s="73">
        <f>IF(tbl_property_DB[[#This Row],[Time To Refinance (m)]]=0,0,ABS(PMT((tbl_property_DB[[#This Row],[Ref. Interest Rate]]/12),(tbl_property_DB[[#This Row],[Ref. Loan Amortization (y)]]*12),tbl_property_DB[[#This Row],[Ref. Total Loan]])))</f>
        <v>4607.2507429661937</v>
      </c>
      <c r="BX15" s="74">
        <f>tbl_property_DB[[#This Row],[Cash Needed at Purchase]]-(ABS(tbl_property_DB[[#This Row],[Initial Cashflow (m)]]*tbl_property_DB[[#This Row],[Time To Refinance (m)]]))</f>
        <v>396928.30289290071</v>
      </c>
      <c r="BY15" s="73">
        <f>(tbl_property_DB[[#This Row],[Gross Income (m)]])*(1+tbl_property_DB[[#This Row],[Annual Income Growth (%)]])^(1*(ROUND((tbl_property_DB[[#This Row],[Time To Refinance (m)]]/12),0)-1))</f>
        <v>14625</v>
      </c>
      <c r="BZ15" s="73">
        <f>SUM(tbl_property_DB[[#This Row],[Ref. Monthly P&amp;I]],(tbl_property_DB[[#This Row],[Total Fixed Expenses (m)]]+tbl_property_DB[[#This Row],[Total Variable Expenses (m)]])*(1+tbl_property_DB[[#This Row],[Annual Expense Growth (%)]])^(1*(ROUND((tbl_property_DB[[#This Row],[Time To Refinance (m)]]/12),0)-1)))</f>
        <v>9911.5007429661928</v>
      </c>
      <c r="CA15" s="18">
        <f>tbl_property_DB[[#This Row],[Ref. Gross Income (m)]]-tbl_property_DB[[#This Row],[Ref. Total Expenses (m)]]</f>
        <v>4713.4992570338072</v>
      </c>
      <c r="CB15" s="73">
        <f>(tbl_property_DB[[#This Row],[Ref. Gross Income (m)]]-(tbl_property_DB[[#This Row],[Ref. Total Expenses (m)]]))*12</f>
        <v>56561.991084405687</v>
      </c>
      <c r="CC15" s="19">
        <f>IFERROR(tbl_property_DB[[#This Row],[Ref. Cashflow (m)]]/tbl_property_DB[[#This Row],[Total Cash In Deal]]*12,"-")</f>
        <v>0.1424992641546835</v>
      </c>
      <c r="CD15" s="19">
        <f>IFERROR(tbl_property_DB[[#This Row],[Gross Income (m)]]/(tbl_property_DB[[#This Row],[Purchase Price]]+ tbl_property_DB[[#This Row],[Closing Cost]]+tbl_property_DB[[#This Row],[Est. Rehab Cost]]),"-")</f>
        <v>1.3928571428571429E-2</v>
      </c>
      <c r="CE15" s="73">
        <f>IF(tbl_property_DB[[#This Row],[Cash Purchase]]="Yes",tbl_property_DB[[#This Row],[After Repair Value]],tbl_property_DB[[#This Row],[After Repair Value]]-tbl_property_DB[[#This Row],[Purchase Price]]+tbl_property_DB[[#This Row],[Down Payment]])</f>
        <v>367500</v>
      </c>
      <c r="CF15" s="18">
        <f>IFERROR((tbl_property_DB[[#This Row],[Purchase Price]]+tbl_property_DB[[#This Row],[Closing Cost]]+tbl_property_DB[[#This Row],[Est. Rehab Cost]])/(tbl_property_DB[[#This Row],[Gross Income (m)]]*12),"-")</f>
        <v>5.982905982905983</v>
      </c>
      <c r="CG15" s="18">
        <f>IFERROR(IF(tbl_property_DB[[#This Row],[Cash Purchase]]="Yes","No Acq. Loan",tbl_property_DB[[#This Row],[Initial NOI]]/(tbl_property_DB[[#This Row],[Acq. Monthly P&amp;I]]*12)),"-")</f>
        <v>1.2403004760856144</v>
      </c>
      <c r="CH15" s="18">
        <f>IF(tbl_property_DB[[#This Row],[Time To Refinance (m)]]=0,"No Ref. Loan",tbl_property_DB[[#This Row],[Ref. NOI (y)]]/(tbl_property_DB[[#This Row],[Ref. Monthly P&amp;I]]*12))</f>
        <v>1.0230611529511002</v>
      </c>
      <c r="CI15" s="18" t="str">
        <f>IF(OR(tbl_property_DB[[#This Row],[Ref. Debt Coverage Ratio]]&lt;1,tbl_property_DB[[#This Row],[Acq. Debt Coverage Ratio]]&lt;1,tbl_property_DB[[#This Row],[Ref. Cashflow (m)]]&lt;0,tbl_property_DB[[#This Row],[Initial Cashflow (m)]]&lt;0)=TRUE,"No Deal","Proceed")</f>
        <v>Proceed</v>
      </c>
      <c r="CJ15" s="18">
        <v>500</v>
      </c>
      <c r="CK15" s="18">
        <f>IF(tbl_property_DB[[#This Row],[Deal Check]]="Proceed",(SUM(tbl_property_DB[[#This Row],[Initial Cashflow (m)]],tbl_property_DB[[#This Row],[Ref. Cashflow (m)]])/2)/tbl_property_DB[[#This Row],[Min. desired cashflow (m)]],"-")</f>
        <v>6.5193363954212185</v>
      </c>
      <c r="CL15" s="18">
        <f>IF(tbl_property_DB[[#This Row],[Deal Check]]="Proceed",(SUM(tbl_property_DB[[#This Row],[Acq. Debt Coverage Ratio]],tbl_property_DB[[#This Row],[Ref. Debt Coverage Ratio]])),"-")</f>
        <v>2.2633616290367149</v>
      </c>
      <c r="CM15" s="18">
        <f>IFERROR(tbl_property_DB[[#This Row],[Debt Coverage Score]]+tbl_property_DB[[#This Row],[Cashflow Score]],"-")</f>
        <v>8.7826980244579325</v>
      </c>
      <c r="CN15" s="18">
        <f>IFERROR(_xlfn.RANK.EQ(tbl_property_DB[[#This Row],[Property Score]],tbl_property_DB[Property Score]),"-")</f>
        <v>1</v>
      </c>
      <c r="CO15" s="18" t="s">
        <v>156</v>
      </c>
    </row>
    <row r="16" spans="1:93" x14ac:dyDescent="0.25">
      <c r="A16">
        <v>112637698</v>
      </c>
      <c r="B16" t="s">
        <v>191</v>
      </c>
      <c r="C16" t="s">
        <v>198</v>
      </c>
      <c r="D16" t="str">
        <f>IF(tbl_property_DB[[#This Row],[City]]="pretoria", "city-of-tshwane",IF(tbl_property_DB[[#This Row],[City]]="johannesburg", "city-of-johannesburg", IF(tbl_property_DB[[#This Row],[City]]="cape-town","city-of-cape-town","ERROR")))</f>
        <v>city-of-tshwane</v>
      </c>
      <c r="E16" t="s">
        <v>197</v>
      </c>
      <c r="F16" s="44">
        <v>898000</v>
      </c>
      <c r="G16" t="s">
        <v>199</v>
      </c>
      <c r="H16" s="75">
        <v>2</v>
      </c>
      <c r="I16" s="75">
        <v>1</v>
      </c>
      <c r="J16" s="20">
        <v>3100</v>
      </c>
      <c r="K16" s="44">
        <v>898000</v>
      </c>
      <c r="L16" s="44">
        <v>920000</v>
      </c>
      <c r="M16" s="45">
        <v>49000</v>
      </c>
      <c r="N16" t="s">
        <v>50</v>
      </c>
      <c r="O16" s="76">
        <v>0.1</v>
      </c>
      <c r="P16" s="72">
        <f>IF(tbl_property_DB[[#This Row],[Cash Purchase]]="Yes",0,(tbl_property_DB[[#This Row],[Purchase Price]]*tbl_property_DB[[#This Row],[Down Payment (%)]]))</f>
        <v>89800</v>
      </c>
      <c r="Q16" s="2">
        <v>0.12</v>
      </c>
      <c r="R16" s="45">
        <f>tbl_property_DB[[#This Row],[Purchase Price]]*0.04</f>
        <v>35920</v>
      </c>
      <c r="S16" s="45">
        <f>IF(tbl_property_DB[[#This Row],[Cash Purchase]]="Yes",0,tbl_property_DB[[#This Row],[Purchase Price]]*0.045)</f>
        <v>40410</v>
      </c>
      <c r="T16" t="s">
        <v>203</v>
      </c>
      <c r="U16" t="s">
        <v>50</v>
      </c>
      <c r="V16" t="s">
        <v>50</v>
      </c>
      <c r="W16">
        <v>20</v>
      </c>
      <c r="X16">
        <v>5</v>
      </c>
      <c r="Y16">
        <f>tbl_property_DB[[#This Row],[Est. Rehab Time (m)]]+1</f>
        <v>6</v>
      </c>
      <c r="Z16" s="76">
        <v>0.7</v>
      </c>
      <c r="AA16" s="73">
        <f>IF(tbl_property_DB[[#This Row],[Time To Refinance (m)]]=0,0,tbl_property_DB[[#This Row],[After Repair Value]])*(1+tbl_property_DB[[#This Row],[Annual PV Growth (%)]])^(1*(ROUND((tbl_property_DB[[#This Row],[Time To Refinance (m)]]/12),0)-1))*tbl_property_DB[[#This Row],[Ref. Loan (%) of PV]]</f>
        <v>644000</v>
      </c>
      <c r="AB16" s="2">
        <v>0.12</v>
      </c>
      <c r="AC16" s="77">
        <f>tbl_property_DB[[#This Row],[Ref. Loan Amount]]*0.045</f>
        <v>28980</v>
      </c>
      <c r="AD16" s="16">
        <v>0</v>
      </c>
      <c r="AE16" t="s">
        <v>203</v>
      </c>
      <c r="AF16" t="s">
        <v>50</v>
      </c>
      <c r="AG16" t="s">
        <v>50</v>
      </c>
      <c r="AH16">
        <v>25</v>
      </c>
      <c r="AI16" s="47">
        <f>tbl_property_DB[[#This Row],[Purchase Price]]*0.015</f>
        <v>13470</v>
      </c>
      <c r="AJ16" s="47">
        <v>0</v>
      </c>
      <c r="AK16" s="45">
        <v>0</v>
      </c>
      <c r="AL16" s="45">
        <v>0</v>
      </c>
      <c r="AM16" s="45">
        <v>0</v>
      </c>
      <c r="AN16" s="45">
        <v>0</v>
      </c>
      <c r="AO16" s="45">
        <f>tbl_property_DB[[#This Row],[Total Gross Rent (m)]]*0.3</f>
        <v>4041</v>
      </c>
      <c r="AP16" s="45">
        <v>0</v>
      </c>
      <c r="AQ16" s="45">
        <v>245</v>
      </c>
      <c r="AR16" s="45">
        <v>0</v>
      </c>
      <c r="AS16" s="46">
        <f>SUM(tbl_property_DB[[#This Row],[Electricity (m)]],tbl_property_DB[[#This Row],[Water &amp; Sewerage (m)]],tbl_property_DB[[#This Row],[PMI (m)]],tbl_property_DB[[#This Row],[Refuse (m)]],tbl_property_DB[[#This Row],[HOAs (m)]],tbl_property_DB[[#This Row],[Insurance (m)]],tbl_property_DB[[#This Row],[Property Taxes (m)]],tbl_property_DB[[#This Row],[Other Expenses (m)]])</f>
        <v>4286</v>
      </c>
      <c r="AT16" s="64">
        <v>0.08</v>
      </c>
      <c r="AU16" s="73">
        <f>tbl_property_DB[[#This Row],[Total Gross Rent (m)]]*tbl_property_DB[[#This Row],[Vacancy Cost (%)]]</f>
        <v>1077.5999999999999</v>
      </c>
      <c r="AV16" s="65">
        <v>0.05</v>
      </c>
      <c r="AW16" s="73">
        <f>tbl_property_DB[[#This Row],[Total Gross Rent (m)]]*tbl_property_DB[[#This Row],[Repairs &amp; Maintenance (%)]]</f>
        <v>673.5</v>
      </c>
      <c r="AX16" s="65">
        <v>0.05</v>
      </c>
      <c r="AY16" s="73">
        <f>tbl_property_DB[[#This Row],[Total Gross Rent (m)]]*tbl_property_DB[[#This Row],[Capital Expenditures (%)]]</f>
        <v>673.5</v>
      </c>
      <c r="AZ16" s="65">
        <v>7.0000000000000007E-2</v>
      </c>
      <c r="BA16" s="73">
        <f>tbl_property_DB[[#This Row],[Total Gross Rent (m)]]*tbl_property_DB[[#This Row],[Management Fees (%)]]</f>
        <v>942.90000000000009</v>
      </c>
      <c r="BB16" s="46">
        <f>SUM(tbl_property_DB[[#This Row],[Vacancy Cost]],tbl_property_DB[[#This Row],[Repairs &amp; Maintenance]],tbl_property_DB[[#This Row],[Capital Expenditures]],tbl_property_DB[[#This Row],[Management Fees]])</f>
        <v>3367.5</v>
      </c>
      <c r="BC16" s="2">
        <v>0.06</v>
      </c>
      <c r="BD16" s="2">
        <v>0.05</v>
      </c>
      <c r="BE16" s="2">
        <v>0.05</v>
      </c>
      <c r="BF16" s="2">
        <v>7.0000000000000007E-2</v>
      </c>
      <c r="BG16" s="46">
        <f>SUM(tbl_property_DB[[#This Row],[Purchase Price]],tbl_property_DB[[#This Row],[Closing Cost]],tbl_property_DB[[#This Row],[Est. Rehab Cost]])</f>
        <v>982920</v>
      </c>
      <c r="BH16" s="73">
        <f>IF(tbl_property_DB[Cash Purchase]="Yes",0,IF(tbl_property_DB[[#This Row],[Acq. Loan Fees Structure]]="Wrap loan fees/points into the loan", SUM((tbl_property_DB[[#This Row],[Purchase Price]]-tbl_property_DB[[#This Row],[Down Payment]]),tbl_property_DB[[#This Row],[Acq. Loan Fees Charged]]),(tbl_property_DB[[#This Row],[Purchase Price]]-tbl_property_DB[[#This Row],[Down Payment]])))</f>
        <v>848610</v>
      </c>
      <c r="BI16" s="46">
        <f>tbl_property_DB[[#This Row],[Acq. Loan Fees Charged]]</f>
        <v>40410</v>
      </c>
      <c r="BJ16" s="73">
        <f>IF(tbl_property_DB[[#This Row],[Total Acq. Loan]]=0,0,(ABS(PMT((tbl_property_DB[[#This Row],[Acq. Loan Interest Rate]]/12),(tbl_property_DB[[#This Row],[Acq. Loan Amortization (y)]]*12),tbl_property_DB[[#This Row],[Total Acq. Loan]]))))</f>
        <v>9343.9270380850667</v>
      </c>
      <c r="BK16" s="73">
        <f>IF(tbl_property_DB[[#This Row],[Cash Purchase]]="Yes",SUM(tbl_property_DB[[#This Row],[Purchase Price]],tbl_property_DB[[#This Row],[Closing Cost]]),IF(tbl_property_DB[[#This Row],[Acq. Loan Fees Structure]]="Wrap loan fees/points into the loan",SUM(tbl_property_DB[[#This Row],[Down Payment]],tbl_property_DB[[#This Row],[Closing Cost]],tbl_property_DB[[#This Row],[Est. Rehab Cost]]),SUM(tbl_property_DB[[#This Row],[Down Payment]],tbl_property_DB[[#This Row],[Closing Cost]],tbl_property_DB[[#This Row],[Est. Rehab Cost]],tbl_property_DB[[#This Row],[Acq. Loan Total Fees]])))</f>
        <v>174720</v>
      </c>
      <c r="BL16" s="46">
        <f>(SUM(tbl_property_DB[[#This Row],[Acq. Monthly P&amp;I]],tbl_property_DB[[#This Row],[Total Fixed Expenses (m)]]))*tbl_property_DB[[#This Row],[Est. Rehab Time (m)]]</f>
        <v>68149.635190425339</v>
      </c>
      <c r="BM16" s="46">
        <f>SUM(tbl_property_DB[[#This Row],[Cash Needed at Purchase]],tbl_property_DB[[#This Row],[Holding Costs]])</f>
        <v>242869.63519042532</v>
      </c>
      <c r="BN16" s="46">
        <f>tbl_property_DB[[#This Row],[Total Gross Rent (m)]]+tbl_property_DB[[#This Row],[Other Income (m)]]</f>
        <v>13470</v>
      </c>
      <c r="BO16" s="46">
        <f>SUM(tbl_property_DB[[#This Row],[Acq. Monthly P&amp;I]],tbl_property_DB[[#This Row],[Total Fixed Expenses (m)]],tbl_property_DB[[#This Row],[Total Variable Expenses (m)]])</f>
        <v>16997.427038085065</v>
      </c>
      <c r="BP16" s="73">
        <f>tbl_property_DB[[#This Row],[Gross Income (m)]]-tbl_property_DB[[#This Row],[Total Expenses (m)]]</f>
        <v>-3527.4270380850649</v>
      </c>
      <c r="BQ16" s="46">
        <f>(tbl_property_DB[[#This Row],[Gross Income (m)]]-(tbl_property_DB[[#This Row],[Total Expenses (m)]]-tbl_property_DB[[#This Row],[Acq. Monthly P&amp;I]]))*12</f>
        <v>69798.000000000029</v>
      </c>
      <c r="BR16" s="19">
        <f>tbl_property_DB[[#This Row],[Initial NOI]]/tbl_property_DB[[#This Row],[Purchase Price]]</f>
        <v>7.7726057906458826E-2</v>
      </c>
      <c r="BS16" s="19">
        <f>(tbl_property_DB[[#This Row],[Initial NOI]]/(tbl_property_DB[[#This Row],[Purchase Price]]+tbl_property_DB[[#This Row],[Closing Cost]]+tbl_property_DB[[#This Row],[Est. Rehab Cost]]+tbl_property_DB[[#This Row],[Holding Costs]]))</f>
        <v>6.6406637260864751E-2</v>
      </c>
      <c r="BT16" s="19">
        <f>(tbl_property_DB[[#This Row],[Initial Cashflow (m)]]/tbl_property_DB[[#This Row],[Cash Needed at Purchase]])*12</f>
        <v>-0.24226834052782037</v>
      </c>
      <c r="BU16" s="46">
        <f>IF(tbl_property_DB[[#This Row],[Ref. Fees &amp; Points]]="Wrap loan fees/points into the loan", SUM((tbl_property_DB[[#This Row],[Ref. Loan Amount]],tbl_property_DB[[#This Row],[Ref. Loan Fees Charged]],tbl_property_DB[[#This Row],[Ref. Loan Other Charges]])),tbl_property_DB[[#This Row],[Ref. Loan Amount]])</f>
        <v>672980</v>
      </c>
      <c r="BV16" s="46">
        <f>tbl_property_DB[[#This Row],[Ref. Loan Fees Charged]]+tbl_property_DB[[#This Row],[Ref. Loan Other Charges]]</f>
        <v>28980</v>
      </c>
      <c r="BW16" s="73">
        <f>IF(tbl_property_DB[[#This Row],[Time To Refinance (m)]]=0,0,ABS(PMT((tbl_property_DB[[#This Row],[Ref. Interest Rate]]/12),(tbl_property_DB[[#This Row],[Ref. Loan Amortization (y)]]*12),tbl_property_DB[[#This Row],[Ref. Total Loan]])))</f>
        <v>7087.987832161597</v>
      </c>
      <c r="BX16" s="74">
        <f>tbl_property_DB[[#This Row],[Cash Needed at Purchase]]-(ABS(tbl_property_DB[[#This Row],[Initial Cashflow (m)]]*tbl_property_DB[[#This Row],[Time To Refinance (m)]]))</f>
        <v>153555.43777148961</v>
      </c>
      <c r="BY16" s="73">
        <f>(tbl_property_DB[[#This Row],[Gross Income (m)]])*(1+tbl_property_DB[[#This Row],[Annual Income Growth (%)]])^(1*(ROUND((tbl_property_DB[[#This Row],[Time To Refinance (m)]]/12),0)-1))</f>
        <v>13470</v>
      </c>
      <c r="BZ16" s="73">
        <f>SUM(tbl_property_DB[[#This Row],[Ref. Monthly P&amp;I]],(tbl_property_DB[[#This Row],[Total Fixed Expenses (m)]]+tbl_property_DB[[#This Row],[Total Variable Expenses (m)]])*(1+tbl_property_DB[[#This Row],[Annual Expense Growth (%)]])^(1*(ROUND((tbl_property_DB[[#This Row],[Time To Refinance (m)]]/12),0)-1)))</f>
        <v>14741.487832161598</v>
      </c>
      <c r="CA16" s="18">
        <f>tbl_property_DB[[#This Row],[Ref. Gross Income (m)]]-tbl_property_DB[[#This Row],[Ref. Total Expenses (m)]]</f>
        <v>-1271.4878321615979</v>
      </c>
      <c r="CB16" s="73">
        <f>(tbl_property_DB[[#This Row],[Ref. Gross Income (m)]]-(tbl_property_DB[[#This Row],[Ref. Total Expenses (m)]]))*12</f>
        <v>-15257.853985939175</v>
      </c>
      <c r="CC16" s="19">
        <f>IFERROR(tbl_property_DB[[#This Row],[Ref. Cashflow (m)]]/tbl_property_DB[[#This Row],[Total Cash In Deal]]*12,"-")</f>
        <v>-9.9363814185759014E-2</v>
      </c>
      <c r="CD16" s="19">
        <f>IFERROR(tbl_property_DB[[#This Row],[Gross Income (m)]]/(tbl_property_DB[[#This Row],[Purchase Price]]+ tbl_property_DB[[#This Row],[Closing Cost]]+tbl_property_DB[[#This Row],[Est. Rehab Cost]]),"-")</f>
        <v>1.3704065437675498E-2</v>
      </c>
      <c r="CE16" s="73">
        <f>IF(tbl_property_DB[[#This Row],[Cash Purchase]]="Yes",tbl_property_DB[[#This Row],[After Repair Value]],tbl_property_DB[[#This Row],[After Repair Value]]-tbl_property_DB[[#This Row],[Purchase Price]]+tbl_property_DB[[#This Row],[Down Payment]])</f>
        <v>111800</v>
      </c>
      <c r="CF16" s="18">
        <f>IFERROR((tbl_property_DB[[#This Row],[Purchase Price]]+tbl_property_DB[[#This Row],[Closing Cost]]+tbl_property_DB[[#This Row],[Est. Rehab Cost]])/(tbl_property_DB[[#This Row],[Gross Income (m)]]*12),"-")</f>
        <v>6.0809205642167781</v>
      </c>
      <c r="CG16" s="18">
        <f>IFERROR(IF(tbl_property_DB[[#This Row],[Cash Purchase]]="Yes","No Acq. Loan",tbl_property_DB[[#This Row],[Initial NOI]]/(tbl_property_DB[[#This Row],[Acq. Monthly P&amp;I]]*12)),"-")</f>
        <v>0.62248987778826115</v>
      </c>
      <c r="CH16" s="18">
        <f>IF(tbl_property_DB[[#This Row],[Time To Refinance (m)]]=0,"No Ref. Loan",tbl_property_DB[[#This Row],[Ref. NOI (y)]]/(tbl_property_DB[[#This Row],[Ref. Monthly P&amp;I]]*12))</f>
        <v>-0.17938628878456145</v>
      </c>
      <c r="CI16" s="18" t="str">
        <f>IF(OR(tbl_property_DB[[#This Row],[Ref. Debt Coverage Ratio]]&lt;1,tbl_property_DB[[#This Row],[Acq. Debt Coverage Ratio]]&lt;1,tbl_property_DB[[#This Row],[Ref. Cashflow (m)]]&lt;0,tbl_property_DB[[#This Row],[Initial Cashflow (m)]]&lt;0)=TRUE,"No Deal","Proceed")</f>
        <v>No Deal</v>
      </c>
      <c r="CJ16" s="18">
        <v>500</v>
      </c>
      <c r="CK16" s="18" t="str">
        <f>IF(tbl_property_DB[[#This Row],[Deal Check]]="Proceed",(SUM(tbl_property_DB[[#This Row],[Initial Cashflow (m)]],tbl_property_DB[[#This Row],[Ref. Cashflow (m)]])/2)/tbl_property_DB[[#This Row],[Min. desired cashflow (m)]],"-")</f>
        <v>-</v>
      </c>
      <c r="CL16" s="18" t="str">
        <f>IF(tbl_property_DB[[#This Row],[Deal Check]]="Proceed",(SUM(tbl_property_DB[[#This Row],[Acq. Debt Coverage Ratio]],tbl_property_DB[[#This Row],[Ref. Debt Coverage Ratio]])),"-")</f>
        <v>-</v>
      </c>
      <c r="CM16" s="18" t="str">
        <f>IFERROR(tbl_property_DB[[#This Row],[Debt Coverage Score]]+tbl_property_DB[[#This Row],[Cashflow Score]],"-")</f>
        <v>-</v>
      </c>
      <c r="CN16" s="18" t="str">
        <f>IFERROR(_xlfn.RANK.EQ(tbl_property_DB[[#This Row],[Property Score]],tbl_property_DB[Property Score]),"-")</f>
        <v>-</v>
      </c>
      <c r="CO16" s="18"/>
    </row>
  </sheetData>
  <conditionalFormatting sqref="CA6:CA16 BP6:BP16">
    <cfRule type="cellIs" dxfId="6" priority="2" operator="lessThan">
      <formula>0</formula>
    </cfRule>
  </conditionalFormatting>
  <dataValidations disablePrompts="1" count="6">
    <dataValidation type="list" allowBlank="1" showInputMessage="1" showErrorMessage="1" sqref="T6:T16 AE6:AE16">
      <formula1>"Wrap loan fees/points into the loan, Pay loan fees/points out of pocket"</formula1>
    </dataValidation>
    <dataValidation type="list" allowBlank="1" showInputMessage="1" showErrorMessage="1" sqref="N6:N16 U6:V16 AF6:AG16">
      <formula1>"Yes, No"</formula1>
    </dataValidation>
    <dataValidation type="list" allowBlank="1" showInputMessage="1" showErrorMessage="1" sqref="O6:O16">
      <formula1>"0%,5%,10%,15%,20%,25%,30%"</formula1>
    </dataValidation>
    <dataValidation type="decimal" operator="lessThanOrEqual" allowBlank="1" showInputMessage="1" showErrorMessage="1" error="Max Loan is Generally 70%" sqref="Z6:Z16">
      <formula1>0.7</formula1>
    </dataValidation>
    <dataValidation type="list" allowBlank="1" showInputMessage="1" showErrorMessage="1" sqref="CO6:CO16">
      <formula1>"Yes,No"</formula1>
    </dataValidation>
    <dataValidation type="list" allowBlank="1" showInputMessage="1" showErrorMessage="1" sqref="G6:G16">
      <formula1>"House, Apartment / Flat, Townhouse"</formula1>
    </dataValidation>
  </dataValidation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B1:AR65"/>
  <sheetViews>
    <sheetView showGridLines="0" zoomScale="85" zoomScaleNormal="85" workbookViewId="0">
      <selection activeCell="H19" sqref="H19"/>
    </sheetView>
  </sheetViews>
  <sheetFormatPr defaultRowHeight="15" x14ac:dyDescent="0.25"/>
  <cols>
    <col min="1" max="1" width="5.7109375" customWidth="1"/>
    <col min="2" max="2" width="23.140625" customWidth="1"/>
    <col min="3" max="3" width="15.28515625" bestFit="1" customWidth="1"/>
    <col min="4" max="4" width="10.7109375" customWidth="1"/>
    <col min="5" max="5" width="23" bestFit="1" customWidth="1"/>
    <col min="6" max="6" width="13.7109375" bestFit="1" customWidth="1"/>
    <col min="7" max="7" width="8.5703125" customWidth="1"/>
    <col min="8" max="8" width="20.7109375" customWidth="1"/>
    <col min="9" max="9" width="13.140625" bestFit="1" customWidth="1"/>
    <col min="10" max="10" width="10.85546875" customWidth="1"/>
    <col min="11" max="12" width="5.7109375" customWidth="1"/>
    <col min="13" max="13" width="23.42578125" customWidth="1"/>
    <col min="14" max="16" width="13.28515625" customWidth="1"/>
    <col min="17" max="17" width="10.85546875" hidden="1" customWidth="1"/>
    <col min="18" max="18" width="13.28515625" customWidth="1"/>
    <col min="19" max="22" width="10.85546875" hidden="1" customWidth="1"/>
    <col min="23" max="23" width="13.28515625" customWidth="1"/>
    <col min="24" max="32" width="10.85546875" hidden="1" customWidth="1"/>
    <col min="33" max="33" width="13.28515625" customWidth="1"/>
    <col min="34" max="40" width="10.85546875" hidden="1" customWidth="1"/>
    <col min="41" max="42" width="12.28515625" hidden="1" customWidth="1"/>
    <col min="43" max="43" width="13.28515625" customWidth="1"/>
    <col min="45" max="45" width="5.7109375" customWidth="1"/>
  </cols>
  <sheetData>
    <row r="1" spans="2:44" ht="15" customHeight="1" x14ac:dyDescent="0.25"/>
    <row r="2" spans="2:44" ht="18.75" x14ac:dyDescent="0.3">
      <c r="B2" s="40" t="str">
        <f>"Property Report | " &amp; C4</f>
        <v>Property Report | 112636777</v>
      </c>
      <c r="C2" s="41"/>
      <c r="D2" s="41"/>
      <c r="E2" s="41"/>
      <c r="F2" s="41"/>
      <c r="G2" s="41"/>
      <c r="H2" s="41"/>
      <c r="I2" s="41"/>
      <c r="J2" s="41"/>
      <c r="M2" s="40" t="str">
        <f>"Property Report | " &amp; C4</f>
        <v>Property Report | 112636777</v>
      </c>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row>
    <row r="3" spans="2:44" ht="15" customHeight="1" x14ac:dyDescent="0.25"/>
    <row r="4" spans="2:44" ht="15" customHeight="1" thickBot="1" x14ac:dyDescent="0.3">
      <c r="B4" s="22" t="s">
        <v>183</v>
      </c>
      <c r="C4" s="23">
        <v>112636777</v>
      </c>
      <c r="F4" s="43"/>
      <c r="M4" s="22" t="s">
        <v>32</v>
      </c>
      <c r="N4" s="22"/>
    </row>
    <row r="5" spans="2:44" ht="15" customHeight="1" thickTop="1" x14ac:dyDescent="0.25">
      <c r="B5" s="24"/>
      <c r="C5" s="24"/>
      <c r="E5" s="1"/>
      <c r="F5" s="43"/>
    </row>
    <row r="6" spans="2:44" ht="15" customHeight="1" x14ac:dyDescent="0.25">
      <c r="B6" s="25" t="str">
        <f>tbl_property_DB[[#Headers],[Purchase Price]]</f>
        <v>Purchase Price</v>
      </c>
      <c r="C6" s="49">
        <f>INDEX(tbl_property_DB[],MATCH($C$4,tbl_property_DB[Listing Number],0),MATCH(B6,tbl_property_DB[#Headers],0))</f>
        <v>975000</v>
      </c>
      <c r="F6" s="43"/>
      <c r="M6" s="25" t="str">
        <f>tbl_property_DB[[#Headers],[2% Rule]]</f>
        <v>2% Rule</v>
      </c>
      <c r="N6" s="53">
        <f>INDEX(tbl_property_DB[],MATCH($C$4,tbl_property_DB[Listing Number],0),MATCH(M6,tbl_property_DB[#Headers],0))</f>
        <v>1.3928571428571429E-2</v>
      </c>
      <c r="O6" s="25"/>
    </row>
    <row r="7" spans="2:44" ht="15" customHeight="1" x14ac:dyDescent="0.25">
      <c r="B7" s="25" t="str">
        <f>tbl_property_DB[[#Headers],[Closing Cost]]</f>
        <v>Closing Cost</v>
      </c>
      <c r="C7" s="49">
        <f>INDEX(tbl_property_DB[],MATCH($C$4,tbl_property_DB[Listing Number],0),MATCH(B7,tbl_property_DB[#Headers],0))</f>
        <v>39000</v>
      </c>
      <c r="E7" s="42"/>
      <c r="F7" s="43"/>
      <c r="M7" s="25" t="str">
        <f>tbl_property_DB[[#Headers],[Total Initial Equity]]</f>
        <v>Total Initial Equity</v>
      </c>
      <c r="N7" s="49">
        <f>INDEX(tbl_property_DB[],MATCH($C$4,tbl_property_DB[Listing Number],0),MATCH(M7,tbl_property_DB[#Headers],0))</f>
        <v>367500</v>
      </c>
      <c r="O7" s="25"/>
    </row>
    <row r="8" spans="2:44" ht="15" customHeight="1" x14ac:dyDescent="0.25">
      <c r="B8" s="25" t="str">
        <f>tbl_property_DB[[#Headers],[Est. Rehab Cost]]</f>
        <v>Est. Rehab Cost</v>
      </c>
      <c r="C8" s="49">
        <f>INDEX(tbl_property_DB[],MATCH($C$4,tbl_property_DB[Listing Number],0),MATCH(B8,tbl_property_DB[#Headers],0))</f>
        <v>36000</v>
      </c>
      <c r="F8" s="43"/>
      <c r="M8" s="25" t="str">
        <f>tbl_property_DB[[#Headers],[Gross Rent Multiplier]]</f>
        <v>Gross Rent Multiplier</v>
      </c>
      <c r="N8" s="55">
        <f>INDEX(tbl_property_DB[],MATCH($C$4,tbl_property_DB[Listing Number],0),MATCH(M8,tbl_property_DB[#Headers],0))</f>
        <v>5.982905982905983</v>
      </c>
      <c r="O8" s="25"/>
    </row>
    <row r="9" spans="2:44" ht="15" customHeight="1" x14ac:dyDescent="0.25">
      <c r="B9" s="25" t="str">
        <f>tbl_property_DB[[#Headers],[Total Project Cost]]</f>
        <v>Total Project Cost</v>
      </c>
      <c r="C9" s="49">
        <f>INDEX(tbl_property_DB[],MATCH($C$4,tbl_property_DB[Listing Number],0),MATCH(B9,tbl_property_DB[#Headers],0))</f>
        <v>1050000</v>
      </c>
      <c r="E9" s="42"/>
      <c r="F9" s="43"/>
      <c r="M9" s="25" t="str">
        <f>tbl_property_DB[[#Headers],[Acq. Debt Coverage Ratio]]</f>
        <v>Acq. Debt Coverage Ratio</v>
      </c>
      <c r="N9" s="55">
        <f>INDEX(tbl_property_DB[],MATCH($C$4,tbl_property_DB[Listing Number],0),MATCH(M9,tbl_property_DB[#Headers],0))</f>
        <v>1.2403004760856144</v>
      </c>
      <c r="O9" s="25"/>
    </row>
    <row r="10" spans="2:44" ht="15" customHeight="1" x14ac:dyDescent="0.25">
      <c r="B10" s="25" t="str">
        <f>tbl_property_DB[[#Headers],[After Repair Value]]</f>
        <v>After Repair Value</v>
      </c>
      <c r="C10" s="49">
        <f>INDEX(tbl_property_DB[],MATCH($C$4,tbl_property_DB[Listing Number],0),MATCH(B10,tbl_property_DB[#Headers],0))</f>
        <v>1050000</v>
      </c>
      <c r="F10" s="43"/>
      <c r="M10" s="25" t="str">
        <f>tbl_property_DB[[#Headers],[Ref. Debt Coverage Ratio]]</f>
        <v>Ref. Debt Coverage Ratio</v>
      </c>
      <c r="N10" s="55">
        <f>INDEX(tbl_property_DB[],MATCH($C$4,tbl_property_DB[Listing Number],0),MATCH(M10,tbl_property_DB[#Headers],0))</f>
        <v>1.0230611529511002</v>
      </c>
      <c r="O10" s="25"/>
      <c r="P10" s="25"/>
      <c r="Q10" s="25"/>
      <c r="R10" s="25"/>
      <c r="S10" s="25"/>
      <c r="T10" s="25"/>
    </row>
    <row r="11" spans="2:44" ht="15" customHeight="1" x14ac:dyDescent="0.25">
      <c r="B11" s="25"/>
      <c r="C11" s="49"/>
      <c r="N11" s="51"/>
    </row>
    <row r="12" spans="2:44" ht="15" customHeight="1" thickBot="1" x14ac:dyDescent="0.3">
      <c r="B12" s="22" t="s">
        <v>69</v>
      </c>
      <c r="C12" s="50"/>
      <c r="E12" s="22" t="s">
        <v>26</v>
      </c>
      <c r="F12" s="22"/>
      <c r="G12" s="22"/>
      <c r="H12" s="22"/>
      <c r="I12" s="22"/>
      <c r="M12" s="22" t="s">
        <v>36</v>
      </c>
      <c r="N12" s="54"/>
    </row>
    <row r="13" spans="2:44" ht="15" customHeight="1" thickTop="1" x14ac:dyDescent="0.25">
      <c r="C13" s="51"/>
      <c r="L13" s="25"/>
      <c r="N13" s="51"/>
    </row>
    <row r="14" spans="2:44" ht="15" customHeight="1" x14ac:dyDescent="0.25">
      <c r="B14" s="25" t="str">
        <f>tbl_property_DB[[#Headers],[Down Payment]]</f>
        <v>Down Payment</v>
      </c>
      <c r="C14" s="49">
        <f>INDEX(tbl_property_DB[],MATCH($C$4,tbl_property_DB[Listing Number],0),MATCH(B14,tbl_property_DB[#Headers],0))</f>
        <v>292500</v>
      </c>
      <c r="E14" s="25" t="str">
        <f>tbl_property_DB[[#Headers],[Holding Costs]]</f>
        <v>Holding Costs</v>
      </c>
      <c r="F14" s="49">
        <f>INDEX(tbl_property_DB[],MATCH($C$4,tbl_property_DB[Listing Number],0),MATCH(E14,tbl_property_DB[#Headers],0))</f>
        <v>64140.390031288123</v>
      </c>
      <c r="H14" s="25" t="str">
        <f>tbl_property_DB[[#Headers],[Insurance (m)]]</f>
        <v>Insurance (m)</v>
      </c>
      <c r="I14" s="49">
        <f>INDEX(tbl_property_DB[],MATCH($C$4,tbl_property_DB[Listing Number],0),MATCH(H14,tbl_property_DB[#Headers],0))</f>
        <v>0</v>
      </c>
      <c r="L14" s="25"/>
      <c r="M14" s="25" t="str">
        <f>tbl_property_DB[[#Headers],[Annual Expense Growth (%)]]</f>
        <v>Annual Expense Growth (%)</v>
      </c>
      <c r="N14" s="53">
        <f>INDEX(tbl_property_DB[],MATCH($C$4,tbl_property_DB[Listing Number],0),MATCH(M14,tbl_property_DB[#Headers],0))</f>
        <v>0.05</v>
      </c>
    </row>
    <row r="15" spans="2:44" ht="15" customHeight="1" x14ac:dyDescent="0.25">
      <c r="B15" s="25" t="str">
        <f>tbl_property_DB[[#Headers],[Total Acq. Loan]]</f>
        <v>Total Acq. Loan</v>
      </c>
      <c r="C15" s="49">
        <f>INDEX(tbl_property_DB[],MATCH($C$4,tbl_property_DB[Listing Number],0),MATCH(B15,tbl_property_DB[#Headers],0))</f>
        <v>682500</v>
      </c>
      <c r="E15" s="25" t="str">
        <f>tbl_property_DB[[#Headers],[Total Cash Outlay]]</f>
        <v>Total Cash Outlay</v>
      </c>
      <c r="F15" s="49">
        <f>INDEX(tbl_property_DB[],MATCH($C$4,tbl_property_DB[Listing Number],0),MATCH(E15,tbl_property_DB[#Headers],0))</f>
        <v>475515.39003128815</v>
      </c>
      <c r="H15" s="25" t="str">
        <f>tbl_property_DB[[#Headers],[Property Taxes (m)]]</f>
        <v>Property Taxes (m)</v>
      </c>
      <c r="I15" s="49">
        <f>INDEX(tbl_property_DB[],MATCH($C$4,tbl_property_DB[Listing Number],0),MATCH(H15,tbl_property_DB[#Headers],0))</f>
        <v>249</v>
      </c>
      <c r="L15" s="25"/>
      <c r="M15" s="25" t="str">
        <f>tbl_property_DB[[#Headers],[Annual Income Growth (%)]]</f>
        <v>Annual Income Growth (%)</v>
      </c>
      <c r="N15" s="53">
        <f>INDEX(tbl_property_DB[],MATCH($C$4,tbl_property_DB[Listing Number],0),MATCH(M15,tbl_property_DB[#Headers],0))</f>
        <v>0.06</v>
      </c>
    </row>
    <row r="16" spans="2:44" ht="15" customHeight="1" x14ac:dyDescent="0.25">
      <c r="B16" s="25" t="str">
        <f>tbl_property_DB[[#Headers],[Acq. Loan Total Fees]]</f>
        <v>Acq. Loan Total Fees</v>
      </c>
      <c r="C16" s="49">
        <f>INDEX(tbl_property_DB[],MATCH($C$4,tbl_property_DB[Listing Number],0),MATCH(B16,tbl_property_DB[#Headers],0))</f>
        <v>43875</v>
      </c>
      <c r="E16" s="25" t="str">
        <f>tbl_property_DB[[#Headers],[Est. Rehab Time (m)]]</f>
        <v>Est. Rehab Time (m)</v>
      </c>
      <c r="F16" s="52">
        <f>INDEX(tbl_property_DB[],MATCH($C$4,tbl_property_DB[Listing Number],0),MATCH(E16,tbl_property_DB[#Headers],0))</f>
        <v>7</v>
      </c>
      <c r="G16" s="25"/>
      <c r="H16" s="25" t="str">
        <f>tbl_property_DB[[#Headers],[Other Expenses (m)]]</f>
        <v>Other Expenses (m)</v>
      </c>
      <c r="I16" s="49">
        <f>INDEX(tbl_property_DB[],MATCH($C$4,tbl_property_DB[Listing Number],0),MATCH(H16,tbl_property_DB[#Headers],0))</f>
        <v>0</v>
      </c>
      <c r="L16" s="25"/>
      <c r="M16" s="25" t="str">
        <f>tbl_property_DB[[#Headers],[Annual PV Growth (%)]]</f>
        <v>Annual PV Growth (%)</v>
      </c>
      <c r="N16" s="53">
        <f>INDEX(tbl_property_DB[],MATCH($C$4,tbl_property_DB[Listing Number],0),MATCH(M16,tbl_property_DB[#Headers],0))</f>
        <v>0.05</v>
      </c>
      <c r="O16" s="25"/>
      <c r="P16" s="25"/>
      <c r="Q16" s="25"/>
    </row>
    <row r="17" spans="2:43" ht="15" customHeight="1" x14ac:dyDescent="0.25">
      <c r="B17" s="25" t="str">
        <f>tbl_property_DB[[#Headers],[Acq. Loan Amortization (y)]]</f>
        <v>Acq. Loan Amortization (y)</v>
      </c>
      <c r="C17" s="52">
        <f>INDEX(tbl_property_DB[],MATCH($C$4,tbl_property_DB[Listing Number],0),MATCH(B17,tbl_property_DB[#Headers],0))</f>
        <v>20</v>
      </c>
      <c r="F17" s="51"/>
      <c r="G17" s="25"/>
      <c r="I17" s="51"/>
      <c r="L17" s="25"/>
      <c r="N17" s="25"/>
      <c r="O17" s="25"/>
      <c r="P17" s="25"/>
      <c r="Q17" s="25"/>
    </row>
    <row r="18" spans="2:43" ht="15" customHeight="1" x14ac:dyDescent="0.25">
      <c r="B18" s="25" t="str">
        <f>tbl_property_DB[[#Headers],[Acq. Loan Interest Rate]]</f>
        <v>Acq. Loan Interest Rate</v>
      </c>
      <c r="C18" s="53">
        <f>INDEX(tbl_property_DB[],MATCH($C$4,tbl_property_DB[Listing Number],0),MATCH(B18,tbl_property_DB[#Headers],0))</f>
        <v>0.12</v>
      </c>
      <c r="F18" s="51"/>
      <c r="I18" s="51"/>
      <c r="L18" s="25"/>
      <c r="N18" s="25"/>
      <c r="O18" s="25"/>
      <c r="P18" s="25"/>
      <c r="Q18" s="25"/>
    </row>
    <row r="19" spans="2:43" ht="15" customHeight="1" x14ac:dyDescent="0.25">
      <c r="B19" s="25" t="str">
        <f>tbl_property_DB[[#Headers],[Acq. Monthly P&amp;I]]</f>
        <v>Acq. Monthly P&amp;I</v>
      </c>
      <c r="C19" s="49">
        <f>INDEX(tbl_property_DB[],MATCH($C$4,tbl_property_DB[Listing Number],0),MATCH(B19,tbl_property_DB[#Headers],0))</f>
        <v>7514.9128616125881</v>
      </c>
      <c r="F19" s="51"/>
      <c r="G19" s="25"/>
      <c r="I19" s="51"/>
      <c r="L19" s="25"/>
      <c r="M19" s="25"/>
      <c r="O19" s="29"/>
      <c r="P19" s="29"/>
      <c r="R19" s="21"/>
      <c r="S19" s="21"/>
      <c r="T19" s="21"/>
    </row>
    <row r="20" spans="2:43" ht="15" customHeight="1" x14ac:dyDescent="0.25">
      <c r="B20" s="25" t="str">
        <f>tbl_property_DB[[#Headers],[Cash Needed at Purchase]]</f>
        <v>Cash Needed at Purchase</v>
      </c>
      <c r="C20" s="49">
        <f>INDEX(tbl_property_DB[],MATCH($C$4,tbl_property_DB[Listing Number],0),MATCH(B20,tbl_property_DB[#Headers],0))</f>
        <v>411375</v>
      </c>
      <c r="F20" s="51"/>
      <c r="G20" s="25"/>
      <c r="I20" s="51"/>
      <c r="L20" s="25"/>
      <c r="M20" s="39" t="s">
        <v>99</v>
      </c>
      <c r="N20" s="38" t="s">
        <v>126</v>
      </c>
      <c r="O20" s="38" t="s">
        <v>127</v>
      </c>
      <c r="P20" s="38" t="s">
        <v>128</v>
      </c>
      <c r="Q20" s="38" t="s">
        <v>129</v>
      </c>
      <c r="R20" s="38" t="s">
        <v>130</v>
      </c>
      <c r="S20" s="38" t="s">
        <v>131</v>
      </c>
      <c r="T20" s="38" t="s">
        <v>132</v>
      </c>
      <c r="U20" s="38" t="s">
        <v>133</v>
      </c>
      <c r="V20" s="38" t="s">
        <v>134</v>
      </c>
      <c r="W20" s="38" t="s">
        <v>135</v>
      </c>
      <c r="X20" s="38" t="s">
        <v>136</v>
      </c>
      <c r="Y20" s="38" t="s">
        <v>137</v>
      </c>
      <c r="Z20" s="38" t="s">
        <v>138</v>
      </c>
      <c r="AA20" s="38" t="s">
        <v>139</v>
      </c>
      <c r="AB20" s="38" t="s">
        <v>140</v>
      </c>
      <c r="AC20" s="38" t="s">
        <v>141</v>
      </c>
      <c r="AD20" s="38" t="s">
        <v>142</v>
      </c>
      <c r="AE20" s="38" t="s">
        <v>143</v>
      </c>
      <c r="AF20" s="38" t="s">
        <v>144</v>
      </c>
      <c r="AG20" s="38" t="s">
        <v>145</v>
      </c>
      <c r="AH20" s="38" t="s">
        <v>146</v>
      </c>
      <c r="AI20" s="38" t="s">
        <v>147</v>
      </c>
      <c r="AJ20" s="38" t="s">
        <v>148</v>
      </c>
      <c r="AK20" s="38" t="s">
        <v>149</v>
      </c>
      <c r="AL20" s="38" t="s">
        <v>150</v>
      </c>
      <c r="AM20" s="38" t="s">
        <v>151</v>
      </c>
      <c r="AN20" s="38" t="s">
        <v>152</v>
      </c>
      <c r="AO20" s="38" t="s">
        <v>153</v>
      </c>
      <c r="AP20" s="38" t="s">
        <v>154</v>
      </c>
      <c r="AQ20" s="38" t="s">
        <v>155</v>
      </c>
    </row>
    <row r="21" spans="2:43" ht="15" customHeight="1" x14ac:dyDescent="0.25">
      <c r="B21" s="25"/>
      <c r="C21" s="49"/>
      <c r="F21" s="51"/>
      <c r="I21" s="51"/>
      <c r="M21" s="25" t="s">
        <v>37</v>
      </c>
      <c r="N21" s="56">
        <f>Gross_Income__m*(12-Est._Rehab_Time__m)</f>
        <v>73125</v>
      </c>
      <c r="O21" s="56">
        <f t="shared" ref="O21:T21" si="0">(Gross_Income__m*12)*(1+$N$15)^(1*(O20-1))</f>
        <v>186030</v>
      </c>
      <c r="P21" s="56">
        <f t="shared" si="0"/>
        <v>197191.80000000002</v>
      </c>
      <c r="Q21" s="56">
        <f t="shared" si="0"/>
        <v>209023.30800000005</v>
      </c>
      <c r="R21" s="56">
        <f t="shared" si="0"/>
        <v>221564.70648000005</v>
      </c>
      <c r="S21" s="56">
        <f t="shared" si="0"/>
        <v>234858.58886880009</v>
      </c>
      <c r="T21" s="56">
        <f t="shared" si="0"/>
        <v>248950.10420092809</v>
      </c>
      <c r="U21" s="56">
        <f t="shared" ref="U21" si="1">(Gross_Income__m*12)*(1+$N$15)^(1*(U20-1))</f>
        <v>263887.11045298382</v>
      </c>
      <c r="V21" s="56">
        <f t="shared" ref="V21" si="2">(Gross_Income__m*12)*(1+$N$15)^(1*(V20-1))</f>
        <v>279720.33708016283</v>
      </c>
      <c r="W21" s="56">
        <f t="shared" ref="W21" si="3">(Gross_Income__m*12)*(1+$N$15)^(1*(W20-1))</f>
        <v>296503.55730497261</v>
      </c>
      <c r="X21" s="56">
        <f t="shared" ref="X21" si="4">(Gross_Income__m*12)*(1+$N$15)^(1*(X20-1))</f>
        <v>314293.77074327099</v>
      </c>
      <c r="Y21" s="56">
        <f t="shared" ref="Y21" si="5">(Gross_Income__m*12)*(1+$N$15)^(1*(Y20-1))</f>
        <v>333151.39698786731</v>
      </c>
      <c r="Z21" s="56">
        <f t="shared" ref="Z21" si="6">(Gross_Income__m*12)*(1+$N$15)^(1*(Z20-1))</f>
        <v>353140.48080713936</v>
      </c>
      <c r="AA21" s="56">
        <f t="shared" ref="AA21" si="7">(Gross_Income__m*12)*(1+$N$15)^(1*(AA20-1))</f>
        <v>374328.90965556772</v>
      </c>
      <c r="AB21" s="56">
        <f t="shared" ref="AB21" si="8">(Gross_Income__m*12)*(1+$N$15)^(1*(AB20-1))</f>
        <v>396788.64423490182</v>
      </c>
      <c r="AC21" s="56">
        <f t="shared" ref="AC21" si="9">(Gross_Income__m*12)*(1+$N$15)^(1*(AC20-1))</f>
        <v>420595.962888996</v>
      </c>
      <c r="AD21" s="56">
        <f t="shared" ref="AD21" si="10">(Gross_Income__m*12)*(1+$N$15)^(1*(AD20-1))</f>
        <v>445831.72066233569</v>
      </c>
      <c r="AE21" s="56">
        <f t="shared" ref="AE21" si="11">(Gross_Income__m*12)*(1+$N$15)^(1*(AE20-1))</f>
        <v>472581.62390207587</v>
      </c>
      <c r="AF21" s="56">
        <f t="shared" ref="AF21" si="12">(Gross_Income__m*12)*(1+$N$15)^(1*(AF20-1))</f>
        <v>500936.52133620041</v>
      </c>
      <c r="AG21" s="56">
        <f t="shared" ref="AG21" si="13">(Gross_Income__m*12)*(1+$N$15)^(1*(AG20-1))</f>
        <v>530992.7126163725</v>
      </c>
      <c r="AH21" s="56">
        <f t="shared" ref="AH21" si="14">(Gross_Income__m*12)*(1+$N$15)^(1*(AH20-1))</f>
        <v>562852.27537335479</v>
      </c>
      <c r="AI21" s="56">
        <f t="shared" ref="AI21" si="15">(Gross_Income__m*12)*(1+$N$15)^(1*(AI20-1))</f>
        <v>596623.41189575626</v>
      </c>
      <c r="AJ21" s="56">
        <f t="shared" ref="AJ21" si="16">(Gross_Income__m*12)*(1+$N$15)^(1*(AJ20-1))</f>
        <v>632420.81660950161</v>
      </c>
      <c r="AK21" s="56">
        <f t="shared" ref="AK21" si="17">(Gross_Income__m*12)*(1+$N$15)^(1*(AK20-1))</f>
        <v>670366.06560607185</v>
      </c>
      <c r="AL21" s="56">
        <f t="shared" ref="AL21" si="18">(Gross_Income__m*12)*(1+$N$15)^(1*(AL20-1))</f>
        <v>710588.02954243601</v>
      </c>
      <c r="AM21" s="56">
        <f t="shared" ref="AM21" si="19">(Gross_Income__m*12)*(1+$N$15)^(1*(AM20-1))</f>
        <v>753223.31131498213</v>
      </c>
      <c r="AN21" s="56">
        <f t="shared" ref="AN21" si="20">(Gross_Income__m*12)*(1+$N$15)^(1*(AN20-1))</f>
        <v>798416.70999388117</v>
      </c>
      <c r="AO21" s="56">
        <f t="shared" ref="AO21" si="21">(Gross_Income__m*12)*(1+$N$15)^(1*(AO20-1))</f>
        <v>846321.71259351424</v>
      </c>
      <c r="AP21" s="56">
        <f t="shared" ref="AP21" si="22">(Gross_Income__m*12)*(1+$N$15)^(1*(AP20-1))</f>
        <v>897101.01534912502</v>
      </c>
      <c r="AQ21" s="56">
        <f t="shared" ref="AQ21" si="23">(Gross_Income__m*12)*(1+$N$15)^(1*(AQ20-1))</f>
        <v>950927.0762700726</v>
      </c>
    </row>
    <row r="22" spans="2:43" ht="15" customHeight="1" thickBot="1" x14ac:dyDescent="0.3">
      <c r="B22" s="22" t="s">
        <v>70</v>
      </c>
      <c r="C22" s="50"/>
      <c r="E22" s="22" t="s">
        <v>72</v>
      </c>
      <c r="F22" s="54"/>
      <c r="H22" s="22" t="s">
        <v>71</v>
      </c>
      <c r="I22" s="54"/>
      <c r="L22" s="25"/>
      <c r="M22" s="25" t="s">
        <v>38</v>
      </c>
      <c r="N22" s="56">
        <f>N23+N24</f>
        <v>118938.00891559434</v>
      </c>
      <c r="O22" s="56">
        <f>O23+O24</f>
        <v>122120.55891559435</v>
      </c>
      <c r="P22" s="56">
        <f>P23+P24</f>
        <v>125462.23641559435</v>
      </c>
      <c r="Q22" s="56">
        <f t="shared" ref="Q22:AQ22" si="24">Q23+Q24</f>
        <v>128970.99779059435</v>
      </c>
      <c r="R22" s="56">
        <f>R23+R24</f>
        <v>132655.19723434438</v>
      </c>
      <c r="S22" s="56">
        <f t="shared" si="24"/>
        <v>136523.60665028187</v>
      </c>
      <c r="T22" s="56">
        <f t="shared" si="24"/>
        <v>140585.43653701624</v>
      </c>
      <c r="U22" s="56">
        <f t="shared" si="24"/>
        <v>144850.35791808733</v>
      </c>
      <c r="V22" s="56">
        <f t="shared" si="24"/>
        <v>149328.52536821202</v>
      </c>
      <c r="W22" s="56">
        <f t="shared" si="24"/>
        <v>154030.60119084289</v>
      </c>
      <c r="X22" s="56">
        <f t="shared" si="24"/>
        <v>158967.78080460534</v>
      </c>
      <c r="Y22" s="56">
        <f t="shared" si="24"/>
        <v>164151.81939905588</v>
      </c>
      <c r="Z22" s="56">
        <f t="shared" si="24"/>
        <v>169595.05992322898</v>
      </c>
      <c r="AA22" s="56">
        <f t="shared" si="24"/>
        <v>175310.46247361071</v>
      </c>
      <c r="AB22" s="56">
        <f t="shared" si="24"/>
        <v>181311.63515151152</v>
      </c>
      <c r="AC22" s="56">
        <f t="shared" si="24"/>
        <v>187612.86646330741</v>
      </c>
      <c r="AD22" s="56">
        <f t="shared" si="24"/>
        <v>194229.15934069303</v>
      </c>
      <c r="AE22" s="56">
        <f t="shared" si="24"/>
        <v>201176.26686194801</v>
      </c>
      <c r="AF22" s="56">
        <f t="shared" si="24"/>
        <v>208470.72975926567</v>
      </c>
      <c r="AG22" s="56">
        <f t="shared" si="24"/>
        <v>216129.91580144927</v>
      </c>
      <c r="AH22" s="56">
        <f t="shared" si="24"/>
        <v>224172.06114574202</v>
      </c>
      <c r="AI22" s="56">
        <f t="shared" si="24"/>
        <v>232616.31375724939</v>
      </c>
      <c r="AJ22" s="56">
        <f t="shared" si="24"/>
        <v>241482.77899933216</v>
      </c>
      <c r="AK22" s="56">
        <f t="shared" si="24"/>
        <v>250792.56750351907</v>
      </c>
      <c r="AL22" s="56">
        <f t="shared" si="24"/>
        <v>260567.84543291532</v>
      </c>
      <c r="AM22" s="56">
        <f t="shared" si="24"/>
        <v>270831.88725878135</v>
      </c>
      <c r="AN22" s="56">
        <f t="shared" si="24"/>
        <v>281609.13117594074</v>
      </c>
      <c r="AO22" s="56">
        <f t="shared" si="24"/>
        <v>292925.23728895804</v>
      </c>
      <c r="AP22" s="56">
        <f t="shared" si="24"/>
        <v>304807.14870762627</v>
      </c>
      <c r="AQ22" s="56">
        <f t="shared" si="24"/>
        <v>317283.15569722786</v>
      </c>
    </row>
    <row r="23" spans="2:43" ht="15" customHeight="1" thickTop="1" x14ac:dyDescent="0.25">
      <c r="C23" s="51"/>
      <c r="F23" s="51"/>
      <c r="I23" s="51"/>
      <c r="L23" s="25"/>
      <c r="M23" s="28" t="s">
        <v>39</v>
      </c>
      <c r="N23" s="56">
        <f>(Total_Expenses__m-Acq._Monthly_P_I)*12</f>
        <v>63651.000000000015</v>
      </c>
      <c r="O23" s="56">
        <f>N23*(1+$N$14)</f>
        <v>66833.550000000017</v>
      </c>
      <c r="P23" s="56">
        <f t="shared" ref="P23:AQ23" si="25">O23*(1+$N$14)</f>
        <v>70175.227500000023</v>
      </c>
      <c r="Q23" s="56">
        <f t="shared" si="25"/>
        <v>73683.988875000025</v>
      </c>
      <c r="R23" s="56">
        <f t="shared" si="25"/>
        <v>77368.188318750035</v>
      </c>
      <c r="S23" s="56">
        <f t="shared" si="25"/>
        <v>81236.597734687544</v>
      </c>
      <c r="T23" s="56">
        <f t="shared" si="25"/>
        <v>85298.427621421928</v>
      </c>
      <c r="U23" s="56">
        <f t="shared" si="25"/>
        <v>89563.349002493022</v>
      </c>
      <c r="V23" s="56">
        <f t="shared" si="25"/>
        <v>94041.516452617681</v>
      </c>
      <c r="W23" s="56">
        <f t="shared" si="25"/>
        <v>98743.592275248564</v>
      </c>
      <c r="X23" s="56">
        <f t="shared" si="25"/>
        <v>103680.771889011</v>
      </c>
      <c r="Y23" s="56">
        <f t="shared" si="25"/>
        <v>108864.81048346155</v>
      </c>
      <c r="Z23" s="56">
        <f t="shared" si="25"/>
        <v>114308.05100763464</v>
      </c>
      <c r="AA23" s="56">
        <f t="shared" si="25"/>
        <v>120023.45355801638</v>
      </c>
      <c r="AB23" s="56">
        <f t="shared" si="25"/>
        <v>126024.62623591721</v>
      </c>
      <c r="AC23" s="56">
        <f t="shared" si="25"/>
        <v>132325.85754771307</v>
      </c>
      <c r="AD23" s="56">
        <f t="shared" si="25"/>
        <v>138942.15042509872</v>
      </c>
      <c r="AE23" s="56">
        <f t="shared" si="25"/>
        <v>145889.25794635367</v>
      </c>
      <c r="AF23" s="56">
        <f t="shared" si="25"/>
        <v>153183.72084367136</v>
      </c>
      <c r="AG23" s="56">
        <f t="shared" si="25"/>
        <v>160842.90688585493</v>
      </c>
      <c r="AH23" s="56">
        <f t="shared" si="25"/>
        <v>168885.05223014767</v>
      </c>
      <c r="AI23" s="56">
        <f t="shared" si="25"/>
        <v>177329.30484165507</v>
      </c>
      <c r="AJ23" s="56">
        <f t="shared" si="25"/>
        <v>186195.77008373782</v>
      </c>
      <c r="AK23" s="56">
        <f t="shared" si="25"/>
        <v>195505.55858792472</v>
      </c>
      <c r="AL23" s="56">
        <f t="shared" si="25"/>
        <v>205280.83651732097</v>
      </c>
      <c r="AM23" s="56">
        <f t="shared" si="25"/>
        <v>215544.87834318704</v>
      </c>
      <c r="AN23" s="56">
        <f t="shared" si="25"/>
        <v>226322.1222603464</v>
      </c>
      <c r="AO23" s="56">
        <f t="shared" si="25"/>
        <v>237638.22837336373</v>
      </c>
      <c r="AP23" s="56">
        <f t="shared" si="25"/>
        <v>249520.13979203193</v>
      </c>
      <c r="AQ23" s="56">
        <f t="shared" si="25"/>
        <v>261996.14678163355</v>
      </c>
    </row>
    <row r="24" spans="2:43" ht="15" customHeight="1" x14ac:dyDescent="0.25">
      <c r="B24" s="25" t="str">
        <f>tbl_property_DB[[#Headers],[Time To Refinance (m)]]</f>
        <v>Time To Refinance (m)</v>
      </c>
      <c r="C24" s="58">
        <f>INDEX(tbl_property_DB[],MATCH($C$4,tbl_property_DB[Listing Number],0),MATCH(B24,tbl_property_DB[#Headers],0))</f>
        <v>8</v>
      </c>
      <c r="E24" s="25" t="str">
        <f>tbl_property_DB[[#Headers],[Gross Income (m)]]</f>
        <v>Gross Income (m)</v>
      </c>
      <c r="F24" s="49">
        <f>INDEX(tbl_property_DB[],MATCH($C$4,tbl_property_DB[Listing Number],0),MATCH(E24,tbl_property_DB[#Headers],0))</f>
        <v>14625</v>
      </c>
      <c r="H24" s="25" t="str">
        <f>tbl_property_DB[[#Headers],[Ref. Gross Income (m)]]</f>
        <v>Ref. Gross Income (m)</v>
      </c>
      <c r="I24" s="49">
        <f>INDEX(tbl_property_DB[],MATCH($C$4,tbl_property_DB[Listing Number],0),MATCH(H24,tbl_property_DB[#Headers],0))</f>
        <v>14625</v>
      </c>
      <c r="K24" s="25"/>
      <c r="L24" s="25"/>
      <c r="M24" s="28" t="s">
        <v>40</v>
      </c>
      <c r="N24" s="56">
        <f t="shared" ref="N24:AQ24" si="26">IF(Time_To_Refinance__m=0,Acq._Monthly_P_I*12,IF((N20*12)&gt;Time_To_Refinance__m,Ref._Monthly_P_I*12,Acq._Monthly_P_I*12))</f>
        <v>55287.008915594328</v>
      </c>
      <c r="O24" s="56">
        <f t="shared" si="26"/>
        <v>55287.008915594328</v>
      </c>
      <c r="P24" s="56">
        <f t="shared" si="26"/>
        <v>55287.008915594328</v>
      </c>
      <c r="Q24" s="56">
        <f t="shared" si="26"/>
        <v>55287.008915594328</v>
      </c>
      <c r="R24" s="56">
        <f t="shared" si="26"/>
        <v>55287.008915594328</v>
      </c>
      <c r="S24" s="56">
        <f t="shared" si="26"/>
        <v>55287.008915594328</v>
      </c>
      <c r="T24" s="56">
        <f t="shared" si="26"/>
        <v>55287.008915594328</v>
      </c>
      <c r="U24" s="56">
        <f t="shared" si="26"/>
        <v>55287.008915594328</v>
      </c>
      <c r="V24" s="56">
        <f t="shared" si="26"/>
        <v>55287.008915594328</v>
      </c>
      <c r="W24" s="56">
        <f t="shared" si="26"/>
        <v>55287.008915594328</v>
      </c>
      <c r="X24" s="56">
        <f t="shared" si="26"/>
        <v>55287.008915594328</v>
      </c>
      <c r="Y24" s="56">
        <f t="shared" si="26"/>
        <v>55287.008915594328</v>
      </c>
      <c r="Z24" s="56">
        <f t="shared" si="26"/>
        <v>55287.008915594328</v>
      </c>
      <c r="AA24" s="56">
        <f t="shared" si="26"/>
        <v>55287.008915594328</v>
      </c>
      <c r="AB24" s="56">
        <f t="shared" si="26"/>
        <v>55287.008915594328</v>
      </c>
      <c r="AC24" s="56">
        <f t="shared" si="26"/>
        <v>55287.008915594328</v>
      </c>
      <c r="AD24" s="56">
        <f t="shared" si="26"/>
        <v>55287.008915594328</v>
      </c>
      <c r="AE24" s="56">
        <f t="shared" si="26"/>
        <v>55287.008915594328</v>
      </c>
      <c r="AF24" s="56">
        <f t="shared" si="26"/>
        <v>55287.008915594328</v>
      </c>
      <c r="AG24" s="56">
        <f t="shared" si="26"/>
        <v>55287.008915594328</v>
      </c>
      <c r="AH24" s="56">
        <f t="shared" si="26"/>
        <v>55287.008915594328</v>
      </c>
      <c r="AI24" s="56">
        <f t="shared" si="26"/>
        <v>55287.008915594328</v>
      </c>
      <c r="AJ24" s="56">
        <f t="shared" si="26"/>
        <v>55287.008915594328</v>
      </c>
      <c r="AK24" s="56">
        <f t="shared" si="26"/>
        <v>55287.008915594328</v>
      </c>
      <c r="AL24" s="56">
        <f t="shared" si="26"/>
        <v>55287.008915594328</v>
      </c>
      <c r="AM24" s="56">
        <f t="shared" si="26"/>
        <v>55287.008915594328</v>
      </c>
      <c r="AN24" s="56">
        <f t="shared" si="26"/>
        <v>55287.008915594328</v>
      </c>
      <c r="AO24" s="56">
        <f t="shared" si="26"/>
        <v>55287.008915594328</v>
      </c>
      <c r="AP24" s="56">
        <f t="shared" si="26"/>
        <v>55287.008915594328</v>
      </c>
      <c r="AQ24" s="56">
        <f t="shared" si="26"/>
        <v>55287.008915594328</v>
      </c>
    </row>
    <row r="25" spans="2:43" ht="15" customHeight="1" x14ac:dyDescent="0.25">
      <c r="B25" s="25" t="str">
        <f>tbl_property_DB[[#Headers],[Ref. Loan Amount]]</f>
        <v>Ref. Loan Amount</v>
      </c>
      <c r="C25" s="49">
        <f>INDEX(tbl_property_DB[],MATCH($C$4,tbl_property_DB[Listing Number],0),MATCH(B25,tbl_property_DB[#Headers],0))</f>
        <v>525000</v>
      </c>
      <c r="E25" s="25" t="str">
        <f>tbl_property_DB[[#Headers],[Initial NOI]]</f>
        <v>Initial NOI</v>
      </c>
      <c r="F25" s="49">
        <f>INDEX(tbl_property_DB[],MATCH($C$4,tbl_property_DB[Listing Number],0),MATCH(E25,tbl_property_DB[#Headers],0))</f>
        <v>111849</v>
      </c>
      <c r="H25" s="25" t="str">
        <f>tbl_property_DB[[#Headers],[Ref. NOI (y)]]</f>
        <v>Ref. NOI (y)</v>
      </c>
      <c r="I25" s="49">
        <f>INDEX(tbl_property_DB[],MATCH($C$4,tbl_property_DB[Listing Number],0),MATCH(H25,tbl_property_DB[#Headers],0))</f>
        <v>56561.991084405687</v>
      </c>
      <c r="K25" s="25"/>
      <c r="L25" s="25"/>
      <c r="M25" s="25" t="s">
        <v>41</v>
      </c>
      <c r="N25" s="56">
        <f t="shared" ref="N25:AQ25" si="27">N21-N22</f>
        <v>-45813.008915594342</v>
      </c>
      <c r="O25" s="56">
        <f t="shared" si="27"/>
        <v>63909.441084405655</v>
      </c>
      <c r="P25" s="56">
        <f t="shared" si="27"/>
        <v>71729.563584405667</v>
      </c>
      <c r="Q25" s="56">
        <f t="shared" si="27"/>
        <v>80052.310209405696</v>
      </c>
      <c r="R25" s="56">
        <f t="shared" si="27"/>
        <v>88909.509245655674</v>
      </c>
      <c r="S25" s="56">
        <f t="shared" si="27"/>
        <v>98334.982218518213</v>
      </c>
      <c r="T25" s="56">
        <f t="shared" si="27"/>
        <v>108364.66766391185</v>
      </c>
      <c r="U25" s="56">
        <f t="shared" si="27"/>
        <v>119036.75253489648</v>
      </c>
      <c r="V25" s="56">
        <f t="shared" si="27"/>
        <v>130391.81171195081</v>
      </c>
      <c r="W25" s="56">
        <f t="shared" si="27"/>
        <v>142472.95611412972</v>
      </c>
      <c r="X25" s="56">
        <f t="shared" si="27"/>
        <v>155325.98993866565</v>
      </c>
      <c r="Y25" s="56">
        <f t="shared" si="27"/>
        <v>168999.57758881143</v>
      </c>
      <c r="Z25" s="56">
        <f t="shared" si="27"/>
        <v>183545.42088391038</v>
      </c>
      <c r="AA25" s="56">
        <f t="shared" si="27"/>
        <v>199018.44718195702</v>
      </c>
      <c r="AB25" s="56">
        <f t="shared" si="27"/>
        <v>215477.00908339029</v>
      </c>
      <c r="AC25" s="56">
        <f t="shared" si="27"/>
        <v>232983.09642568859</v>
      </c>
      <c r="AD25" s="56">
        <f t="shared" si="27"/>
        <v>251602.56132164266</v>
      </c>
      <c r="AE25" s="56">
        <f t="shared" si="27"/>
        <v>271405.35704012786</v>
      </c>
      <c r="AF25" s="56">
        <f t="shared" si="27"/>
        <v>292465.79157693475</v>
      </c>
      <c r="AG25" s="56">
        <f t="shared" si="27"/>
        <v>314862.79681492323</v>
      </c>
      <c r="AH25" s="56">
        <f t="shared" si="27"/>
        <v>338680.21422761277</v>
      </c>
      <c r="AI25" s="56">
        <f t="shared" si="27"/>
        <v>364007.09813850687</v>
      </c>
      <c r="AJ25" s="56">
        <f t="shared" si="27"/>
        <v>390938.03761016944</v>
      </c>
      <c r="AK25" s="56">
        <f t="shared" si="27"/>
        <v>419573.49810255278</v>
      </c>
      <c r="AL25" s="56">
        <f t="shared" si="27"/>
        <v>450020.18410952069</v>
      </c>
      <c r="AM25" s="56">
        <f t="shared" si="27"/>
        <v>482391.42405620078</v>
      </c>
      <c r="AN25" s="56">
        <f t="shared" si="27"/>
        <v>516807.57881794043</v>
      </c>
      <c r="AO25" s="56">
        <f t="shared" si="27"/>
        <v>553396.4753045562</v>
      </c>
      <c r="AP25" s="56">
        <f t="shared" si="27"/>
        <v>592293.86664149875</v>
      </c>
      <c r="AQ25" s="56">
        <f t="shared" si="27"/>
        <v>633643.9205728448</v>
      </c>
    </row>
    <row r="26" spans="2:43" ht="15" customHeight="1" x14ac:dyDescent="0.25">
      <c r="B26" s="25" t="s">
        <v>158</v>
      </c>
      <c r="C26" s="53">
        <f>INDEX(tbl_property_DB[],MATCH($C$4,tbl_property_DB[Listing Number],0),MATCH(B26,tbl_property_DB[#Headers],0))</f>
        <v>0.5</v>
      </c>
      <c r="E26" s="25" t="str">
        <f>tbl_property_DB[[#Headers],[Total Expenses (m)]]</f>
        <v>Total Expenses (m)</v>
      </c>
      <c r="F26" s="49">
        <f>INDEX(tbl_property_DB[],MATCH($C$4,tbl_property_DB[Listing Number],0),MATCH(E26,tbl_property_DB[#Headers],0))</f>
        <v>12819.162861612589</v>
      </c>
      <c r="G26" s="25"/>
      <c r="H26" s="25" t="str">
        <f>tbl_property_DB[[#Headers],[Ref. Total Expenses (m)]]</f>
        <v>Ref. Total Expenses (m)</v>
      </c>
      <c r="I26" s="49">
        <f>INDEX(tbl_property_DB[],MATCH($C$4,tbl_property_DB[Listing Number],0),MATCH(H26,tbl_property_DB[#Headers],0))</f>
        <v>9911.5007429661928</v>
      </c>
      <c r="K26" s="25"/>
      <c r="L26" s="25"/>
      <c r="M26" s="25" t="s">
        <v>42</v>
      </c>
      <c r="N26" s="57">
        <f t="shared" ref="N26:AQ26" si="28">IF((N20*12)&gt;Time_To_Refinance__m,N25/Total_Cash_Invested,N25/Cash_Needed_at_Purchase)</f>
        <v>-0.11541885167094174</v>
      </c>
      <c r="O26" s="57">
        <f t="shared" si="28"/>
        <v>0.16101003787993853</v>
      </c>
      <c r="P26" s="57">
        <f t="shared" si="28"/>
        <v>0.18071163749630562</v>
      </c>
      <c r="Q26" s="57">
        <f t="shared" si="28"/>
        <v>0.20167952153063126</v>
      </c>
      <c r="R26" s="57">
        <f t="shared" si="28"/>
        <v>0.22399387647004165</v>
      </c>
      <c r="S26" s="57">
        <f t="shared" si="28"/>
        <v>0.2477399104619934</v>
      </c>
      <c r="T26" s="57">
        <f t="shared" si="28"/>
        <v>0.27300816513744758</v>
      </c>
      <c r="U26" s="57">
        <f t="shared" si="28"/>
        <v>0.2998948466696138</v>
      </c>
      <c r="V26" s="57">
        <f t="shared" si="28"/>
        <v>0.32850217724870368</v>
      </c>
      <c r="W26" s="57">
        <f t="shared" si="28"/>
        <v>0.35893876822528276</v>
      </c>
      <c r="X26" s="57">
        <f t="shared" si="28"/>
        <v>0.39132001625133733</v>
      </c>
      <c r="Y26" s="57">
        <f t="shared" si="28"/>
        <v>0.42576852382938019</v>
      </c>
      <c r="Z26" s="57">
        <f t="shared" si="28"/>
        <v>0.46241454576605145</v>
      </c>
      <c r="AA26" s="57">
        <f t="shared" si="28"/>
        <v>0.50139646311806652</v>
      </c>
      <c r="AB26" s="57">
        <f t="shared" si="28"/>
        <v>0.54286128631530306</v>
      </c>
      <c r="AC26" s="57">
        <f t="shared" si="28"/>
        <v>0.58696518924867935</v>
      </c>
      <c r="AD26" s="57">
        <f t="shared" si="28"/>
        <v>0.63387407621957892</v>
      </c>
      <c r="AE26" s="57">
        <f t="shared" si="28"/>
        <v>0.68376418376332948</v>
      </c>
      <c r="AF26" s="57">
        <f t="shared" si="28"/>
        <v>0.73682271948203182</v>
      </c>
      <c r="AG26" s="57">
        <f t="shared" si="28"/>
        <v>0.79324854015229951</v>
      </c>
      <c r="AH26" s="57">
        <f t="shared" si="28"/>
        <v>0.85325287151164819</v>
      </c>
      <c r="AI26" s="57">
        <f t="shared" si="28"/>
        <v>0.91706007227386699</v>
      </c>
      <c r="AJ26" s="57">
        <f t="shared" si="28"/>
        <v>0.98490844507919217</v>
      </c>
      <c r="AK26" s="57">
        <f t="shared" si="28"/>
        <v>1.05705109725008</v>
      </c>
      <c r="AL26" s="57">
        <f t="shared" si="28"/>
        <v>1.133756854398325</v>
      </c>
      <c r="AM26" s="57">
        <f t="shared" si="28"/>
        <v>1.2153112301149251</v>
      </c>
      <c r="AN26" s="57">
        <f t="shared" si="28"/>
        <v>1.3020174551709547</v>
      </c>
      <c r="AO26" s="57">
        <f t="shared" si="28"/>
        <v>1.3941975698666007</v>
      </c>
      <c r="AP26" s="57">
        <f t="shared" si="28"/>
        <v>1.4921935833870521</v>
      </c>
      <c r="AQ26" s="57">
        <f t="shared" si="28"/>
        <v>1.5963687042589521</v>
      </c>
    </row>
    <row r="27" spans="2:43" ht="15" customHeight="1" x14ac:dyDescent="0.25">
      <c r="B27" s="25" t="str">
        <f>tbl_property_DB[[#Headers],[Ref. Loan Total Fees]]</f>
        <v>Ref. Loan Total Fees</v>
      </c>
      <c r="C27" s="49">
        <f>INDEX(tbl_property_DB[],MATCH($C$4,tbl_property_DB[Listing Number],0),MATCH(B27,tbl_property_DB[#Headers],0))</f>
        <v>23625</v>
      </c>
      <c r="E27" s="25" t="str">
        <f>tbl_property_DB[[#Headers],[Cash Needed at Purchase]]</f>
        <v>Cash Needed at Purchase</v>
      </c>
      <c r="F27" s="49">
        <f>INDEX(tbl_property_DB[],MATCH($C$4,tbl_property_DB[Listing Number],0),MATCH(E27,tbl_property_DB[#Headers],0))</f>
        <v>411375</v>
      </c>
      <c r="G27" s="25"/>
      <c r="H27" s="25" t="str">
        <f>tbl_property_DB[[#Headers],[Ref. Cashflow (m)]]</f>
        <v>Ref. Cashflow (m)</v>
      </c>
      <c r="I27" s="49">
        <f>INDEX(tbl_property_DB[],MATCH($C$4,tbl_property_DB[Listing Number],0),MATCH(H27,tbl_property_DB[#Headers],0))</f>
        <v>4713.4992570338072</v>
      </c>
      <c r="K27" s="25"/>
      <c r="L27" s="25"/>
      <c r="M27" s="25" t="s">
        <v>43</v>
      </c>
      <c r="N27" s="56">
        <f t="shared" ref="N27:AQ27" si="29">-FV($N$16,N20,0,After_Repair_Value,0)</f>
        <v>1102500</v>
      </c>
      <c r="O27" s="56">
        <f t="shared" si="29"/>
        <v>1157625</v>
      </c>
      <c r="P27" s="56">
        <f t="shared" si="29"/>
        <v>1215506.2500000002</v>
      </c>
      <c r="Q27" s="56">
        <f t="shared" si="29"/>
        <v>1276281.5625</v>
      </c>
      <c r="R27" s="56">
        <f t="shared" si="29"/>
        <v>1340095.6406250002</v>
      </c>
      <c r="S27" s="56">
        <f t="shared" si="29"/>
        <v>1407100.42265625</v>
      </c>
      <c r="T27" s="56">
        <f t="shared" si="29"/>
        <v>1477455.4437890628</v>
      </c>
      <c r="U27" s="56">
        <f t="shared" si="29"/>
        <v>1551328.2159785158</v>
      </c>
      <c r="V27" s="56">
        <f t="shared" si="29"/>
        <v>1628894.6267774415</v>
      </c>
      <c r="W27" s="56">
        <f t="shared" si="29"/>
        <v>1710339.3581163136</v>
      </c>
      <c r="X27" s="56">
        <f t="shared" si="29"/>
        <v>1795856.3260221295</v>
      </c>
      <c r="Y27" s="56">
        <f t="shared" si="29"/>
        <v>1885649.1423232357</v>
      </c>
      <c r="Z27" s="56">
        <f t="shared" si="29"/>
        <v>1979931.5994393977</v>
      </c>
      <c r="AA27" s="56">
        <f t="shared" si="29"/>
        <v>2078928.1794113673</v>
      </c>
      <c r="AB27" s="56">
        <f t="shared" si="29"/>
        <v>2182874.5883819363</v>
      </c>
      <c r="AC27" s="56">
        <f t="shared" si="29"/>
        <v>2292018.3178010327</v>
      </c>
      <c r="AD27" s="56">
        <f t="shared" si="29"/>
        <v>2406619.2336910847</v>
      </c>
      <c r="AE27" s="56">
        <f t="shared" si="29"/>
        <v>2526950.195375639</v>
      </c>
      <c r="AF27" s="56">
        <f t="shared" si="29"/>
        <v>2653297.7051444212</v>
      </c>
      <c r="AG27" s="56">
        <f t="shared" si="29"/>
        <v>2785962.590401642</v>
      </c>
      <c r="AH27" s="56">
        <f t="shared" si="29"/>
        <v>2925260.7199217239</v>
      </c>
      <c r="AI27" s="56">
        <f t="shared" si="29"/>
        <v>3071523.7559178099</v>
      </c>
      <c r="AJ27" s="56">
        <f t="shared" si="29"/>
        <v>3225099.9437137013</v>
      </c>
      <c r="AK27" s="56">
        <f t="shared" si="29"/>
        <v>3386354.9408993856</v>
      </c>
      <c r="AL27" s="56">
        <f t="shared" si="29"/>
        <v>3555672.687944355</v>
      </c>
      <c r="AM27" s="56">
        <f t="shared" si="29"/>
        <v>3733456.322341573</v>
      </c>
      <c r="AN27" s="56">
        <f t="shared" si="29"/>
        <v>3920129.138458652</v>
      </c>
      <c r="AO27" s="56">
        <f t="shared" si="29"/>
        <v>4116135.595381584</v>
      </c>
      <c r="AP27" s="56">
        <f t="shared" si="29"/>
        <v>4321942.3751506638</v>
      </c>
      <c r="AQ27" s="56">
        <f t="shared" si="29"/>
        <v>4538039.4939081958</v>
      </c>
    </row>
    <row r="28" spans="2:43" ht="15" customHeight="1" x14ac:dyDescent="0.25">
      <c r="B28" s="25" t="str">
        <f>tbl_property_DB[[#Headers],[Ref. Loan Amortization (y)]]</f>
        <v>Ref. Loan Amortization (y)</v>
      </c>
      <c r="C28" s="52">
        <f>INDEX(tbl_property_DB[],MATCH($C$4,tbl_property_DB[Listing Number],0),MATCH(B28,tbl_property_DB[#Headers],0))</f>
        <v>30</v>
      </c>
      <c r="E28" s="25" t="str">
        <f>tbl_property_DB[[#Headers],[Initial Cashflow (m)]]</f>
        <v>Initial Cashflow (m)</v>
      </c>
      <c r="F28" s="49">
        <f>INDEX(tbl_property_DB[],MATCH($C$4,tbl_property_DB[Listing Number],0),MATCH(E28,tbl_property_DB[#Headers],0))</f>
        <v>1805.837138387411</v>
      </c>
      <c r="G28" s="25"/>
      <c r="H28" s="25" t="str">
        <f>tbl_property_DB[[#Headers],[Ref. Cash on Cash ROI (y)]]</f>
        <v>Ref. Cash on Cash ROI (y)</v>
      </c>
      <c r="I28" s="53">
        <f>INDEX(tbl_property_DB[],MATCH($C$4,tbl_property_DB[Listing Number],0),MATCH(H28,tbl_property_DB[#Headers],0))</f>
        <v>0.1424992641546835</v>
      </c>
      <c r="M28" s="25" t="s">
        <v>44</v>
      </c>
      <c r="N28" s="56">
        <f>N27-N29</f>
        <v>578440.68015751289</v>
      </c>
      <c r="O28" s="56">
        <f t="shared" ref="O28:T28" si="30">O27-O29</f>
        <v>636582.54418766848</v>
      </c>
      <c r="P28" s="56">
        <f t="shared" si="30"/>
        <v>697796.56330447528</v>
      </c>
      <c r="Q28" s="56">
        <f t="shared" si="30"/>
        <v>762253.6293985761</v>
      </c>
      <c r="R28" s="56">
        <f t="shared" si="30"/>
        <v>830134.98883007851</v>
      </c>
      <c r="S28" s="56">
        <f t="shared" si="30"/>
        <v>901632.94966958114</v>
      </c>
      <c r="T28" s="56">
        <f t="shared" si="30"/>
        <v>976951.64414622099</v>
      </c>
      <c r="U28" s="56">
        <f t="shared" ref="U28" si="31">U27-U29</f>
        <v>1056307.8511411098</v>
      </c>
      <c r="V28" s="56">
        <f t="shared" ref="V28" si="32">V27-V29</f>
        <v>1139931.8840240631</v>
      </c>
      <c r="W28" s="56">
        <f t="shared" ref="W28" si="33">W27-W29</f>
        <v>1228068.5496367812</v>
      </c>
      <c r="X28" s="56">
        <f t="shared" ref="X28" si="34">X27-X29</f>
        <v>1320978.1847813735</v>
      </c>
      <c r="Y28" s="56">
        <f t="shared" ref="Y28" si="35">Y27-Y29</f>
        <v>1418937.7771844007</v>
      </c>
      <c r="Z28" s="56">
        <f t="shared" ref="Z28" si="36">Z27-Z29</f>
        <v>1522242.1785792222</v>
      </c>
      <c r="AA28" s="56">
        <f t="shared" ref="AA28" si="37">AA27-AA29</f>
        <v>1631205.4182895543</v>
      </c>
      <c r="AB28" s="56">
        <f t="shared" ref="AB28" si="38">AB27-AB29</f>
        <v>1746162.1265118334</v>
      </c>
      <c r="AC28" s="56">
        <f t="shared" ref="AC28" si="39">AC27-AC29</f>
        <v>1867469.0773907332</v>
      </c>
      <c r="AD28" s="56">
        <f t="shared" ref="AD28" si="40">AD27-AD29</f>
        <v>1995506.8629696122</v>
      </c>
      <c r="AE28" s="56">
        <f t="shared" ref="AE28" si="41">AE27-AE29</f>
        <v>2130681.7101849201</v>
      </c>
      <c r="AF28" s="56">
        <f t="shared" ref="AF28" si="42">AF27-AF29</f>
        <v>2273427.4542711279</v>
      </c>
      <c r="AG28" s="56">
        <f t="shared" ref="AG28" si="43">AG27-AG29</f>
        <v>2424207.6832617735</v>
      </c>
      <c r="AH28" s="56">
        <f t="shared" ref="AH28" si="44">AH27-AH29</f>
        <v>2583518.0697253603</v>
      </c>
      <c r="AI28" s="56">
        <f t="shared" ref="AI28" si="45">AI27-AI29</f>
        <v>2751888.9074759292</v>
      </c>
      <c r="AJ28" s="56">
        <f t="shared" ref="AJ28" si="46">AJ27-AJ29</f>
        <v>2929887.8727623997</v>
      </c>
      <c r="AK28" s="56">
        <f t="shared" ref="AK28" si="47">AK27-AK29</f>
        <v>3118123.0313851377</v>
      </c>
      <c r="AL28" s="56">
        <f t="shared" ref="AL28" si="48">AL27-AL29</f>
        <v>3317246.1153312959</v>
      </c>
      <c r="AM28" s="56">
        <f t="shared" ref="AM28" si="49">AM27-AM29</f>
        <v>3527956.0948827476</v>
      </c>
      <c r="AN28" s="56">
        <f t="shared" ref="AN28" si="50">AN27-AN29</f>
        <v>3751003.0747547909</v>
      </c>
      <c r="AO28" s="56">
        <f t="shared" ref="AO28" si="51">AO27-AO29</f>
        <v>3987192.5456950818</v>
      </c>
      <c r="AP28" s="56">
        <f t="shared" ref="AP28" si="52">AP27-AP29</f>
        <v>4237390.026138315</v>
      </c>
      <c r="AQ28" s="56">
        <f t="shared" ref="AQ28" si="53">AQ27-AQ29</f>
        <v>4502526.1320034582</v>
      </c>
    </row>
    <row r="29" spans="2:43" ht="15" customHeight="1" x14ac:dyDescent="0.25">
      <c r="B29" s="25" t="str">
        <f>tbl_property_DB[[#Headers],[Ref. Interest Rate]]</f>
        <v>Ref. Interest Rate</v>
      </c>
      <c r="C29" s="53">
        <f>INDEX(tbl_property_DB[],MATCH($C$4,tbl_property_DB[Listing Number],0),MATCH(B29,tbl_property_DB[#Headers],0))</f>
        <v>0.1</v>
      </c>
      <c r="E29" s="25" t="str">
        <f>tbl_property_DB[[#Headers],[Initial Cash on Cash ROI (y)]]</f>
        <v>Initial Cash on Cash ROI (y)</v>
      </c>
      <c r="F29" s="53">
        <f>INDEX(tbl_property_DB[],MATCH($C$4,tbl_property_DB[Listing Number],0),MATCH(E29,tbl_property_DB[#Headers],0))</f>
        <v>5.2677108868183373E-2</v>
      </c>
      <c r="G29" s="25"/>
      <c r="M29" s="25" t="s">
        <v>45</v>
      </c>
      <c r="N29" s="56">
        <f>IF(Time_To_Refinance__m&gt;=(N20*12),INDEX(Loan_Schedules!$B$17:$H$376,MATCH(Table13[[#Headers],[1]]*12,Loan_Schedules!$B$17:$B$376,0),7),INDEX(Loan_Schedules!$J$17:$P$376,MATCH((N20*12)-Time_To_Refinance__m,Loan_Schedules!$J$17:$J$376,0),7))</f>
        <v>524059.31984248717</v>
      </c>
      <c r="O29" s="56">
        <f>IF(Time_To_Refinance__m&gt;=(O20*12),INDEX(Loan_Schedules!$B$17:$H$376,MATCH(Table13[[#Headers],[2]]*12,Loan_Schedules!$B$17:$B$376,0),7),INDEX(Loan_Schedules!$J$17:$P$376,MATCH((O20*12)-Time_To_Refinance__m,Loan_Schedules!$J$17:$J$376,0),7))</f>
        <v>521042.45581233152</v>
      </c>
      <c r="P29" s="56">
        <f>IF(Time_To_Refinance__m&gt;=(P20*12),INDEX(Loan_Schedules!$B$17:$H$376,MATCH(Table13[[#Headers],[3]]*12,Loan_Schedules!$B$17:$B$376,0),7),INDEX(Loan_Schedules!$J$17:$P$376,MATCH((P20*12)-Time_To_Refinance__m,Loan_Schedules!$J$17:$J$376,0),7))</f>
        <v>517709.6866955249</v>
      </c>
      <c r="Q29" s="56">
        <f>IF(Time_To_Refinance__m&gt;=(Q20*12),INDEX(Loan_Schedules!$B$17:$H$376,MATCH(Table13[[#Headers],[4]]*12,Loan_Schedules!$B$17:$B$376,0),7),INDEX(Loan_Schedules!$J$17:$P$376,MATCH((Q20*12)-Time_To_Refinance__m,Loan_Schedules!$J$17:$J$376,0),7))</f>
        <v>514027.9331014239</v>
      </c>
      <c r="R29" s="56">
        <f>IF(Time_To_Refinance__m&gt;=(R20*12),INDEX(Loan_Schedules!$B$17:$H$376,MATCH(Table13[[#Headers],[5]]*12,Loan_Schedules!$B$17:$B$376,0),7),INDEX(Loan_Schedules!$J$17:$P$376,MATCH((R20*12)-Time_To_Refinance__m,Loan_Schedules!$J$17:$J$376,0),7))</f>
        <v>509960.65179492172</v>
      </c>
      <c r="S29" s="56">
        <f>IF(Time_To_Refinance__m&gt;=(S20*12),INDEX(Loan_Schedules!$B$17:$H$376,MATCH(Table13[[#Headers],[6]]*12,Loan_Schedules!$B$17:$B$376,0),7),INDEX(Loan_Schedules!$J$17:$P$376,MATCH((S20*12)-Time_To_Refinance__m,Loan_Schedules!$J$17:$J$376,0),7))</f>
        <v>505467.47298666887</v>
      </c>
      <c r="T29" s="56">
        <f>IF(Time_To_Refinance__m&gt;=(T20*12),INDEX(Loan_Schedules!$B$17:$H$376,MATCH(Table13[[#Headers],[7]]*12,Loan_Schedules!$B$17:$B$376,0),7),INDEX(Loan_Schedules!$J$17:$P$376,MATCH((T20*12)-Time_To_Refinance__m,Loan_Schedules!$J$17:$J$376,0),7))</f>
        <v>500503.7996428418</v>
      </c>
      <c r="U29" s="56">
        <f>IF(Time_To_Refinance__m&gt;=(U20*12),INDEX(Loan_Schedules!$B$17:$H$376,MATCH(Table13[[#Headers],[8]]*12,Loan_Schedules!$B$17:$B$376,0),7),INDEX(Loan_Schedules!$J$17:$P$376,MATCH((U20*12)-Time_To_Refinance__m,Loan_Schedules!$J$17:$J$376,0),7))</f>
        <v>495020.36483740597</v>
      </c>
      <c r="V29" s="56">
        <f>IF(Time_To_Refinance__m&gt;=(V20*12),INDEX(Loan_Schedules!$B$17:$H$376,MATCH(Table13[[#Headers],[9]]*12,Loan_Schedules!$B$17:$B$376,0),7),INDEX(Loan_Schedules!$J$17:$P$376,MATCH((V20*12)-Time_To_Refinance__m,Loan_Schedules!$J$17:$J$376,0),7))</f>
        <v>488962.74275337841</v>
      </c>
      <c r="W29" s="56">
        <f>IF(Time_To_Refinance__m&gt;=(W20*12),INDEX(Loan_Schedules!$B$17:$H$376,MATCH(Table13[[#Headers],[10]]*12,Loan_Schedules!$B$17:$B$376,0),7),INDEX(Loan_Schedules!$J$17:$P$376,MATCH((W20*12)-Time_To_Refinance__m,Loan_Schedules!$J$17:$J$376,0),7))</f>
        <v>482270.80847953225</v>
      </c>
      <c r="X29" s="56">
        <f>IF(Time_To_Refinance__m&gt;=(X20*12),INDEX(Loan_Schedules!$B$17:$H$376,MATCH(Table13[[#Headers],[11]]*12,Loan_Schedules!$B$17:$B$376,0),7),INDEX(Loan_Schedules!$J$17:$P$376,MATCH((X20*12)-Time_To_Refinance__m,Loan_Schedules!$J$17:$J$376,0),7))</f>
        <v>474878.14124075614</v>
      </c>
      <c r="Y29" s="56">
        <f>IF(Time_To_Refinance__m&gt;=(Y20*12),INDEX(Loan_Schedules!$B$17:$H$376,MATCH(Table13[[#Headers],[12]]*12,Loan_Schedules!$B$17:$B$376,0),7),INDEX(Loan_Schedules!$J$17:$P$376,MATCH((Y20*12)-Time_To_Refinance__m,Loan_Schedules!$J$17:$J$376,0),7))</f>
        <v>466711.36513883504</v>
      </c>
      <c r="Z29" s="56">
        <f>IF(Time_To_Refinance__m&gt;=(Z20*12),INDEX(Loan_Schedules!$B$17:$H$376,MATCH(Table13[[#Headers],[13]]*12,Loan_Schedules!$B$17:$B$376,0),7),INDEX(Loan_Schedules!$J$17:$P$376,MATCH((Z20*12)-Time_To_Refinance__m,Loan_Schedules!$J$17:$J$376,0),7))</f>
        <v>457689.42086017545</v>
      </c>
      <c r="AA29" s="56">
        <f>IF(Time_To_Refinance__m&gt;=(AA20*12),INDEX(Loan_Schedules!$B$17:$H$376,MATCH(Table13[[#Headers],[14]]*12,Loan_Schedules!$B$17:$B$376,0),7),INDEX(Loan_Schedules!$J$17:$P$376,MATCH((AA20*12)-Time_To_Refinance__m,Loan_Schedules!$J$17:$J$376,0),7))</f>
        <v>447722.76112181298</v>
      </c>
      <c r="AB29" s="56">
        <f>IF(Time_To_Refinance__m&gt;=(AB20*12),INDEX(Loan_Schedules!$B$17:$H$376,MATCH(Table13[[#Headers],[15]]*12,Loan_Schedules!$B$17:$B$376,0),7),INDEX(Loan_Schedules!$J$17:$P$376,MATCH((AB20*12)-Time_To_Refinance__m,Loan_Schedules!$J$17:$J$376,0),7))</f>
        <v>436712.46187010285</v>
      </c>
      <c r="AC29" s="56">
        <f>IF(Time_To_Refinance__m&gt;=(AC20*12),INDEX(Loan_Schedules!$B$17:$H$376,MATCH(Table13[[#Headers],[16]]*12,Loan_Schedules!$B$17:$B$376,0),7),INDEX(Loan_Schedules!$J$17:$P$376,MATCH((AC20*12)-Time_To_Refinance__m,Loan_Schedules!$J$17:$J$376,0),7))</f>
        <v>424549.24041029951</v>
      </c>
      <c r="AD29" s="56">
        <f>IF(Time_To_Refinance__m&gt;=(AD20*12),INDEX(Loan_Schedules!$B$17:$H$376,MATCH(Table13[[#Headers],[17]]*12,Loan_Schedules!$B$17:$B$376,0),7),INDEX(Loan_Schedules!$J$17:$P$376,MATCH((AD20*12)-Time_To_Refinance__m,Loan_Schedules!$J$17:$J$376,0),7))</f>
        <v>411112.37072147231</v>
      </c>
      <c r="AE29" s="56">
        <f>IF(Time_To_Refinance__m&gt;=(AE20*12),INDEX(Loan_Schedules!$B$17:$H$376,MATCH(Table13[[#Headers],[18]]*12,Loan_Schedules!$B$17:$B$376,0),7),INDEX(Loan_Schedules!$J$17:$P$376,MATCH((AE20*12)-Time_To_Refinance__m,Loan_Schedules!$J$17:$J$376,0),7))</f>
        <v>396268.48519071908</v>
      </c>
      <c r="AF29" s="56">
        <f>IF(Time_To_Refinance__m&gt;=(AF20*12),INDEX(Loan_Schedules!$B$17:$H$376,MATCH(Table13[[#Headers],[19]]*12,Loan_Schedules!$B$17:$B$376,0),7),INDEX(Loan_Schedules!$J$17:$P$376,MATCH((AF20*12)-Time_To_Refinance__m,Loan_Schedules!$J$17:$J$376,0),7))</f>
        <v>379870.2508732932</v>
      </c>
      <c r="AG29" s="56">
        <f>IF(Time_To_Refinance__m&gt;=(AG20*12),INDEX(Loan_Schedules!$B$17:$H$376,MATCH(Table13[[#Headers],[20]]*12,Loan_Schedules!$B$17:$B$376,0),7),INDEX(Loan_Schedules!$J$17:$P$376,MATCH((AG20*12)-Time_To_Refinance__m,Loan_Schedules!$J$17:$J$376,0),7))</f>
        <v>361754.90713986853</v>
      </c>
      <c r="AH29" s="56">
        <f>IF(Time_To_Refinance__m&gt;=(AH20*12),INDEX(Loan_Schedules!$B$17:$H$376,MATCH(Table13[[#Headers],[21]]*12,Loan_Schedules!$B$17:$B$376,0),7),INDEX(Loan_Schedules!$J$17:$P$376,MATCH((AH20*12)-Time_To_Refinance__m,Loan_Schedules!$J$17:$J$376,0),7))</f>
        <v>341742.65019636351</v>
      </c>
      <c r="AI29" s="56">
        <f>IF(Time_To_Refinance__m&gt;=(AI20*12),INDEX(Loan_Schedules!$B$17:$H$376,MATCH(Table13[[#Headers],[22]]*12,Loan_Schedules!$B$17:$B$376,0),7),INDEX(Loan_Schedules!$J$17:$P$376,MATCH((AI20*12)-Time_To_Refinance__m,Loan_Schedules!$J$17:$J$376,0),7))</f>
        <v>319634.84844188055</v>
      </c>
      <c r="AJ29" s="56">
        <f>IF(Time_To_Refinance__m&gt;=(AJ20*12),INDEX(Loan_Schedules!$B$17:$H$376,MATCH(Table13[[#Headers],[23]]*12,Loan_Schedules!$B$17:$B$376,0),7),INDEX(Loan_Schedules!$J$17:$P$376,MATCH((AJ20*12)-Time_To_Refinance__m,Loan_Schedules!$J$17:$J$376,0),7))</f>
        <v>295212.07095130172</v>
      </c>
      <c r="AK29" s="56">
        <f>IF(Time_To_Refinance__m&gt;=(AK20*12),INDEX(Loan_Schedules!$B$17:$H$376,MATCH(Table13[[#Headers],[24]]*12,Loan_Schedules!$B$17:$B$376,0),7),INDEX(Loan_Schedules!$J$17:$P$376,MATCH((AK20*12)-Time_To_Refinance__m,Loan_Schedules!$J$17:$J$376,0),7))</f>
        <v>268231.90951424808</v>
      </c>
      <c r="AL29" s="56">
        <f>IF(Time_To_Refinance__m&gt;=(AL20*12),INDEX(Loan_Schedules!$B$17:$H$376,MATCH(Table13[[#Headers],[25]]*12,Loan_Schedules!$B$17:$B$376,0),7),INDEX(Loan_Schedules!$J$17:$P$376,MATCH((AL20*12)-Time_To_Refinance__m,Loan_Schedules!$J$17:$J$376,0),7))</f>
        <v>238426.57261305919</v>
      </c>
      <c r="AM29" s="56">
        <f>IF(Time_To_Refinance__m&gt;=(AM20*12),INDEX(Loan_Schedules!$B$17:$H$376,MATCH(Table13[[#Headers],[26]]*12,Loan_Schedules!$B$17:$B$376,0),7),INDEX(Loan_Schedules!$J$17:$P$376,MATCH((AM20*12)-Time_To_Refinance__m,Loan_Schedules!$J$17:$J$376,0),7))</f>
        <v>205500.22745882551</v>
      </c>
      <c r="AN29" s="56">
        <f>IF(Time_To_Refinance__m&gt;=(AN20*12),INDEX(Loan_Schedules!$B$17:$H$376,MATCH(Table13[[#Headers],[27]]*12,Loan_Schedules!$B$17:$B$376,0),7),INDEX(Loan_Schedules!$J$17:$P$376,MATCH((AN20*12)-Time_To_Refinance__m,Loan_Schedules!$J$17:$J$376,0),7))</f>
        <v>169126.06370386112</v>
      </c>
      <c r="AO29" s="56">
        <f>IF(Time_To_Refinance__m&gt;=(AO20*12),INDEX(Loan_Schedules!$B$17:$H$376,MATCH(Table13[[#Headers],[28]]*12,Loan_Schedules!$B$17:$B$376,0),7),INDEX(Loan_Schedules!$J$17:$P$376,MATCH((AO20*12)-Time_To_Refinance__m,Loan_Schedules!$J$17:$J$376,0),7))</f>
        <v>128943.04968650232</v>
      </c>
      <c r="AP29" s="56">
        <f>IF(Time_To_Refinance__m&gt;=(AP20*12),INDEX(Loan_Schedules!$B$17:$H$376,MATCH(Table13[[#Headers],[29]]*12,Loan_Schedules!$B$17:$B$376,0),7),INDEX(Loan_Schedules!$J$17:$P$376,MATCH((AP20*12)-Time_To_Refinance__m,Loan_Schedules!$J$17:$J$376,0),7))</f>
        <v>84552.349012349237</v>
      </c>
      <c r="AQ29" s="56">
        <f>IF(Time_To_Refinance__m&gt;=(AQ20*12),INDEX(Loan_Schedules!$B$17:$H$376,MATCH(Table13[[#Headers],[30]]*12,Loan_Schedules!$B$17:$B$376,0),7),INDEX(Loan_Schedules!$J$17:$P$376,MATCH((AQ20*12)-Time_To_Refinance__m,Loan_Schedules!$J$17:$J$376,0),7))</f>
        <v>35513.361904737147</v>
      </c>
    </row>
    <row r="30" spans="2:43" ht="15" customHeight="1" x14ac:dyDescent="0.25">
      <c r="B30" s="25" t="str">
        <f>tbl_property_DB[[#Headers],[Ref. Monthly P&amp;I]]</f>
        <v>Ref. Monthly P&amp;I</v>
      </c>
      <c r="C30" s="49">
        <f>INDEX(tbl_property_DB[],MATCH($C$4,tbl_property_DB[Listing Number],0),MATCH(B30,tbl_property_DB[#Headers],0))</f>
        <v>4607.2507429661937</v>
      </c>
      <c r="E30" s="25" t="str">
        <f>tbl_property_DB[[#Headers],[Pro Forma Cap Rate]]</f>
        <v>Pro Forma Cap Rate</v>
      </c>
      <c r="F30" s="53">
        <f>INDEX(tbl_property_DB[],MATCH($C$4,tbl_property_DB[Listing Number],0),MATCH(E30,tbl_property_DB[#Headers],0))</f>
        <v>0.10039040052830234</v>
      </c>
      <c r="H30" s="25"/>
      <c r="M30" s="25" t="s">
        <v>46</v>
      </c>
      <c r="N30" s="56">
        <f>N27-(N27*9%)-N29-Cash_Needed_at_Purchase</f>
        <v>67840.680157512834</v>
      </c>
      <c r="O30" s="56">
        <f>(O27-(O27*9%))-O29-Total_Cash_Invested</f>
        <v>135467.99129476777</v>
      </c>
      <c r="P30" s="56">
        <f t="shared" ref="P30:AQ30" si="54">P27-(P27*9%)-P29-Total_Cash_Invested</f>
        <v>191472.69791157456</v>
      </c>
      <c r="Q30" s="56">
        <f t="shared" si="54"/>
        <v>250459.98588067543</v>
      </c>
      <c r="R30" s="56">
        <f t="shared" si="54"/>
        <v>312598.07828092779</v>
      </c>
      <c r="S30" s="56">
        <f t="shared" si="54"/>
        <v>378065.60873761802</v>
      </c>
      <c r="T30" s="56">
        <f t="shared" si="54"/>
        <v>447052.35131230467</v>
      </c>
      <c r="U30" s="56">
        <f t="shared" si="54"/>
        <v>519760.00881014258</v>
      </c>
      <c r="V30" s="56">
        <f t="shared" si="54"/>
        <v>596403.0647211927</v>
      </c>
      <c r="W30" s="56">
        <f t="shared" si="54"/>
        <v>677209.7045134122</v>
      </c>
      <c r="X30" s="56">
        <f t="shared" si="54"/>
        <v>762422.81254648115</v>
      </c>
      <c r="Y30" s="56">
        <f t="shared" si="54"/>
        <v>852301.05148240877</v>
      </c>
      <c r="Z30" s="56">
        <f t="shared" si="54"/>
        <v>947120.03173677553</v>
      </c>
      <c r="AA30" s="56">
        <f t="shared" si="54"/>
        <v>1047173.5792496304</v>
      </c>
      <c r="AB30" s="56">
        <f t="shared" si="54"/>
        <v>1152775.1106645584</v>
      </c>
      <c r="AC30" s="56">
        <f t="shared" si="54"/>
        <v>1264259.1258957395</v>
      </c>
      <c r="AD30" s="56">
        <f t="shared" si="54"/>
        <v>1381982.8290445136</v>
      </c>
      <c r="AE30" s="56">
        <f t="shared" si="54"/>
        <v>1506327.8897082116</v>
      </c>
      <c r="AF30" s="56">
        <f t="shared" si="54"/>
        <v>1637702.3579152294</v>
      </c>
      <c r="AG30" s="56">
        <f t="shared" si="54"/>
        <v>1776542.7472327251</v>
      </c>
      <c r="AH30" s="56">
        <f t="shared" si="54"/>
        <v>1923316.3020395043</v>
      </c>
      <c r="AI30" s="56">
        <f t="shared" si="54"/>
        <v>2078523.4665504254</v>
      </c>
      <c r="AJ30" s="56">
        <f t="shared" si="54"/>
        <v>2242700.5749352663</v>
      </c>
      <c r="AK30" s="56">
        <f t="shared" si="54"/>
        <v>2416422.7838112926</v>
      </c>
      <c r="AL30" s="56">
        <f t="shared" si="54"/>
        <v>2600307.2705234033</v>
      </c>
      <c r="AM30" s="56">
        <f t="shared" si="54"/>
        <v>2795016.7229791055</v>
      </c>
      <c r="AN30" s="56">
        <f t="shared" si="54"/>
        <v>3001263.1494006119</v>
      </c>
      <c r="AO30" s="56">
        <f t="shared" si="54"/>
        <v>3219812.0392178386</v>
      </c>
      <c r="AP30" s="56">
        <f t="shared" si="54"/>
        <v>3451486.9094818542</v>
      </c>
      <c r="AQ30" s="56">
        <f t="shared" si="54"/>
        <v>3697174.2746588206</v>
      </c>
    </row>
    <row r="31" spans="2:43" ht="15" customHeight="1" x14ac:dyDescent="0.25">
      <c r="B31" s="25" t="str">
        <f>tbl_property_DB[[#Headers],[Total Cash In Deal]]</f>
        <v>Total Cash In Deal</v>
      </c>
      <c r="C31" s="49">
        <f>INDEX(tbl_property_DB[],MATCH($C$4,tbl_property_DB[Listing Number],0),MATCH(B31,tbl_property_DB[#Headers],0))</f>
        <v>396928.30289290071</v>
      </c>
      <c r="E31" s="25" t="str">
        <f>tbl_property_DB[[#Headers],[Purchase Cap Rate]]</f>
        <v>Purchase Cap Rate</v>
      </c>
      <c r="F31" s="53">
        <f>INDEX(tbl_property_DB[],MATCH($C$4,tbl_property_DB[Listing Number],0),MATCH(E31,tbl_property_DB[#Headers],0))</f>
        <v>0.11471692307692308</v>
      </c>
      <c r="H31" s="25"/>
      <c r="M31" s="25" t="s">
        <v>125</v>
      </c>
      <c r="N31" s="57">
        <f t="shared" ref="N31:AQ31" si="55">(N30/(IF(Time_To_Refinance__m&lt;(N20*12),Total_Cash_Invested,Cash_Needed_at_Purchase))/N20)</f>
        <v>0.17091419196634516</v>
      </c>
      <c r="O31" s="57">
        <f t="shared" si="55"/>
        <v>0.17064541670050645</v>
      </c>
      <c r="P31" s="57">
        <f t="shared" si="55"/>
        <v>0.16079536826179056</v>
      </c>
      <c r="Q31" s="57">
        <f t="shared" si="55"/>
        <v>0.15774888314543711</v>
      </c>
      <c r="R31" s="57">
        <f t="shared" si="55"/>
        <v>0.1575085858088951</v>
      </c>
      <c r="S31" s="57">
        <f t="shared" si="55"/>
        <v>0.15874638903390223</v>
      </c>
      <c r="T31" s="57">
        <f t="shared" si="55"/>
        <v>0.16089712210135715</v>
      </c>
      <c r="U31" s="57">
        <f t="shared" si="55"/>
        <v>0.16368195623177328</v>
      </c>
      <c r="V31" s="57">
        <f t="shared" si="55"/>
        <v>0.16694956421166018</v>
      </c>
      <c r="W31" s="57">
        <f t="shared" si="55"/>
        <v>0.17061260171616865</v>
      </c>
      <c r="X31" s="57">
        <f t="shared" si="55"/>
        <v>0.17461885250257497</v>
      </c>
      <c r="Y31" s="57">
        <f t="shared" si="55"/>
        <v>0.17893681832685557</v>
      </c>
      <c r="Z31" s="57">
        <f t="shared" si="55"/>
        <v>0.18354797711750198</v>
      </c>
      <c r="AA31" s="57">
        <f t="shared" si="55"/>
        <v>0.18844237676779393</v>
      </c>
      <c r="AB31" s="57">
        <f t="shared" si="55"/>
        <v>0.193616009451057</v>
      </c>
      <c r="AC31" s="57">
        <f t="shared" si="55"/>
        <v>0.19906918905151466</v>
      </c>
      <c r="AD31" s="57">
        <f t="shared" si="55"/>
        <v>0.2048055202875978</v>
      </c>
      <c r="AE31" s="57">
        <f t="shared" si="55"/>
        <v>0.21083123111064012</v>
      </c>
      <c r="AF31" s="57">
        <f t="shared" si="55"/>
        <v>0.21715473629544613</v>
      </c>
      <c r="AG31" s="57">
        <f t="shared" si="55"/>
        <v>0.22378635313794595</v>
      </c>
      <c r="AH31" s="57">
        <f t="shared" si="55"/>
        <v>0.23073812047618489</v>
      </c>
      <c r="AI31" s="57">
        <f t="shared" si="55"/>
        <v>0.23802369017295263</v>
      </c>
      <c r="AJ31" s="57">
        <f t="shared" si="55"/>
        <v>0.2456582711252748</v>
      </c>
      <c r="AK31" s="57">
        <f t="shared" si="55"/>
        <v>0.253658612714172</v>
      </c>
      <c r="AL31" s="57">
        <f t="shared" si="55"/>
        <v>0.26204301901091887</v>
      </c>
      <c r="AM31" s="57">
        <f t="shared" si="55"/>
        <v>0.27083138795600048</v>
      </c>
      <c r="AN31" s="57">
        <f t="shared" si="55"/>
        <v>0.28004527168282461</v>
      </c>
      <c r="AO31" s="57">
        <f t="shared" si="55"/>
        <v>0.28970795550941181</v>
      </c>
      <c r="AP31" s="57">
        <f t="shared" si="55"/>
        <v>0.29984455407868971</v>
      </c>
      <c r="AQ31" s="57">
        <f t="shared" si="55"/>
        <v>0.31048212382547025</v>
      </c>
    </row>
    <row r="32" spans="2:43" ht="15" customHeight="1" x14ac:dyDescent="0.25">
      <c r="M32" s="25" t="s">
        <v>47</v>
      </c>
      <c r="N32" s="57">
        <f t="shared" ref="N32:AQ32" si="56">(((ABS(N30) / ABS((IF(Time_To_Refinance__m&lt;(N20*12),Total_Cash_Invested,Cash_Needed_at_Purchase))))^(1/(ABS(N20))))-1)</f>
        <v>-0.82908580803365484</v>
      </c>
      <c r="O32" s="57">
        <f t="shared" si="56"/>
        <v>-0.415798978603244</v>
      </c>
      <c r="P32" s="57">
        <f>(((ABS(P30) / ABS((IF(Time_To_Refinance__m&lt;(P20*12),Total_Cash_Invested,Cash_Needed_at_Purchase))))^(1/(ABS(P20))))-1)</f>
        <v>-0.21573121505097004</v>
      </c>
      <c r="Q32" s="57">
        <f t="shared" si="56"/>
        <v>-0.10873557664051725</v>
      </c>
      <c r="R32" s="57">
        <f t="shared" si="56"/>
        <v>-4.6644563856456767E-2</v>
      </c>
      <c r="S32" s="57">
        <f t="shared" si="56"/>
        <v>-8.0818181579053183E-3</v>
      </c>
      <c r="T32" s="57">
        <f t="shared" si="56"/>
        <v>1.7133703345182605E-2</v>
      </c>
      <c r="U32" s="57">
        <f t="shared" si="56"/>
        <v>3.4275766787356332E-2</v>
      </c>
      <c r="V32" s="57">
        <f t="shared" si="56"/>
        <v>4.6279059306061576E-2</v>
      </c>
      <c r="W32" s="57">
        <f t="shared" si="56"/>
        <v>5.4875268826120038E-2</v>
      </c>
      <c r="X32" s="57">
        <f t="shared" si="56"/>
        <v>6.1136506510610422E-2</v>
      </c>
      <c r="Y32" s="57">
        <f t="shared" si="56"/>
        <v>6.5753448074399534E-2</v>
      </c>
      <c r="Z32" s="57">
        <f t="shared" si="56"/>
        <v>6.9186100392270244E-2</v>
      </c>
      <c r="AA32" s="57">
        <f t="shared" si="56"/>
        <v>7.174959781092527E-2</v>
      </c>
      <c r="AB32" s="57">
        <f t="shared" si="56"/>
        <v>7.3665096378413564E-2</v>
      </c>
      <c r="AC32" s="57">
        <f t="shared" si="56"/>
        <v>7.5091063475711373E-2</v>
      </c>
      <c r="AD32" s="57">
        <f t="shared" si="56"/>
        <v>7.6143121494552712E-2</v>
      </c>
      <c r="AE32" s="57">
        <f t="shared" si="56"/>
        <v>7.6906979497225914E-2</v>
      </c>
      <c r="AF32" s="57">
        <f t="shared" si="56"/>
        <v>7.7447065039715435E-2</v>
      </c>
      <c r="AG32" s="57">
        <f t="shared" si="56"/>
        <v>7.7812409877315414E-2</v>
      </c>
      <c r="AH32" s="57">
        <f t="shared" si="56"/>
        <v>7.8040740255751473E-2</v>
      </c>
      <c r="AI32" s="57">
        <f t="shared" si="56"/>
        <v>7.8161368435991196E-2</v>
      </c>
      <c r="AJ32" s="57">
        <f t="shared" si="56"/>
        <v>7.8197268526521757E-2</v>
      </c>
      <c r="AK32" s="57">
        <f t="shared" si="56"/>
        <v>7.8166587686606226E-2</v>
      </c>
      <c r="AL32" s="57">
        <f t="shared" si="56"/>
        <v>7.8083760348113485E-2</v>
      </c>
      <c r="AM32" s="57">
        <f t="shared" si="56"/>
        <v>7.796033932511981E-2</v>
      </c>
      <c r="AN32" s="57">
        <f t="shared" si="56"/>
        <v>7.7805622367841831E-2</v>
      </c>
      <c r="AO32" s="57">
        <f t="shared" si="56"/>
        <v>7.762712913693437E-2</v>
      </c>
      <c r="AP32" s="57">
        <f t="shared" si="56"/>
        <v>7.7430967582486465E-2</v>
      </c>
      <c r="AQ32" s="57">
        <f t="shared" si="56"/>
        <v>7.7222117710975757E-2</v>
      </c>
    </row>
    <row r="33" spans="5:14" ht="15" customHeight="1" x14ac:dyDescent="0.25"/>
    <row r="34" spans="5:14" ht="15" customHeight="1" x14ac:dyDescent="0.25"/>
    <row r="36" spans="5:14" ht="15" customHeight="1" x14ac:dyDescent="0.25">
      <c r="N36" s="56"/>
    </row>
    <row r="37" spans="5:14" ht="15" customHeight="1" x14ac:dyDescent="0.25"/>
    <row r="38" spans="5:14" ht="15" customHeight="1" x14ac:dyDescent="0.25">
      <c r="N38" s="56"/>
    </row>
    <row r="39" spans="5:14" ht="15" customHeight="1" x14ac:dyDescent="0.25">
      <c r="E39" s="25"/>
    </row>
    <row r="40" spans="5:14" ht="15" customHeight="1" x14ac:dyDescent="0.25">
      <c r="E40" s="25"/>
    </row>
    <row r="41" spans="5:14" ht="15" customHeight="1" x14ac:dyDescent="0.25">
      <c r="E41" s="25"/>
    </row>
    <row r="42" spans="5:14" ht="15" customHeight="1" x14ac:dyDescent="0.25"/>
    <row r="44" spans="5:14" ht="15" customHeight="1" x14ac:dyDescent="0.25"/>
    <row r="45" spans="5:14" ht="15" customHeight="1" x14ac:dyDescent="0.25">
      <c r="E45" s="1"/>
    </row>
    <row r="46" spans="5:14" ht="15" customHeight="1" x14ac:dyDescent="0.25"/>
    <row r="47" spans="5:14" ht="15" customHeight="1" x14ac:dyDescent="0.25"/>
    <row r="48" spans="5:14"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sheetData>
  <conditionalFormatting sqref="N21:AQ32">
    <cfRule type="cellIs" dxfId="5" priority="1" operator="lessThan">
      <formula>0</formula>
    </cfRule>
  </conditionalFormatting>
  <dataValidations count="1">
    <dataValidation type="list" allowBlank="1" showInputMessage="1" showErrorMessage="1" sqref="C4">
      <formula1>Address</formula1>
    </dataValidation>
  </dataValidations>
  <pageMargins left="0.25" right="0.25" top="0.75" bottom="0.75" header="0.3" footer="0.3"/>
  <pageSetup paperSize="9" orientation="landscape" r:id="rId1"/>
  <drawing r:id="rId2"/>
  <legacy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P376"/>
  <sheetViews>
    <sheetView zoomScale="110" zoomScaleNormal="110" workbookViewId="0">
      <selection activeCell="R30" sqref="R30"/>
    </sheetView>
  </sheetViews>
  <sheetFormatPr defaultRowHeight="15" x14ac:dyDescent="0.25"/>
  <cols>
    <col min="1" max="1" width="3.5703125" customWidth="1"/>
    <col min="2" max="7" width="10.7109375" customWidth="1"/>
    <col min="8" max="8" width="12.28515625" bestFit="1" customWidth="1"/>
    <col min="9" max="9" width="5.7109375" customWidth="1"/>
    <col min="10" max="15" width="10.7109375" customWidth="1"/>
    <col min="16" max="16" width="12.28515625" bestFit="1" customWidth="1"/>
    <col min="17" max="18" width="9.7109375" customWidth="1"/>
  </cols>
  <sheetData>
    <row r="1" spans="2:16" ht="15" customHeight="1" x14ac:dyDescent="0.25"/>
    <row r="2" spans="2:16" ht="15" customHeight="1" thickBot="1" x14ac:dyDescent="0.3">
      <c r="B2" s="22" t="s">
        <v>100</v>
      </c>
      <c r="C2" s="22"/>
      <c r="D2" s="22"/>
      <c r="E2" s="22"/>
      <c r="F2" s="22"/>
      <c r="G2" s="22"/>
      <c r="H2" s="22"/>
      <c r="J2" s="22" t="s">
        <v>124</v>
      </c>
      <c r="K2" s="22"/>
      <c r="L2" s="22"/>
      <c r="M2" s="22"/>
      <c r="N2" s="22"/>
      <c r="O2" s="22"/>
      <c r="P2" s="22"/>
    </row>
    <row r="3" spans="2:16" ht="15" customHeight="1" thickTop="1" x14ac:dyDescent="0.25">
      <c r="E3" s="25"/>
      <c r="M3" s="25"/>
    </row>
    <row r="4" spans="2:16" ht="15" customHeight="1" x14ac:dyDescent="0.25">
      <c r="B4" s="32" t="s">
        <v>109</v>
      </c>
      <c r="C4" s="33"/>
      <c r="D4" s="33"/>
      <c r="F4" s="32" t="s">
        <v>117</v>
      </c>
      <c r="G4" s="33"/>
      <c r="H4" s="33"/>
      <c r="J4" s="32" t="s">
        <v>109</v>
      </c>
      <c r="K4" s="33"/>
      <c r="L4" s="33"/>
      <c r="N4" s="32" t="s">
        <v>117</v>
      </c>
      <c r="O4" s="33"/>
      <c r="P4" s="33"/>
    </row>
    <row r="5" spans="2:16" ht="15" customHeight="1" x14ac:dyDescent="0.25">
      <c r="B5" s="25" t="s">
        <v>110</v>
      </c>
      <c r="D5" s="37">
        <f>Total_Acq._Loan</f>
        <v>682500</v>
      </c>
      <c r="F5" s="25" t="s">
        <v>118</v>
      </c>
      <c r="H5" s="59">
        <f>D6/D10</f>
        <v>0.01</v>
      </c>
      <c r="J5" s="25" t="s">
        <v>110</v>
      </c>
      <c r="L5" s="37">
        <f>Ref._Loan_Amount</f>
        <v>525000</v>
      </c>
      <c r="N5" s="25" t="s">
        <v>118</v>
      </c>
      <c r="P5" s="59">
        <f>L6/L10</f>
        <v>8.3333333333333332E-3</v>
      </c>
    </row>
    <row r="6" spans="2:16" ht="15" customHeight="1" x14ac:dyDescent="0.25">
      <c r="B6" s="25" t="s">
        <v>111</v>
      </c>
      <c r="D6" s="59">
        <f>Acq._Loan_Interest_Rate</f>
        <v>0.12</v>
      </c>
      <c r="F6" s="25" t="s">
        <v>102</v>
      </c>
      <c r="H6" s="37">
        <f>D13*D11-D5</f>
        <v>1121079.0867870213</v>
      </c>
      <c r="J6" s="25" t="s">
        <v>111</v>
      </c>
      <c r="L6" s="59">
        <f>Ref._Interest_Rate</f>
        <v>0.1</v>
      </c>
      <c r="N6" s="25" t="s">
        <v>102</v>
      </c>
      <c r="P6" s="37">
        <f>L13*L11-L5</f>
        <v>1133610.2674678296</v>
      </c>
    </row>
    <row r="7" spans="2:16" ht="15" customHeight="1" x14ac:dyDescent="0.25">
      <c r="B7" s="25" t="s">
        <v>112</v>
      </c>
      <c r="D7" s="60">
        <f>Acq._Loan_Amortization__y</f>
        <v>20</v>
      </c>
      <c r="F7" s="25" t="s">
        <v>119</v>
      </c>
      <c r="H7" s="37">
        <f>SUM(G17:G376)</f>
        <v>682499.9999999993</v>
      </c>
      <c r="J7" s="25" t="s">
        <v>112</v>
      </c>
      <c r="L7" s="60">
        <f>Ref._Loan_Amortization__y</f>
        <v>30</v>
      </c>
      <c r="N7" s="25" t="s">
        <v>119</v>
      </c>
      <c r="P7" s="37">
        <f>SUM(O17:O376)</f>
        <v>524999.99999999907</v>
      </c>
    </row>
    <row r="8" spans="2:16" ht="15" customHeight="1" x14ac:dyDescent="0.25">
      <c r="B8" s="25" t="s">
        <v>113</v>
      </c>
      <c r="D8" s="62" t="s">
        <v>115</v>
      </c>
      <c r="F8" s="25" t="s">
        <v>120</v>
      </c>
      <c r="H8" s="37">
        <f>SUM(F17:F376)</f>
        <v>1121079.0867870175</v>
      </c>
      <c r="J8" s="25" t="s">
        <v>113</v>
      </c>
      <c r="L8" s="62" t="s">
        <v>115</v>
      </c>
      <c r="N8" s="25" t="s">
        <v>120</v>
      </c>
      <c r="P8" s="37">
        <f>SUM(N17:N376)</f>
        <v>1133610.2674678233</v>
      </c>
    </row>
    <row r="9" spans="2:16" ht="15" customHeight="1" x14ac:dyDescent="0.25">
      <c r="B9" s="25" t="s">
        <v>114</v>
      </c>
      <c r="D9" s="61">
        <v>45222</v>
      </c>
      <c r="F9" s="25" t="s">
        <v>121</v>
      </c>
      <c r="H9" s="37">
        <f>H6-H8</f>
        <v>3.7252902984619141E-9</v>
      </c>
      <c r="J9" s="25" t="s">
        <v>114</v>
      </c>
      <c r="L9" s="61">
        <v>45102</v>
      </c>
      <c r="N9" s="25" t="s">
        <v>121</v>
      </c>
      <c r="P9" s="37">
        <f>P6-P8</f>
        <v>6.28642737865448E-9</v>
      </c>
    </row>
    <row r="10" spans="2:16" ht="15" customHeight="1" x14ac:dyDescent="0.25">
      <c r="B10" s="25" t="s">
        <v>101</v>
      </c>
      <c r="D10" s="60">
        <f>IF(D8="Monthly",12,1)</f>
        <v>12</v>
      </c>
      <c r="J10" s="25" t="s">
        <v>101</v>
      </c>
      <c r="L10" s="60">
        <f>IF(L8="Monthly",12,1)</f>
        <v>12</v>
      </c>
    </row>
    <row r="11" spans="2:16" ht="15" customHeight="1" x14ac:dyDescent="0.25">
      <c r="B11" s="25" t="s">
        <v>123</v>
      </c>
      <c r="D11" s="60">
        <f>D10*D7</f>
        <v>240</v>
      </c>
      <c r="J11" s="25" t="s">
        <v>123</v>
      </c>
      <c r="L11" s="60">
        <f>L10*L7</f>
        <v>360</v>
      </c>
    </row>
    <row r="12" spans="2:16" ht="15" customHeight="1" x14ac:dyDescent="0.25">
      <c r="B12" s="25"/>
      <c r="D12" s="59"/>
      <c r="J12" s="25"/>
      <c r="L12" s="59"/>
    </row>
    <row r="13" spans="2:16" ht="15" customHeight="1" x14ac:dyDescent="0.25">
      <c r="B13" s="25" t="s">
        <v>116</v>
      </c>
      <c r="D13" s="37">
        <f>Acq._Monthly_P_I</f>
        <v>7514.9128616125881</v>
      </c>
      <c r="J13" s="25" t="s">
        <v>116</v>
      </c>
      <c r="L13" s="37">
        <f>Ref._Monthly_P_I</f>
        <v>4607.2507429661937</v>
      </c>
    </row>
    <row r="14" spans="2:16" ht="15" customHeight="1" x14ac:dyDescent="0.25"/>
    <row r="15" spans="2:16" ht="26.25" x14ac:dyDescent="0.25">
      <c r="B15" s="35" t="s">
        <v>103</v>
      </c>
      <c r="C15" s="35" t="s">
        <v>104</v>
      </c>
      <c r="D15" s="35" t="s">
        <v>105</v>
      </c>
      <c r="E15" s="36" t="s">
        <v>122</v>
      </c>
      <c r="F15" s="35" t="s">
        <v>106</v>
      </c>
      <c r="G15" s="35" t="s">
        <v>107</v>
      </c>
      <c r="H15" s="35" t="s">
        <v>108</v>
      </c>
      <c r="J15" s="35" t="s">
        <v>103</v>
      </c>
      <c r="K15" s="35" t="s">
        <v>104</v>
      </c>
      <c r="L15" s="35" t="s">
        <v>105</v>
      </c>
      <c r="M15" s="36" t="s">
        <v>122</v>
      </c>
      <c r="N15" s="35" t="s">
        <v>106</v>
      </c>
      <c r="O15" s="35" t="s">
        <v>107</v>
      </c>
      <c r="P15" s="35" t="s">
        <v>108</v>
      </c>
    </row>
    <row r="16" spans="2:16" ht="15" customHeight="1" x14ac:dyDescent="0.25">
      <c r="B16" s="26"/>
      <c r="C16" s="26"/>
      <c r="D16" s="26"/>
      <c r="E16" s="26"/>
      <c r="F16" s="26"/>
      <c r="G16" s="26"/>
      <c r="H16" s="34">
        <f>D5</f>
        <v>682500</v>
      </c>
      <c r="J16" s="26"/>
      <c r="K16" s="26"/>
      <c r="L16" s="26"/>
      <c r="M16" s="26"/>
      <c r="N16" s="26"/>
      <c r="O16" s="26"/>
      <c r="P16" s="34">
        <f>L5</f>
        <v>525000</v>
      </c>
    </row>
    <row r="17" spans="2:16" ht="15" customHeight="1" x14ac:dyDescent="0.25">
      <c r="B17" s="30">
        <v>1</v>
      </c>
      <c r="C17" s="31">
        <f>D9</f>
        <v>45222</v>
      </c>
      <c r="D17" s="27">
        <f>IF(H16+F17&lt;$D$13,H16+F17,$D$13)</f>
        <v>7514.9128616125881</v>
      </c>
      <c r="E17" s="27"/>
      <c r="F17" s="27">
        <f>H16*$H$5</f>
        <v>6825</v>
      </c>
      <c r="G17" s="27">
        <f>D17-F17+E17</f>
        <v>689.91286161258813</v>
      </c>
      <c r="H17" s="27">
        <f>H16-G17</f>
        <v>681810.08713838737</v>
      </c>
      <c r="J17" s="30">
        <v>1</v>
      </c>
      <c r="K17" s="31">
        <f>L9</f>
        <v>45102</v>
      </c>
      <c r="L17" s="27">
        <f>IF(P16+N17&lt;$L$13,P16+N17,$L$13)</f>
        <v>4607.2507429661937</v>
      </c>
      <c r="M17" s="27"/>
      <c r="N17" s="27">
        <f>P16*$P$5</f>
        <v>4375</v>
      </c>
      <c r="O17" s="27">
        <f>L17-N17+M17</f>
        <v>232.25074296619368</v>
      </c>
      <c r="P17" s="27">
        <f>P16-O17</f>
        <v>524767.74925703381</v>
      </c>
    </row>
    <row r="18" spans="2:16" ht="15" customHeight="1" x14ac:dyDescent="0.25">
      <c r="B18" s="30">
        <v>2</v>
      </c>
      <c r="C18" s="31">
        <f>IF(H17&lt;=0,"",EDATE(C17,IF($D$8="Monthly",1,12)))</f>
        <v>45253</v>
      </c>
      <c r="D18" s="27">
        <f t="shared" ref="D18:D81" si="0">IF(H17+F18&lt;$D$13,H17+F18,$D$13)</f>
        <v>7514.9128616125881</v>
      </c>
      <c r="E18" s="27"/>
      <c r="F18" s="27">
        <f t="shared" ref="F18:F81" si="1">H17*$H$5</f>
        <v>6818.1008713838737</v>
      </c>
      <c r="G18" s="27">
        <f t="shared" ref="G18:G81" si="2">D18-F18+E18</f>
        <v>696.81199022871442</v>
      </c>
      <c r="H18" s="27">
        <f t="shared" ref="H18:H81" si="3">H17-G18</f>
        <v>681113.27514815866</v>
      </c>
      <c r="J18" s="30">
        <v>2</v>
      </c>
      <c r="K18" s="31">
        <f>IF(P17&lt;=0,"",EDATE(K17,IF($L$8="Monthly",1,12)))</f>
        <v>45132</v>
      </c>
      <c r="L18" s="27">
        <f t="shared" ref="L18:L81" si="4">IF(P17+N18&lt;$L$13,P17+N18,$L$13)</f>
        <v>4607.2507429661937</v>
      </c>
      <c r="M18" s="27"/>
      <c r="N18" s="27">
        <f t="shared" ref="N18:N81" si="5">P17*$P$5</f>
        <v>4373.0645771419486</v>
      </c>
      <c r="O18" s="27">
        <f t="shared" ref="O18:O81" si="6">L18-N18+M18</f>
        <v>234.18616582424511</v>
      </c>
      <c r="P18" s="27">
        <f t="shared" ref="P18:P81" si="7">P17-O18</f>
        <v>524533.56309120951</v>
      </c>
    </row>
    <row r="19" spans="2:16" ht="15" customHeight="1" x14ac:dyDescent="0.25">
      <c r="B19" s="30">
        <v>3</v>
      </c>
      <c r="C19" s="31">
        <f t="shared" ref="C19:C82" si="8">IF(H18&lt;=0,"",EDATE(C18,IF($D$8="Monthly",1,12)))</f>
        <v>45283</v>
      </c>
      <c r="D19" s="27">
        <f t="shared" si="0"/>
        <v>7514.9128616125881</v>
      </c>
      <c r="E19" s="27"/>
      <c r="F19" s="27">
        <f t="shared" si="1"/>
        <v>6811.1327514815866</v>
      </c>
      <c r="G19" s="27">
        <f t="shared" si="2"/>
        <v>703.78011013100149</v>
      </c>
      <c r="H19" s="27">
        <f t="shared" si="3"/>
        <v>680409.49503802764</v>
      </c>
      <c r="J19" s="30">
        <v>3</v>
      </c>
      <c r="K19" s="31">
        <f t="shared" ref="K19:K82" si="9">IF(P18&lt;=0,"",EDATE(K18,IF($L$8="Monthly",1,12)))</f>
        <v>45163</v>
      </c>
      <c r="L19" s="27">
        <f t="shared" si="4"/>
        <v>4607.2507429661937</v>
      </c>
      <c r="M19" s="27"/>
      <c r="N19" s="27">
        <f t="shared" si="5"/>
        <v>4371.1130257600789</v>
      </c>
      <c r="O19" s="27">
        <f t="shared" si="6"/>
        <v>236.13771720611476</v>
      </c>
      <c r="P19" s="27">
        <f t="shared" si="7"/>
        <v>524297.42537400336</v>
      </c>
    </row>
    <row r="20" spans="2:16" ht="15" customHeight="1" x14ac:dyDescent="0.25">
      <c r="B20" s="30">
        <v>4</v>
      </c>
      <c r="C20" s="31">
        <f t="shared" si="8"/>
        <v>45314</v>
      </c>
      <c r="D20" s="27">
        <f t="shared" si="0"/>
        <v>7514.9128616125881</v>
      </c>
      <c r="E20" s="27"/>
      <c r="F20" s="27">
        <f t="shared" si="1"/>
        <v>6804.0949503802767</v>
      </c>
      <c r="G20" s="27">
        <f t="shared" si="2"/>
        <v>710.81791123231142</v>
      </c>
      <c r="H20" s="27">
        <f t="shared" si="3"/>
        <v>679698.67712679529</v>
      </c>
      <c r="J20" s="30">
        <v>4</v>
      </c>
      <c r="K20" s="31">
        <f t="shared" si="9"/>
        <v>45194</v>
      </c>
      <c r="L20" s="27">
        <f t="shared" si="4"/>
        <v>4607.2507429661937</v>
      </c>
      <c r="M20" s="27"/>
      <c r="N20" s="27">
        <f t="shared" si="5"/>
        <v>4369.145211450028</v>
      </c>
      <c r="O20" s="27">
        <f t="shared" si="6"/>
        <v>238.10553151616568</v>
      </c>
      <c r="P20" s="27">
        <f t="shared" si="7"/>
        <v>524059.31984248717</v>
      </c>
    </row>
    <row r="21" spans="2:16" ht="15" customHeight="1" x14ac:dyDescent="0.25">
      <c r="B21" s="30">
        <v>5</v>
      </c>
      <c r="C21" s="31">
        <f t="shared" si="8"/>
        <v>45345</v>
      </c>
      <c r="D21" s="27">
        <f t="shared" si="0"/>
        <v>7514.9128616125881</v>
      </c>
      <c r="E21" s="27"/>
      <c r="F21" s="27">
        <f t="shared" si="1"/>
        <v>6796.9867712679534</v>
      </c>
      <c r="G21" s="27">
        <f t="shared" si="2"/>
        <v>717.92609034463476</v>
      </c>
      <c r="H21" s="27">
        <f t="shared" si="3"/>
        <v>678980.75103645062</v>
      </c>
      <c r="J21" s="30">
        <v>5</v>
      </c>
      <c r="K21" s="31">
        <f t="shared" si="9"/>
        <v>45224</v>
      </c>
      <c r="L21" s="27">
        <f t="shared" si="4"/>
        <v>4607.2507429661937</v>
      </c>
      <c r="M21" s="27"/>
      <c r="N21" s="27">
        <f t="shared" si="5"/>
        <v>4367.1609986873927</v>
      </c>
      <c r="O21" s="27">
        <f t="shared" si="6"/>
        <v>240.08974427880094</v>
      </c>
      <c r="P21" s="27">
        <f t="shared" si="7"/>
        <v>523819.23009820835</v>
      </c>
    </row>
    <row r="22" spans="2:16" ht="15" customHeight="1" x14ac:dyDescent="0.25">
      <c r="B22" s="30">
        <v>6</v>
      </c>
      <c r="C22" s="31">
        <f t="shared" si="8"/>
        <v>45374</v>
      </c>
      <c r="D22" s="27">
        <f t="shared" si="0"/>
        <v>7514.9128616125881</v>
      </c>
      <c r="E22" s="27"/>
      <c r="F22" s="27">
        <f t="shared" si="1"/>
        <v>6789.807510364506</v>
      </c>
      <c r="G22" s="27">
        <f t="shared" si="2"/>
        <v>725.10535124808212</v>
      </c>
      <c r="H22" s="27">
        <f t="shared" si="3"/>
        <v>678255.64568520256</v>
      </c>
      <c r="J22" s="30">
        <v>6</v>
      </c>
      <c r="K22" s="31">
        <f t="shared" si="9"/>
        <v>45255</v>
      </c>
      <c r="L22" s="27">
        <f t="shared" si="4"/>
        <v>4607.2507429661937</v>
      </c>
      <c r="M22" s="27"/>
      <c r="N22" s="27">
        <f t="shared" si="5"/>
        <v>4365.1602508184033</v>
      </c>
      <c r="O22" s="27">
        <f t="shared" si="6"/>
        <v>242.09049214779043</v>
      </c>
      <c r="P22" s="27">
        <f t="shared" si="7"/>
        <v>523577.13960606058</v>
      </c>
    </row>
    <row r="23" spans="2:16" ht="15" customHeight="1" x14ac:dyDescent="0.25">
      <c r="B23" s="30">
        <v>7</v>
      </c>
      <c r="C23" s="31">
        <f t="shared" si="8"/>
        <v>45405</v>
      </c>
      <c r="D23" s="27">
        <f t="shared" si="0"/>
        <v>7514.9128616125881</v>
      </c>
      <c r="E23" s="27"/>
      <c r="F23" s="27">
        <f t="shared" si="1"/>
        <v>6782.5564568520258</v>
      </c>
      <c r="G23" s="27">
        <f t="shared" si="2"/>
        <v>732.35640476056233</v>
      </c>
      <c r="H23" s="27">
        <f t="shared" si="3"/>
        <v>677523.28928044194</v>
      </c>
      <c r="J23" s="30">
        <v>7</v>
      </c>
      <c r="K23" s="31">
        <f t="shared" si="9"/>
        <v>45285</v>
      </c>
      <c r="L23" s="27">
        <f t="shared" si="4"/>
        <v>4607.2507429661937</v>
      </c>
      <c r="M23" s="27"/>
      <c r="N23" s="27">
        <f t="shared" si="5"/>
        <v>4363.1428300505049</v>
      </c>
      <c r="O23" s="27">
        <f t="shared" si="6"/>
        <v>244.10791291568876</v>
      </c>
      <c r="P23" s="27">
        <f t="shared" si="7"/>
        <v>523333.03169314488</v>
      </c>
    </row>
    <row r="24" spans="2:16" ht="15" customHeight="1" x14ac:dyDescent="0.25">
      <c r="B24" s="30">
        <v>8</v>
      </c>
      <c r="C24" s="31">
        <f t="shared" si="8"/>
        <v>45435</v>
      </c>
      <c r="D24" s="27">
        <f t="shared" si="0"/>
        <v>7514.9128616125881</v>
      </c>
      <c r="E24" s="27"/>
      <c r="F24" s="27">
        <f t="shared" si="1"/>
        <v>6775.2328928044199</v>
      </c>
      <c r="G24" s="27">
        <f t="shared" si="2"/>
        <v>739.67996880816827</v>
      </c>
      <c r="H24" s="27">
        <f t="shared" si="3"/>
        <v>676783.60931163374</v>
      </c>
      <c r="J24" s="30">
        <v>8</v>
      </c>
      <c r="K24" s="31">
        <f t="shared" si="9"/>
        <v>45316</v>
      </c>
      <c r="L24" s="27">
        <f t="shared" si="4"/>
        <v>4607.2507429661937</v>
      </c>
      <c r="M24" s="27"/>
      <c r="N24" s="27">
        <f t="shared" si="5"/>
        <v>4361.1085974428743</v>
      </c>
      <c r="O24" s="27">
        <f t="shared" si="6"/>
        <v>246.14214552331941</v>
      </c>
      <c r="P24" s="27">
        <f t="shared" si="7"/>
        <v>523086.88954762154</v>
      </c>
    </row>
    <row r="25" spans="2:16" ht="15" customHeight="1" x14ac:dyDescent="0.25">
      <c r="B25" s="30">
        <v>9</v>
      </c>
      <c r="C25" s="31">
        <f t="shared" si="8"/>
        <v>45466</v>
      </c>
      <c r="D25" s="27">
        <f t="shared" si="0"/>
        <v>7514.9128616125881</v>
      </c>
      <c r="E25" s="27"/>
      <c r="F25" s="27">
        <f t="shared" si="1"/>
        <v>6767.8360931163379</v>
      </c>
      <c r="G25" s="27">
        <f t="shared" si="2"/>
        <v>747.07676849625022</v>
      </c>
      <c r="H25" s="27">
        <f t="shared" si="3"/>
        <v>676036.53254313744</v>
      </c>
      <c r="J25" s="30">
        <v>9</v>
      </c>
      <c r="K25" s="31">
        <f t="shared" si="9"/>
        <v>45347</v>
      </c>
      <c r="L25" s="27">
        <f t="shared" si="4"/>
        <v>4607.2507429661937</v>
      </c>
      <c r="M25" s="27"/>
      <c r="N25" s="27">
        <f t="shared" si="5"/>
        <v>4359.0574128968465</v>
      </c>
      <c r="O25" s="27">
        <f t="shared" si="6"/>
        <v>248.19333006934721</v>
      </c>
      <c r="P25" s="27">
        <f t="shared" si="7"/>
        <v>522838.69621755218</v>
      </c>
    </row>
    <row r="26" spans="2:16" ht="15" customHeight="1" x14ac:dyDescent="0.25">
      <c r="B26" s="30">
        <v>10</v>
      </c>
      <c r="C26" s="31">
        <f t="shared" si="8"/>
        <v>45496</v>
      </c>
      <c r="D26" s="27">
        <f t="shared" si="0"/>
        <v>7514.9128616125881</v>
      </c>
      <c r="E26" s="27"/>
      <c r="F26" s="27">
        <f t="shared" si="1"/>
        <v>6760.3653254313749</v>
      </c>
      <c r="G26" s="27">
        <f t="shared" si="2"/>
        <v>754.54753618121322</v>
      </c>
      <c r="H26" s="27">
        <f t="shared" si="3"/>
        <v>675281.98500695627</v>
      </c>
      <c r="J26" s="30">
        <v>10</v>
      </c>
      <c r="K26" s="31">
        <f t="shared" si="9"/>
        <v>45376</v>
      </c>
      <c r="L26" s="27">
        <f t="shared" si="4"/>
        <v>4607.2507429661937</v>
      </c>
      <c r="M26" s="27"/>
      <c r="N26" s="27">
        <f t="shared" si="5"/>
        <v>4356.9891351462684</v>
      </c>
      <c r="O26" s="27">
        <f t="shared" si="6"/>
        <v>250.2616078199253</v>
      </c>
      <c r="P26" s="27">
        <f t="shared" si="7"/>
        <v>522588.43460973224</v>
      </c>
    </row>
    <row r="27" spans="2:16" ht="15" customHeight="1" x14ac:dyDescent="0.25">
      <c r="B27" s="30">
        <v>11</v>
      </c>
      <c r="C27" s="31">
        <f t="shared" si="8"/>
        <v>45527</v>
      </c>
      <c r="D27" s="27">
        <f t="shared" si="0"/>
        <v>7514.9128616125881</v>
      </c>
      <c r="E27" s="27"/>
      <c r="F27" s="27">
        <f t="shared" si="1"/>
        <v>6752.8198500695626</v>
      </c>
      <c r="G27" s="27">
        <f t="shared" si="2"/>
        <v>762.09301154302557</v>
      </c>
      <c r="H27" s="27">
        <f t="shared" si="3"/>
        <v>674519.89199541323</v>
      </c>
      <c r="J27" s="30">
        <v>11</v>
      </c>
      <c r="K27" s="31">
        <f t="shared" si="9"/>
        <v>45407</v>
      </c>
      <c r="L27" s="27">
        <f t="shared" si="4"/>
        <v>4607.2507429661937</v>
      </c>
      <c r="M27" s="27"/>
      <c r="N27" s="27">
        <f t="shared" si="5"/>
        <v>4354.9036217477687</v>
      </c>
      <c r="O27" s="27">
        <f t="shared" si="6"/>
        <v>252.34712121842495</v>
      </c>
      <c r="P27" s="27">
        <f t="shared" si="7"/>
        <v>522336.08748851379</v>
      </c>
    </row>
    <row r="28" spans="2:16" ht="15" customHeight="1" x14ac:dyDescent="0.25">
      <c r="B28" s="30">
        <v>12</v>
      </c>
      <c r="C28" s="31">
        <f t="shared" si="8"/>
        <v>45558</v>
      </c>
      <c r="D28" s="27">
        <f t="shared" si="0"/>
        <v>7514.9128616125881</v>
      </c>
      <c r="E28" s="27"/>
      <c r="F28" s="27">
        <f t="shared" si="1"/>
        <v>6745.1989199541322</v>
      </c>
      <c r="G28" s="27">
        <f t="shared" si="2"/>
        <v>769.71394165845595</v>
      </c>
      <c r="H28" s="27">
        <f t="shared" si="3"/>
        <v>673750.17805375473</v>
      </c>
      <c r="J28" s="30">
        <v>12</v>
      </c>
      <c r="K28" s="31">
        <f t="shared" si="9"/>
        <v>45437</v>
      </c>
      <c r="L28" s="27">
        <f t="shared" si="4"/>
        <v>4607.2507429661937</v>
      </c>
      <c r="M28" s="27"/>
      <c r="N28" s="27">
        <f t="shared" si="5"/>
        <v>4352.8007290709484</v>
      </c>
      <c r="O28" s="27">
        <f t="shared" si="6"/>
        <v>254.45001389524532</v>
      </c>
      <c r="P28" s="27">
        <f t="shared" si="7"/>
        <v>522081.63747461856</v>
      </c>
    </row>
    <row r="29" spans="2:16" ht="15" customHeight="1" x14ac:dyDescent="0.25">
      <c r="B29" s="30">
        <v>13</v>
      </c>
      <c r="C29" s="31">
        <f t="shared" si="8"/>
        <v>45588</v>
      </c>
      <c r="D29" s="27">
        <f t="shared" si="0"/>
        <v>7514.9128616125881</v>
      </c>
      <c r="E29" s="27"/>
      <c r="F29" s="27">
        <f t="shared" si="1"/>
        <v>6737.5017805375473</v>
      </c>
      <c r="G29" s="27">
        <f t="shared" si="2"/>
        <v>777.41108107504078</v>
      </c>
      <c r="H29" s="27">
        <f t="shared" si="3"/>
        <v>672972.76697267964</v>
      </c>
      <c r="J29" s="30">
        <v>13</v>
      </c>
      <c r="K29" s="31">
        <f t="shared" si="9"/>
        <v>45468</v>
      </c>
      <c r="L29" s="27">
        <f t="shared" si="4"/>
        <v>4607.2507429661937</v>
      </c>
      <c r="M29" s="27"/>
      <c r="N29" s="27">
        <f t="shared" si="5"/>
        <v>4350.6803122884876</v>
      </c>
      <c r="O29" s="27">
        <f t="shared" si="6"/>
        <v>256.5704306777061</v>
      </c>
      <c r="P29" s="27">
        <f t="shared" si="7"/>
        <v>521825.06704394083</v>
      </c>
    </row>
    <row r="30" spans="2:16" ht="15" customHeight="1" x14ac:dyDescent="0.25">
      <c r="B30" s="30">
        <v>14</v>
      </c>
      <c r="C30" s="31">
        <f t="shared" si="8"/>
        <v>45619</v>
      </c>
      <c r="D30" s="27">
        <f t="shared" si="0"/>
        <v>7514.9128616125881</v>
      </c>
      <c r="E30" s="27"/>
      <c r="F30" s="27">
        <f t="shared" si="1"/>
        <v>6729.7276697267962</v>
      </c>
      <c r="G30" s="27">
        <f t="shared" si="2"/>
        <v>785.18519188579194</v>
      </c>
      <c r="H30" s="27">
        <f t="shared" si="3"/>
        <v>672187.58178079384</v>
      </c>
      <c r="J30" s="30">
        <v>14</v>
      </c>
      <c r="K30" s="31">
        <f t="shared" si="9"/>
        <v>45498</v>
      </c>
      <c r="L30" s="27">
        <f t="shared" si="4"/>
        <v>4607.2507429661937</v>
      </c>
      <c r="M30" s="27"/>
      <c r="N30" s="27">
        <f t="shared" si="5"/>
        <v>4348.5422253661736</v>
      </c>
      <c r="O30" s="27">
        <f t="shared" si="6"/>
        <v>258.70851760002006</v>
      </c>
      <c r="P30" s="27">
        <f t="shared" si="7"/>
        <v>521566.3585263408</v>
      </c>
    </row>
    <row r="31" spans="2:16" x14ac:dyDescent="0.25">
      <c r="B31" s="30">
        <v>15</v>
      </c>
      <c r="C31" s="31">
        <f t="shared" si="8"/>
        <v>45649</v>
      </c>
      <c r="D31" s="27">
        <f t="shared" si="0"/>
        <v>7514.9128616125881</v>
      </c>
      <c r="E31" s="27"/>
      <c r="F31" s="27">
        <f t="shared" si="1"/>
        <v>6721.8758178079388</v>
      </c>
      <c r="G31" s="27">
        <f t="shared" si="2"/>
        <v>793.03704380464933</v>
      </c>
      <c r="H31" s="27">
        <f t="shared" si="3"/>
        <v>671394.54473698919</v>
      </c>
      <c r="J31" s="30">
        <v>15</v>
      </c>
      <c r="K31" s="31">
        <f t="shared" si="9"/>
        <v>45529</v>
      </c>
      <c r="L31" s="27">
        <f t="shared" si="4"/>
        <v>4607.2507429661937</v>
      </c>
      <c r="M31" s="27"/>
      <c r="N31" s="27">
        <f t="shared" si="5"/>
        <v>4346.3863210528398</v>
      </c>
      <c r="O31" s="27">
        <f t="shared" si="6"/>
        <v>260.86442191335391</v>
      </c>
      <c r="P31" s="27">
        <f t="shared" si="7"/>
        <v>521305.49410442746</v>
      </c>
    </row>
    <row r="32" spans="2:16" ht="15" customHeight="1" x14ac:dyDescent="0.25">
      <c r="B32" s="30">
        <v>16</v>
      </c>
      <c r="C32" s="31">
        <f t="shared" si="8"/>
        <v>45680</v>
      </c>
      <c r="D32" s="27">
        <f t="shared" si="0"/>
        <v>7514.9128616125881</v>
      </c>
      <c r="E32" s="27"/>
      <c r="F32" s="27">
        <f t="shared" si="1"/>
        <v>6713.9454473698925</v>
      </c>
      <c r="G32" s="27">
        <f t="shared" si="2"/>
        <v>800.96741424269567</v>
      </c>
      <c r="H32" s="27">
        <f t="shared" si="3"/>
        <v>670593.57732274651</v>
      </c>
      <c r="J32" s="30">
        <v>16</v>
      </c>
      <c r="K32" s="31">
        <f t="shared" si="9"/>
        <v>45560</v>
      </c>
      <c r="L32" s="27">
        <f t="shared" si="4"/>
        <v>4607.2507429661937</v>
      </c>
      <c r="M32" s="27"/>
      <c r="N32" s="27">
        <f t="shared" si="5"/>
        <v>4344.2124508702291</v>
      </c>
      <c r="O32" s="27">
        <f t="shared" si="6"/>
        <v>263.03829209596461</v>
      </c>
      <c r="P32" s="27">
        <f t="shared" si="7"/>
        <v>521042.45581233152</v>
      </c>
    </row>
    <row r="33" spans="2:16" ht="15" customHeight="1" x14ac:dyDescent="0.25">
      <c r="B33" s="30">
        <v>17</v>
      </c>
      <c r="C33" s="31">
        <f t="shared" si="8"/>
        <v>45711</v>
      </c>
      <c r="D33" s="27">
        <f t="shared" si="0"/>
        <v>7514.9128616125881</v>
      </c>
      <c r="E33" s="27"/>
      <c r="F33" s="27">
        <f t="shared" si="1"/>
        <v>6705.9357732274657</v>
      </c>
      <c r="G33" s="27">
        <f t="shared" si="2"/>
        <v>808.97708838512244</v>
      </c>
      <c r="H33" s="27">
        <f t="shared" si="3"/>
        <v>669784.60023436137</v>
      </c>
      <c r="J33" s="30">
        <v>17</v>
      </c>
      <c r="K33" s="31">
        <f t="shared" si="9"/>
        <v>45590</v>
      </c>
      <c r="L33" s="27">
        <f t="shared" si="4"/>
        <v>4607.2507429661937</v>
      </c>
      <c r="M33" s="27"/>
      <c r="N33" s="27">
        <f t="shared" si="5"/>
        <v>4342.0204651027625</v>
      </c>
      <c r="O33" s="27">
        <f t="shared" si="6"/>
        <v>265.23027786343118</v>
      </c>
      <c r="P33" s="27">
        <f t="shared" si="7"/>
        <v>520777.22553446807</v>
      </c>
    </row>
    <row r="34" spans="2:16" ht="15" customHeight="1" x14ac:dyDescent="0.25">
      <c r="B34" s="30">
        <v>18</v>
      </c>
      <c r="C34" s="31">
        <f t="shared" si="8"/>
        <v>45739</v>
      </c>
      <c r="D34" s="27">
        <f t="shared" si="0"/>
        <v>7514.9128616125881</v>
      </c>
      <c r="E34" s="27"/>
      <c r="F34" s="27">
        <f t="shared" si="1"/>
        <v>6697.8460023436137</v>
      </c>
      <c r="G34" s="27">
        <f t="shared" si="2"/>
        <v>817.06685926897444</v>
      </c>
      <c r="H34" s="27">
        <f t="shared" si="3"/>
        <v>668967.53337509243</v>
      </c>
      <c r="J34" s="30">
        <v>18</v>
      </c>
      <c r="K34" s="31">
        <f t="shared" si="9"/>
        <v>45621</v>
      </c>
      <c r="L34" s="27">
        <f t="shared" si="4"/>
        <v>4607.2507429661937</v>
      </c>
      <c r="M34" s="27"/>
      <c r="N34" s="27">
        <f t="shared" si="5"/>
        <v>4339.8102127872335</v>
      </c>
      <c r="O34" s="27">
        <f t="shared" si="6"/>
        <v>267.44053017896022</v>
      </c>
      <c r="P34" s="27">
        <f t="shared" si="7"/>
        <v>520509.78500428912</v>
      </c>
    </row>
    <row r="35" spans="2:16" ht="15" customHeight="1" x14ac:dyDescent="0.25">
      <c r="B35" s="30">
        <v>19</v>
      </c>
      <c r="C35" s="31">
        <f t="shared" si="8"/>
        <v>45770</v>
      </c>
      <c r="D35" s="27">
        <f t="shared" si="0"/>
        <v>7514.9128616125881</v>
      </c>
      <c r="E35" s="27"/>
      <c r="F35" s="27">
        <f t="shared" si="1"/>
        <v>6689.6753337509244</v>
      </c>
      <c r="G35" s="27">
        <f t="shared" si="2"/>
        <v>825.23752786166369</v>
      </c>
      <c r="H35" s="27">
        <f t="shared" si="3"/>
        <v>668142.29584723082</v>
      </c>
      <c r="J35" s="30">
        <v>19</v>
      </c>
      <c r="K35" s="31">
        <f t="shared" si="9"/>
        <v>45651</v>
      </c>
      <c r="L35" s="27">
        <f t="shared" si="4"/>
        <v>4607.2507429661937</v>
      </c>
      <c r="M35" s="27"/>
      <c r="N35" s="27">
        <f t="shared" si="5"/>
        <v>4337.5815417024096</v>
      </c>
      <c r="O35" s="27">
        <f t="shared" si="6"/>
        <v>269.66920126378409</v>
      </c>
      <c r="P35" s="27">
        <f t="shared" si="7"/>
        <v>520240.11580302531</v>
      </c>
    </row>
    <row r="36" spans="2:16" ht="15" customHeight="1" x14ac:dyDescent="0.25">
      <c r="B36" s="30">
        <v>20</v>
      </c>
      <c r="C36" s="31">
        <f t="shared" si="8"/>
        <v>45800</v>
      </c>
      <c r="D36" s="27">
        <f t="shared" si="0"/>
        <v>7514.9128616125881</v>
      </c>
      <c r="E36" s="27"/>
      <c r="F36" s="27">
        <f t="shared" si="1"/>
        <v>6681.422958472308</v>
      </c>
      <c r="G36" s="27">
        <f t="shared" si="2"/>
        <v>833.48990314028015</v>
      </c>
      <c r="H36" s="27">
        <f t="shared" si="3"/>
        <v>667308.80594409059</v>
      </c>
      <c r="J36" s="30">
        <v>20</v>
      </c>
      <c r="K36" s="31">
        <f t="shared" si="9"/>
        <v>45682</v>
      </c>
      <c r="L36" s="27">
        <f t="shared" si="4"/>
        <v>4607.2507429661937</v>
      </c>
      <c r="M36" s="27"/>
      <c r="N36" s="27">
        <f t="shared" si="5"/>
        <v>4335.3342983585444</v>
      </c>
      <c r="O36" s="27">
        <f t="shared" si="6"/>
        <v>271.91644460764928</v>
      </c>
      <c r="P36" s="27">
        <f t="shared" si="7"/>
        <v>519968.19935841765</v>
      </c>
    </row>
    <row r="37" spans="2:16" ht="15" customHeight="1" x14ac:dyDescent="0.25">
      <c r="B37" s="30">
        <v>21</v>
      </c>
      <c r="C37" s="31">
        <f t="shared" si="8"/>
        <v>45831</v>
      </c>
      <c r="D37" s="27">
        <f t="shared" si="0"/>
        <v>7514.9128616125881</v>
      </c>
      <c r="E37" s="27"/>
      <c r="F37" s="27">
        <f t="shared" si="1"/>
        <v>6673.0880594409064</v>
      </c>
      <c r="G37" s="27">
        <f t="shared" si="2"/>
        <v>841.82480217168177</v>
      </c>
      <c r="H37" s="27">
        <f t="shared" si="3"/>
        <v>666466.98114191892</v>
      </c>
      <c r="J37" s="30">
        <v>21</v>
      </c>
      <c r="K37" s="31">
        <f t="shared" si="9"/>
        <v>45713</v>
      </c>
      <c r="L37" s="27">
        <f t="shared" si="4"/>
        <v>4607.2507429661937</v>
      </c>
      <c r="M37" s="27"/>
      <c r="N37" s="27">
        <f t="shared" si="5"/>
        <v>4333.0683279868135</v>
      </c>
      <c r="O37" s="27">
        <f t="shared" si="6"/>
        <v>274.18241497938016</v>
      </c>
      <c r="P37" s="27">
        <f t="shared" si="7"/>
        <v>519694.01694343827</v>
      </c>
    </row>
    <row r="38" spans="2:16" ht="15" customHeight="1" x14ac:dyDescent="0.25">
      <c r="B38" s="30">
        <v>22</v>
      </c>
      <c r="C38" s="31">
        <f t="shared" si="8"/>
        <v>45861</v>
      </c>
      <c r="D38" s="27">
        <f t="shared" si="0"/>
        <v>7514.9128616125881</v>
      </c>
      <c r="E38" s="27"/>
      <c r="F38" s="27">
        <f t="shared" si="1"/>
        <v>6664.6698114191895</v>
      </c>
      <c r="G38" s="27">
        <f t="shared" si="2"/>
        <v>850.24305019339863</v>
      </c>
      <c r="H38" s="27">
        <f t="shared" si="3"/>
        <v>665616.73809172551</v>
      </c>
      <c r="J38" s="30">
        <v>22</v>
      </c>
      <c r="K38" s="31">
        <f t="shared" si="9"/>
        <v>45741</v>
      </c>
      <c r="L38" s="27">
        <f t="shared" si="4"/>
        <v>4607.2507429661937</v>
      </c>
      <c r="M38" s="27"/>
      <c r="N38" s="27">
        <f t="shared" si="5"/>
        <v>4330.7834745286518</v>
      </c>
      <c r="O38" s="27">
        <f t="shared" si="6"/>
        <v>276.46726843754186</v>
      </c>
      <c r="P38" s="27">
        <f t="shared" si="7"/>
        <v>519417.54967500072</v>
      </c>
    </row>
    <row r="39" spans="2:16" x14ac:dyDescent="0.25">
      <c r="B39" s="30">
        <v>23</v>
      </c>
      <c r="C39" s="31">
        <f t="shared" si="8"/>
        <v>45892</v>
      </c>
      <c r="D39" s="27">
        <f t="shared" si="0"/>
        <v>7514.9128616125881</v>
      </c>
      <c r="E39" s="27"/>
      <c r="F39" s="27">
        <f t="shared" si="1"/>
        <v>6656.1673809172553</v>
      </c>
      <c r="G39" s="27">
        <f t="shared" si="2"/>
        <v>858.74548069533284</v>
      </c>
      <c r="H39" s="27">
        <f t="shared" si="3"/>
        <v>664757.99261103012</v>
      </c>
      <c r="J39" s="30">
        <v>23</v>
      </c>
      <c r="K39" s="31">
        <f t="shared" si="9"/>
        <v>45772</v>
      </c>
      <c r="L39" s="27">
        <f t="shared" si="4"/>
        <v>4607.2507429661937</v>
      </c>
      <c r="M39" s="27"/>
      <c r="N39" s="27">
        <f t="shared" si="5"/>
        <v>4328.4795806250058</v>
      </c>
      <c r="O39" s="27">
        <f t="shared" si="6"/>
        <v>278.77116234118785</v>
      </c>
      <c r="P39" s="27">
        <f t="shared" si="7"/>
        <v>519138.77851265954</v>
      </c>
    </row>
    <row r="40" spans="2:16" ht="15" customHeight="1" x14ac:dyDescent="0.25">
      <c r="B40" s="30">
        <v>24</v>
      </c>
      <c r="C40" s="31">
        <f t="shared" si="8"/>
        <v>45923</v>
      </c>
      <c r="D40" s="27">
        <f t="shared" si="0"/>
        <v>7514.9128616125881</v>
      </c>
      <c r="E40" s="27"/>
      <c r="F40" s="27">
        <f t="shared" si="1"/>
        <v>6647.5799261103011</v>
      </c>
      <c r="G40" s="27">
        <f t="shared" si="2"/>
        <v>867.332935502287</v>
      </c>
      <c r="H40" s="27">
        <f t="shared" si="3"/>
        <v>663890.65967552783</v>
      </c>
      <c r="J40" s="30">
        <v>24</v>
      </c>
      <c r="K40" s="31">
        <f t="shared" si="9"/>
        <v>45802</v>
      </c>
      <c r="L40" s="27">
        <f t="shared" si="4"/>
        <v>4607.2507429661937</v>
      </c>
      <c r="M40" s="27"/>
      <c r="N40" s="27">
        <f t="shared" si="5"/>
        <v>4326.1564876054963</v>
      </c>
      <c r="O40" s="27">
        <f t="shared" si="6"/>
        <v>281.09425536069739</v>
      </c>
      <c r="P40" s="27">
        <f t="shared" si="7"/>
        <v>518857.68425729882</v>
      </c>
    </row>
    <row r="41" spans="2:16" ht="15" customHeight="1" x14ac:dyDescent="0.25">
      <c r="B41" s="30">
        <v>25</v>
      </c>
      <c r="C41" s="31">
        <f t="shared" si="8"/>
        <v>45953</v>
      </c>
      <c r="D41" s="27">
        <f t="shared" si="0"/>
        <v>7514.9128616125881</v>
      </c>
      <c r="E41" s="27"/>
      <c r="F41" s="27">
        <f t="shared" si="1"/>
        <v>6638.9065967552788</v>
      </c>
      <c r="G41" s="27">
        <f t="shared" si="2"/>
        <v>876.00626485730936</v>
      </c>
      <c r="H41" s="27">
        <f t="shared" si="3"/>
        <v>663014.65341067046</v>
      </c>
      <c r="J41" s="30">
        <v>25</v>
      </c>
      <c r="K41" s="31">
        <f t="shared" si="9"/>
        <v>45833</v>
      </c>
      <c r="L41" s="27">
        <f t="shared" si="4"/>
        <v>4607.2507429661937</v>
      </c>
      <c r="M41" s="27"/>
      <c r="N41" s="27">
        <f t="shared" si="5"/>
        <v>4323.8140354774905</v>
      </c>
      <c r="O41" s="27">
        <f t="shared" si="6"/>
        <v>283.43670748870318</v>
      </c>
      <c r="P41" s="27">
        <f t="shared" si="7"/>
        <v>518574.2475498101</v>
      </c>
    </row>
    <row r="42" spans="2:16" ht="15" customHeight="1" x14ac:dyDescent="0.25">
      <c r="B42" s="30">
        <v>26</v>
      </c>
      <c r="C42" s="31">
        <f t="shared" si="8"/>
        <v>45984</v>
      </c>
      <c r="D42" s="27">
        <f t="shared" si="0"/>
        <v>7514.9128616125881</v>
      </c>
      <c r="E42" s="27"/>
      <c r="F42" s="27">
        <f t="shared" si="1"/>
        <v>6630.1465341067051</v>
      </c>
      <c r="G42" s="27">
        <f t="shared" si="2"/>
        <v>884.76632750588305</v>
      </c>
      <c r="H42" s="27">
        <f t="shared" si="3"/>
        <v>662129.88708316453</v>
      </c>
      <c r="J42" s="30">
        <v>26</v>
      </c>
      <c r="K42" s="31">
        <f t="shared" si="9"/>
        <v>45863</v>
      </c>
      <c r="L42" s="27">
        <f t="shared" si="4"/>
        <v>4607.2507429661937</v>
      </c>
      <c r="M42" s="27"/>
      <c r="N42" s="27">
        <f t="shared" si="5"/>
        <v>4321.4520629150838</v>
      </c>
      <c r="O42" s="27">
        <f t="shared" si="6"/>
        <v>285.79868005110984</v>
      </c>
      <c r="P42" s="27">
        <f t="shared" si="7"/>
        <v>518288.44886975898</v>
      </c>
    </row>
    <row r="43" spans="2:16" ht="15" customHeight="1" x14ac:dyDescent="0.25">
      <c r="B43" s="30">
        <v>27</v>
      </c>
      <c r="C43" s="31">
        <f t="shared" si="8"/>
        <v>46014</v>
      </c>
      <c r="D43" s="27">
        <f t="shared" si="0"/>
        <v>7514.9128616125881</v>
      </c>
      <c r="E43" s="27"/>
      <c r="F43" s="27">
        <f t="shared" si="1"/>
        <v>6621.2988708316452</v>
      </c>
      <c r="G43" s="27">
        <f t="shared" si="2"/>
        <v>893.61399078094291</v>
      </c>
      <c r="H43" s="27">
        <f t="shared" si="3"/>
        <v>661236.27309238364</v>
      </c>
      <c r="J43" s="30">
        <v>27</v>
      </c>
      <c r="K43" s="31">
        <f t="shared" si="9"/>
        <v>45894</v>
      </c>
      <c r="L43" s="27">
        <f t="shared" si="4"/>
        <v>4607.2507429661937</v>
      </c>
      <c r="M43" s="27"/>
      <c r="N43" s="27">
        <f t="shared" si="5"/>
        <v>4319.0704072479912</v>
      </c>
      <c r="O43" s="27">
        <f t="shared" si="6"/>
        <v>288.18033571820251</v>
      </c>
      <c r="P43" s="27">
        <f t="shared" si="7"/>
        <v>518000.26853404078</v>
      </c>
    </row>
    <row r="44" spans="2:16" ht="15" customHeight="1" x14ac:dyDescent="0.25">
      <c r="B44" s="30">
        <v>28</v>
      </c>
      <c r="C44" s="31">
        <f t="shared" si="8"/>
        <v>46045</v>
      </c>
      <c r="D44" s="27">
        <f t="shared" si="0"/>
        <v>7514.9128616125881</v>
      </c>
      <c r="E44" s="27"/>
      <c r="F44" s="27">
        <f t="shared" si="1"/>
        <v>6612.3627309238364</v>
      </c>
      <c r="G44" s="27">
        <f t="shared" si="2"/>
        <v>902.55013068875178</v>
      </c>
      <c r="H44" s="27">
        <f t="shared" si="3"/>
        <v>660333.72296169493</v>
      </c>
      <c r="J44" s="30">
        <v>28</v>
      </c>
      <c r="K44" s="31">
        <f t="shared" si="9"/>
        <v>45925</v>
      </c>
      <c r="L44" s="27">
        <f t="shared" si="4"/>
        <v>4607.2507429661937</v>
      </c>
      <c r="M44" s="27"/>
      <c r="N44" s="27">
        <f t="shared" si="5"/>
        <v>4316.6689044503401</v>
      </c>
      <c r="O44" s="27">
        <f t="shared" si="6"/>
        <v>290.58183851585363</v>
      </c>
      <c r="P44" s="27">
        <f t="shared" si="7"/>
        <v>517709.6866955249</v>
      </c>
    </row>
    <row r="45" spans="2:16" ht="15" customHeight="1" x14ac:dyDescent="0.25">
      <c r="B45" s="30">
        <v>29</v>
      </c>
      <c r="C45" s="31">
        <f t="shared" si="8"/>
        <v>46076</v>
      </c>
      <c r="D45" s="27">
        <f t="shared" si="0"/>
        <v>7514.9128616125881</v>
      </c>
      <c r="E45" s="27"/>
      <c r="F45" s="27">
        <f t="shared" si="1"/>
        <v>6603.3372296169491</v>
      </c>
      <c r="G45" s="27">
        <f t="shared" si="2"/>
        <v>911.57563199563901</v>
      </c>
      <c r="H45" s="27">
        <f t="shared" si="3"/>
        <v>659422.14732969925</v>
      </c>
      <c r="J45" s="30">
        <v>29</v>
      </c>
      <c r="K45" s="31">
        <f t="shared" si="9"/>
        <v>45955</v>
      </c>
      <c r="L45" s="27">
        <f t="shared" si="4"/>
        <v>4607.2507429661937</v>
      </c>
      <c r="M45" s="27"/>
      <c r="N45" s="27">
        <f t="shared" si="5"/>
        <v>4314.2473891293739</v>
      </c>
      <c r="O45" s="27">
        <f t="shared" si="6"/>
        <v>293.00335383681977</v>
      </c>
      <c r="P45" s="27">
        <f t="shared" si="7"/>
        <v>517416.68334168807</v>
      </c>
    </row>
    <row r="46" spans="2:16" ht="15" customHeight="1" x14ac:dyDescent="0.25">
      <c r="B46" s="30">
        <v>30</v>
      </c>
      <c r="C46" s="31">
        <f t="shared" si="8"/>
        <v>46104</v>
      </c>
      <c r="D46" s="27">
        <f t="shared" si="0"/>
        <v>7514.9128616125881</v>
      </c>
      <c r="E46" s="27"/>
      <c r="F46" s="27">
        <f t="shared" si="1"/>
        <v>6594.2214732969924</v>
      </c>
      <c r="G46" s="27">
        <f t="shared" si="2"/>
        <v>920.69138831559576</v>
      </c>
      <c r="H46" s="27">
        <f t="shared" si="3"/>
        <v>658501.45594138361</v>
      </c>
      <c r="J46" s="30">
        <v>30</v>
      </c>
      <c r="K46" s="31">
        <f t="shared" si="9"/>
        <v>45986</v>
      </c>
      <c r="L46" s="27">
        <f t="shared" si="4"/>
        <v>4607.2507429661937</v>
      </c>
      <c r="M46" s="27"/>
      <c r="N46" s="27">
        <f t="shared" si="5"/>
        <v>4311.805694514067</v>
      </c>
      <c r="O46" s="27">
        <f t="shared" si="6"/>
        <v>295.44504845212668</v>
      </c>
      <c r="P46" s="27">
        <f t="shared" si="7"/>
        <v>517121.23829323595</v>
      </c>
    </row>
    <row r="47" spans="2:16" ht="15" customHeight="1" x14ac:dyDescent="0.25">
      <c r="B47" s="30">
        <v>31</v>
      </c>
      <c r="C47" s="31">
        <f t="shared" si="8"/>
        <v>46135</v>
      </c>
      <c r="D47" s="27">
        <f t="shared" si="0"/>
        <v>7514.9128616125881</v>
      </c>
      <c r="E47" s="27"/>
      <c r="F47" s="27">
        <f t="shared" si="1"/>
        <v>6585.0145594138367</v>
      </c>
      <c r="G47" s="27">
        <f t="shared" si="2"/>
        <v>929.89830219875148</v>
      </c>
      <c r="H47" s="27">
        <f t="shared" si="3"/>
        <v>657571.55763918487</v>
      </c>
      <c r="J47" s="30">
        <v>31</v>
      </c>
      <c r="K47" s="31">
        <f t="shared" si="9"/>
        <v>46016</v>
      </c>
      <c r="L47" s="27">
        <f t="shared" si="4"/>
        <v>4607.2507429661937</v>
      </c>
      <c r="M47" s="27"/>
      <c r="N47" s="27">
        <f t="shared" si="5"/>
        <v>4309.3436524436329</v>
      </c>
      <c r="O47" s="27">
        <f t="shared" si="6"/>
        <v>297.90709052256079</v>
      </c>
      <c r="P47" s="27">
        <f t="shared" si="7"/>
        <v>516823.33120271337</v>
      </c>
    </row>
    <row r="48" spans="2:16" ht="15" customHeight="1" x14ac:dyDescent="0.25">
      <c r="B48" s="30">
        <v>32</v>
      </c>
      <c r="C48" s="31">
        <f t="shared" si="8"/>
        <v>46165</v>
      </c>
      <c r="D48" s="27">
        <f t="shared" si="0"/>
        <v>7514.9128616125881</v>
      </c>
      <c r="E48" s="27"/>
      <c r="F48" s="27">
        <f t="shared" si="1"/>
        <v>6575.715576391849</v>
      </c>
      <c r="G48" s="27">
        <f t="shared" si="2"/>
        <v>939.1972852207391</v>
      </c>
      <c r="H48" s="27">
        <f t="shared" si="3"/>
        <v>656632.36035396415</v>
      </c>
      <c r="J48" s="30">
        <v>32</v>
      </c>
      <c r="K48" s="31">
        <f t="shared" si="9"/>
        <v>46047</v>
      </c>
      <c r="L48" s="27">
        <f t="shared" si="4"/>
        <v>4607.2507429661937</v>
      </c>
      <c r="M48" s="27"/>
      <c r="N48" s="27">
        <f t="shared" si="5"/>
        <v>4306.8610933559448</v>
      </c>
      <c r="O48" s="27">
        <f t="shared" si="6"/>
        <v>300.38964961024885</v>
      </c>
      <c r="P48" s="27">
        <f t="shared" si="7"/>
        <v>516522.9415531031</v>
      </c>
    </row>
    <row r="49" spans="2:16" ht="15" customHeight="1" x14ac:dyDescent="0.25">
      <c r="B49" s="30">
        <v>33</v>
      </c>
      <c r="C49" s="31">
        <f t="shared" si="8"/>
        <v>46196</v>
      </c>
      <c r="D49" s="27">
        <f t="shared" si="0"/>
        <v>7514.9128616125881</v>
      </c>
      <c r="E49" s="27"/>
      <c r="F49" s="27">
        <f t="shared" si="1"/>
        <v>6566.3236035396412</v>
      </c>
      <c r="G49" s="27">
        <f t="shared" si="2"/>
        <v>948.5892580729469</v>
      </c>
      <c r="H49" s="27">
        <f t="shared" si="3"/>
        <v>655683.77109589125</v>
      </c>
      <c r="J49" s="30">
        <v>33</v>
      </c>
      <c r="K49" s="31">
        <f t="shared" si="9"/>
        <v>46078</v>
      </c>
      <c r="L49" s="27">
        <f t="shared" si="4"/>
        <v>4607.2507429661937</v>
      </c>
      <c r="M49" s="27"/>
      <c r="N49" s="27">
        <f t="shared" si="5"/>
        <v>4304.3578462758587</v>
      </c>
      <c r="O49" s="27">
        <f t="shared" si="6"/>
        <v>302.89289669033496</v>
      </c>
      <c r="P49" s="27">
        <f t="shared" si="7"/>
        <v>516220.04865641275</v>
      </c>
    </row>
    <row r="50" spans="2:16" ht="15" customHeight="1" x14ac:dyDescent="0.25">
      <c r="B50" s="30">
        <v>34</v>
      </c>
      <c r="C50" s="31">
        <f t="shared" si="8"/>
        <v>46226</v>
      </c>
      <c r="D50" s="27">
        <f t="shared" si="0"/>
        <v>7514.9128616125881</v>
      </c>
      <c r="E50" s="27"/>
      <c r="F50" s="27">
        <f t="shared" si="1"/>
        <v>6556.8377109589128</v>
      </c>
      <c r="G50" s="27">
        <f t="shared" si="2"/>
        <v>958.07515065367534</v>
      </c>
      <c r="H50" s="27">
        <f t="shared" si="3"/>
        <v>654725.69594523753</v>
      </c>
      <c r="J50" s="30">
        <v>34</v>
      </c>
      <c r="K50" s="31">
        <f t="shared" si="9"/>
        <v>46106</v>
      </c>
      <c r="L50" s="27">
        <f t="shared" si="4"/>
        <v>4607.2507429661937</v>
      </c>
      <c r="M50" s="27"/>
      <c r="N50" s="27">
        <f t="shared" si="5"/>
        <v>4301.8337388034397</v>
      </c>
      <c r="O50" s="27">
        <f t="shared" si="6"/>
        <v>305.41700416275398</v>
      </c>
      <c r="P50" s="27">
        <f t="shared" si="7"/>
        <v>515914.63165225001</v>
      </c>
    </row>
    <row r="51" spans="2:16" ht="15" customHeight="1" x14ac:dyDescent="0.25">
      <c r="B51" s="30">
        <v>35</v>
      </c>
      <c r="C51" s="31">
        <f t="shared" si="8"/>
        <v>46257</v>
      </c>
      <c r="D51" s="27">
        <f t="shared" si="0"/>
        <v>7514.9128616125881</v>
      </c>
      <c r="E51" s="27"/>
      <c r="F51" s="27">
        <f t="shared" si="1"/>
        <v>6547.2569594523757</v>
      </c>
      <c r="G51" s="27">
        <f t="shared" si="2"/>
        <v>967.65590216021246</v>
      </c>
      <c r="H51" s="27">
        <f t="shared" si="3"/>
        <v>653758.04004307732</v>
      </c>
      <c r="J51" s="30">
        <v>35</v>
      </c>
      <c r="K51" s="31">
        <f t="shared" si="9"/>
        <v>46137</v>
      </c>
      <c r="L51" s="27">
        <f t="shared" si="4"/>
        <v>4607.2507429661937</v>
      </c>
      <c r="M51" s="27"/>
      <c r="N51" s="27">
        <f t="shared" si="5"/>
        <v>4299.2885971020833</v>
      </c>
      <c r="O51" s="27">
        <f t="shared" si="6"/>
        <v>307.96214586411043</v>
      </c>
      <c r="P51" s="27">
        <f t="shared" si="7"/>
        <v>515606.66950638592</v>
      </c>
    </row>
    <row r="52" spans="2:16" ht="15" customHeight="1" x14ac:dyDescent="0.25">
      <c r="B52" s="30">
        <v>36</v>
      </c>
      <c r="C52" s="31">
        <f t="shared" si="8"/>
        <v>46288</v>
      </c>
      <c r="D52" s="27">
        <f t="shared" si="0"/>
        <v>7514.9128616125881</v>
      </c>
      <c r="E52" s="27"/>
      <c r="F52" s="27">
        <f t="shared" si="1"/>
        <v>6537.5804004307729</v>
      </c>
      <c r="G52" s="27">
        <f t="shared" si="2"/>
        <v>977.33246118181523</v>
      </c>
      <c r="H52" s="27">
        <f t="shared" si="3"/>
        <v>652780.70758189552</v>
      </c>
      <c r="J52" s="30">
        <v>36</v>
      </c>
      <c r="K52" s="31">
        <f t="shared" si="9"/>
        <v>46167</v>
      </c>
      <c r="L52" s="27">
        <f t="shared" si="4"/>
        <v>4607.2507429661937</v>
      </c>
      <c r="M52" s="27"/>
      <c r="N52" s="27">
        <f t="shared" si="5"/>
        <v>4296.722245886549</v>
      </c>
      <c r="O52" s="27">
        <f t="shared" si="6"/>
        <v>310.52849707964469</v>
      </c>
      <c r="P52" s="27">
        <f t="shared" si="7"/>
        <v>515296.1410093063</v>
      </c>
    </row>
    <row r="53" spans="2:16" ht="15" customHeight="1" x14ac:dyDescent="0.25">
      <c r="B53" s="30">
        <v>37</v>
      </c>
      <c r="C53" s="31">
        <f t="shared" si="8"/>
        <v>46318</v>
      </c>
      <c r="D53" s="27">
        <f t="shared" si="0"/>
        <v>7514.9128616125881</v>
      </c>
      <c r="E53" s="27"/>
      <c r="F53" s="27">
        <f t="shared" si="1"/>
        <v>6527.8070758189551</v>
      </c>
      <c r="G53" s="27">
        <f t="shared" si="2"/>
        <v>987.105785793633</v>
      </c>
      <c r="H53" s="27">
        <f t="shared" si="3"/>
        <v>651793.6017961019</v>
      </c>
      <c r="J53" s="30">
        <v>37</v>
      </c>
      <c r="K53" s="31">
        <f t="shared" si="9"/>
        <v>46198</v>
      </c>
      <c r="L53" s="27">
        <f t="shared" si="4"/>
        <v>4607.2507429661937</v>
      </c>
      <c r="M53" s="27"/>
      <c r="N53" s="27">
        <f t="shared" si="5"/>
        <v>4294.1345084108862</v>
      </c>
      <c r="O53" s="27">
        <f t="shared" si="6"/>
        <v>313.11623455530753</v>
      </c>
      <c r="P53" s="27">
        <f t="shared" si="7"/>
        <v>514983.02477475099</v>
      </c>
    </row>
    <row r="54" spans="2:16" ht="15" customHeight="1" x14ac:dyDescent="0.25">
      <c r="B54" s="30">
        <v>38</v>
      </c>
      <c r="C54" s="31">
        <f t="shared" si="8"/>
        <v>46349</v>
      </c>
      <c r="D54" s="27">
        <f t="shared" si="0"/>
        <v>7514.9128616125881</v>
      </c>
      <c r="E54" s="27"/>
      <c r="F54" s="27">
        <f t="shared" si="1"/>
        <v>6517.9360179610194</v>
      </c>
      <c r="G54" s="27">
        <f t="shared" si="2"/>
        <v>996.97684365156874</v>
      </c>
      <c r="H54" s="27">
        <f t="shared" si="3"/>
        <v>650796.62495245028</v>
      </c>
      <c r="J54" s="30">
        <v>38</v>
      </c>
      <c r="K54" s="31">
        <f t="shared" si="9"/>
        <v>46228</v>
      </c>
      <c r="L54" s="27">
        <f t="shared" si="4"/>
        <v>4607.2507429661937</v>
      </c>
      <c r="M54" s="27"/>
      <c r="N54" s="27">
        <f t="shared" si="5"/>
        <v>4291.5252064562583</v>
      </c>
      <c r="O54" s="27">
        <f t="shared" si="6"/>
        <v>315.72553650993541</v>
      </c>
      <c r="P54" s="27">
        <f t="shared" si="7"/>
        <v>514667.29923824104</v>
      </c>
    </row>
    <row r="55" spans="2:16" ht="15" customHeight="1" x14ac:dyDescent="0.25">
      <c r="B55" s="30">
        <v>39</v>
      </c>
      <c r="C55" s="31">
        <f t="shared" si="8"/>
        <v>46379</v>
      </c>
      <c r="D55" s="27">
        <f t="shared" si="0"/>
        <v>7514.9128616125881</v>
      </c>
      <c r="E55" s="27"/>
      <c r="F55" s="27">
        <f t="shared" si="1"/>
        <v>6507.9662495245029</v>
      </c>
      <c r="G55" s="27">
        <f t="shared" si="2"/>
        <v>1006.9466120880852</v>
      </c>
      <c r="H55" s="27">
        <f t="shared" si="3"/>
        <v>649789.67834036215</v>
      </c>
      <c r="J55" s="30">
        <v>39</v>
      </c>
      <c r="K55" s="31">
        <f t="shared" si="9"/>
        <v>46259</v>
      </c>
      <c r="L55" s="27">
        <f t="shared" si="4"/>
        <v>4607.2507429661937</v>
      </c>
      <c r="M55" s="27"/>
      <c r="N55" s="27">
        <f t="shared" si="5"/>
        <v>4288.8941603186749</v>
      </c>
      <c r="O55" s="27">
        <f t="shared" si="6"/>
        <v>318.35658264751874</v>
      </c>
      <c r="P55" s="27">
        <f t="shared" si="7"/>
        <v>514348.94265559351</v>
      </c>
    </row>
    <row r="56" spans="2:16" ht="15" customHeight="1" x14ac:dyDescent="0.25">
      <c r="B56" s="30">
        <v>40</v>
      </c>
      <c r="C56" s="31">
        <f t="shared" si="8"/>
        <v>46410</v>
      </c>
      <c r="D56" s="27">
        <f t="shared" si="0"/>
        <v>7514.9128616125881</v>
      </c>
      <c r="E56" s="27"/>
      <c r="F56" s="27">
        <f t="shared" si="1"/>
        <v>6497.8967834036221</v>
      </c>
      <c r="G56" s="27">
        <f t="shared" si="2"/>
        <v>1017.0160782089661</v>
      </c>
      <c r="H56" s="27">
        <f t="shared" si="3"/>
        <v>648772.66226215323</v>
      </c>
      <c r="J56" s="30">
        <v>40</v>
      </c>
      <c r="K56" s="31">
        <f t="shared" si="9"/>
        <v>46290</v>
      </c>
      <c r="L56" s="27">
        <f t="shared" si="4"/>
        <v>4607.2507429661937</v>
      </c>
      <c r="M56" s="27"/>
      <c r="N56" s="27">
        <f t="shared" si="5"/>
        <v>4286.2411887966127</v>
      </c>
      <c r="O56" s="27">
        <f t="shared" si="6"/>
        <v>321.00955416958095</v>
      </c>
      <c r="P56" s="27">
        <f t="shared" si="7"/>
        <v>514027.9331014239</v>
      </c>
    </row>
    <row r="57" spans="2:16" ht="15" customHeight="1" x14ac:dyDescent="0.25">
      <c r="B57" s="30">
        <v>41</v>
      </c>
      <c r="C57" s="31">
        <f t="shared" si="8"/>
        <v>46441</v>
      </c>
      <c r="D57" s="27">
        <f t="shared" si="0"/>
        <v>7514.9128616125881</v>
      </c>
      <c r="E57" s="27"/>
      <c r="F57" s="27">
        <f t="shared" si="1"/>
        <v>6487.7266226215324</v>
      </c>
      <c r="G57" s="27">
        <f t="shared" si="2"/>
        <v>1027.1862389910557</v>
      </c>
      <c r="H57" s="27">
        <f t="shared" si="3"/>
        <v>647745.47602316213</v>
      </c>
      <c r="J57" s="30">
        <v>41</v>
      </c>
      <c r="K57" s="31">
        <f t="shared" si="9"/>
        <v>46320</v>
      </c>
      <c r="L57" s="27">
        <f t="shared" si="4"/>
        <v>4607.2507429661937</v>
      </c>
      <c r="M57" s="27"/>
      <c r="N57" s="27">
        <f t="shared" si="5"/>
        <v>4283.5661091785323</v>
      </c>
      <c r="O57" s="27">
        <f t="shared" si="6"/>
        <v>323.68463378766137</v>
      </c>
      <c r="P57" s="27">
        <f t="shared" si="7"/>
        <v>513704.24846763624</v>
      </c>
    </row>
    <row r="58" spans="2:16" ht="15" customHeight="1" x14ac:dyDescent="0.25">
      <c r="B58" s="30">
        <v>42</v>
      </c>
      <c r="C58" s="31">
        <f t="shared" si="8"/>
        <v>46469</v>
      </c>
      <c r="D58" s="27">
        <f t="shared" si="0"/>
        <v>7514.9128616125881</v>
      </c>
      <c r="E58" s="27"/>
      <c r="F58" s="27">
        <f t="shared" si="1"/>
        <v>6477.4547602316215</v>
      </c>
      <c r="G58" s="27">
        <f t="shared" si="2"/>
        <v>1037.4581013809666</v>
      </c>
      <c r="H58" s="27">
        <f t="shared" si="3"/>
        <v>646708.01792178117</v>
      </c>
      <c r="J58" s="30">
        <v>42</v>
      </c>
      <c r="K58" s="31">
        <f t="shared" si="9"/>
        <v>46351</v>
      </c>
      <c r="L58" s="27">
        <f t="shared" si="4"/>
        <v>4607.2507429661937</v>
      </c>
      <c r="M58" s="27"/>
      <c r="N58" s="27">
        <f t="shared" si="5"/>
        <v>4280.868737230302</v>
      </c>
      <c r="O58" s="27">
        <f t="shared" si="6"/>
        <v>326.38200573589165</v>
      </c>
      <c r="P58" s="27">
        <f t="shared" si="7"/>
        <v>513377.86646190035</v>
      </c>
    </row>
    <row r="59" spans="2:16" ht="15" customHeight="1" x14ac:dyDescent="0.25">
      <c r="B59" s="30">
        <v>43</v>
      </c>
      <c r="C59" s="31">
        <f t="shared" si="8"/>
        <v>46500</v>
      </c>
      <c r="D59" s="27">
        <f t="shared" si="0"/>
        <v>7514.9128616125881</v>
      </c>
      <c r="E59" s="27"/>
      <c r="F59" s="27">
        <f t="shared" si="1"/>
        <v>6467.0801792178117</v>
      </c>
      <c r="G59" s="27">
        <f t="shared" si="2"/>
        <v>1047.8326823947764</v>
      </c>
      <c r="H59" s="27">
        <f t="shared" si="3"/>
        <v>645660.1852393864</v>
      </c>
      <c r="J59" s="30">
        <v>43</v>
      </c>
      <c r="K59" s="31">
        <f t="shared" si="9"/>
        <v>46381</v>
      </c>
      <c r="L59" s="27">
        <f t="shared" si="4"/>
        <v>4607.2507429661937</v>
      </c>
      <c r="M59" s="27"/>
      <c r="N59" s="27">
        <f t="shared" si="5"/>
        <v>4278.1488871825031</v>
      </c>
      <c r="O59" s="27">
        <f t="shared" si="6"/>
        <v>329.10185578369055</v>
      </c>
      <c r="P59" s="27">
        <f t="shared" si="7"/>
        <v>513048.76460611669</v>
      </c>
    </row>
    <row r="60" spans="2:16" ht="15" customHeight="1" x14ac:dyDescent="0.25">
      <c r="B60" s="30">
        <v>44</v>
      </c>
      <c r="C60" s="31">
        <f t="shared" si="8"/>
        <v>46530</v>
      </c>
      <c r="D60" s="27">
        <f t="shared" si="0"/>
        <v>7514.9128616125881</v>
      </c>
      <c r="E60" s="27"/>
      <c r="F60" s="27">
        <f t="shared" si="1"/>
        <v>6456.6018523938637</v>
      </c>
      <c r="G60" s="27">
        <f t="shared" si="2"/>
        <v>1058.3110092187244</v>
      </c>
      <c r="H60" s="27">
        <f t="shared" si="3"/>
        <v>644601.87423016771</v>
      </c>
      <c r="J60" s="30">
        <v>44</v>
      </c>
      <c r="K60" s="31">
        <f t="shared" si="9"/>
        <v>46412</v>
      </c>
      <c r="L60" s="27">
        <f t="shared" si="4"/>
        <v>4607.2507429661937</v>
      </c>
      <c r="M60" s="27"/>
      <c r="N60" s="27">
        <f t="shared" si="5"/>
        <v>4275.4063717176386</v>
      </c>
      <c r="O60" s="27">
        <f t="shared" si="6"/>
        <v>331.84437124855503</v>
      </c>
      <c r="P60" s="27">
        <f t="shared" si="7"/>
        <v>512716.92023486813</v>
      </c>
    </row>
    <row r="61" spans="2:16" ht="15" customHeight="1" x14ac:dyDescent="0.25">
      <c r="B61" s="30">
        <v>45</v>
      </c>
      <c r="C61" s="31">
        <f t="shared" si="8"/>
        <v>46561</v>
      </c>
      <c r="D61" s="27">
        <f t="shared" si="0"/>
        <v>7514.9128616125881</v>
      </c>
      <c r="E61" s="27"/>
      <c r="F61" s="27">
        <f t="shared" si="1"/>
        <v>6446.0187423016769</v>
      </c>
      <c r="G61" s="27">
        <f t="shared" si="2"/>
        <v>1068.8941193109113</v>
      </c>
      <c r="H61" s="27">
        <f t="shared" si="3"/>
        <v>643532.98011085682</v>
      </c>
      <c r="J61" s="30">
        <v>45</v>
      </c>
      <c r="K61" s="31">
        <f t="shared" si="9"/>
        <v>46443</v>
      </c>
      <c r="L61" s="27">
        <f t="shared" si="4"/>
        <v>4607.2507429661937</v>
      </c>
      <c r="M61" s="27"/>
      <c r="N61" s="27">
        <f t="shared" si="5"/>
        <v>4272.641001957234</v>
      </c>
      <c r="O61" s="27">
        <f t="shared" si="6"/>
        <v>334.60974100895965</v>
      </c>
      <c r="P61" s="27">
        <f t="shared" si="7"/>
        <v>512382.31049385917</v>
      </c>
    </row>
    <row r="62" spans="2:16" x14ac:dyDescent="0.25">
      <c r="B62" s="30">
        <v>46</v>
      </c>
      <c r="C62" s="31">
        <f t="shared" si="8"/>
        <v>46591</v>
      </c>
      <c r="D62" s="27">
        <f t="shared" si="0"/>
        <v>7514.9128616125881</v>
      </c>
      <c r="E62" s="27"/>
      <c r="F62" s="27">
        <f t="shared" si="1"/>
        <v>6435.3298011085681</v>
      </c>
      <c r="G62" s="27">
        <f t="shared" si="2"/>
        <v>1079.5830605040201</v>
      </c>
      <c r="H62" s="27">
        <f t="shared" si="3"/>
        <v>642453.39705035277</v>
      </c>
      <c r="J62" s="30">
        <v>46</v>
      </c>
      <c r="K62" s="31">
        <f t="shared" si="9"/>
        <v>46471</v>
      </c>
      <c r="L62" s="27">
        <f t="shared" si="4"/>
        <v>4607.2507429661937</v>
      </c>
      <c r="M62" s="27"/>
      <c r="N62" s="27">
        <f t="shared" si="5"/>
        <v>4269.8525874488259</v>
      </c>
      <c r="O62" s="27">
        <f t="shared" si="6"/>
        <v>337.39815551736774</v>
      </c>
      <c r="P62" s="27">
        <f t="shared" si="7"/>
        <v>512044.91233834182</v>
      </c>
    </row>
    <row r="63" spans="2:16" x14ac:dyDescent="0.25">
      <c r="B63" s="30">
        <v>47</v>
      </c>
      <c r="C63" s="31">
        <f t="shared" si="8"/>
        <v>46622</v>
      </c>
      <c r="D63" s="27">
        <f t="shared" si="0"/>
        <v>7514.9128616125881</v>
      </c>
      <c r="E63" s="27"/>
      <c r="F63" s="27">
        <f t="shared" si="1"/>
        <v>6424.5339705035276</v>
      </c>
      <c r="G63" s="27">
        <f t="shared" si="2"/>
        <v>1090.3788911090605</v>
      </c>
      <c r="H63" s="27">
        <f t="shared" si="3"/>
        <v>641363.01815924374</v>
      </c>
      <c r="J63" s="30">
        <v>47</v>
      </c>
      <c r="K63" s="31">
        <f t="shared" si="9"/>
        <v>46502</v>
      </c>
      <c r="L63" s="27">
        <f t="shared" si="4"/>
        <v>4607.2507429661937</v>
      </c>
      <c r="M63" s="27"/>
      <c r="N63" s="27">
        <f t="shared" si="5"/>
        <v>4267.0409361528482</v>
      </c>
      <c r="O63" s="27">
        <f t="shared" si="6"/>
        <v>340.20980681334549</v>
      </c>
      <c r="P63" s="27">
        <f t="shared" si="7"/>
        <v>511704.70253152848</v>
      </c>
    </row>
    <row r="64" spans="2:16" x14ac:dyDescent="0.25">
      <c r="B64" s="30">
        <v>48</v>
      </c>
      <c r="C64" s="31">
        <f t="shared" si="8"/>
        <v>46653</v>
      </c>
      <c r="D64" s="27">
        <f t="shared" si="0"/>
        <v>7514.9128616125881</v>
      </c>
      <c r="E64" s="27"/>
      <c r="F64" s="27">
        <f t="shared" si="1"/>
        <v>6413.630181592438</v>
      </c>
      <c r="G64" s="27">
        <f t="shared" si="2"/>
        <v>1101.2826800201501</v>
      </c>
      <c r="H64" s="27">
        <f t="shared" si="3"/>
        <v>640261.73547922354</v>
      </c>
      <c r="J64" s="30">
        <v>48</v>
      </c>
      <c r="K64" s="31">
        <f t="shared" si="9"/>
        <v>46532</v>
      </c>
      <c r="L64" s="27">
        <f t="shared" si="4"/>
        <v>4607.2507429661937</v>
      </c>
      <c r="M64" s="27"/>
      <c r="N64" s="27">
        <f t="shared" si="5"/>
        <v>4264.2058544294041</v>
      </c>
      <c r="O64" s="27">
        <f t="shared" si="6"/>
        <v>343.04488853678959</v>
      </c>
      <c r="P64" s="27">
        <f t="shared" si="7"/>
        <v>511361.65764299169</v>
      </c>
    </row>
    <row r="65" spans="2:16" x14ac:dyDescent="0.25">
      <c r="B65" s="30">
        <v>49</v>
      </c>
      <c r="C65" s="31">
        <f t="shared" si="8"/>
        <v>46683</v>
      </c>
      <c r="D65" s="27">
        <f t="shared" si="0"/>
        <v>7514.9128616125881</v>
      </c>
      <c r="E65" s="27"/>
      <c r="F65" s="27">
        <f t="shared" si="1"/>
        <v>6402.6173547922353</v>
      </c>
      <c r="G65" s="27">
        <f t="shared" si="2"/>
        <v>1112.2955068203528</v>
      </c>
      <c r="H65" s="27">
        <f t="shared" si="3"/>
        <v>639149.43997240323</v>
      </c>
      <c r="J65" s="30">
        <v>49</v>
      </c>
      <c r="K65" s="31">
        <f t="shared" si="9"/>
        <v>46563</v>
      </c>
      <c r="L65" s="27">
        <f t="shared" si="4"/>
        <v>4607.2507429661937</v>
      </c>
      <c r="M65" s="27"/>
      <c r="N65" s="27">
        <f t="shared" si="5"/>
        <v>4261.3471470249306</v>
      </c>
      <c r="O65" s="27">
        <f t="shared" si="6"/>
        <v>345.90359594126312</v>
      </c>
      <c r="P65" s="27">
        <f t="shared" si="7"/>
        <v>511015.75404705043</v>
      </c>
    </row>
    <row r="66" spans="2:16" x14ac:dyDescent="0.25">
      <c r="B66" s="30">
        <v>50</v>
      </c>
      <c r="C66" s="31">
        <f t="shared" si="8"/>
        <v>46714</v>
      </c>
      <c r="D66" s="27">
        <f t="shared" si="0"/>
        <v>7514.9128616125881</v>
      </c>
      <c r="E66" s="27"/>
      <c r="F66" s="27">
        <f t="shared" si="1"/>
        <v>6391.4943997240325</v>
      </c>
      <c r="G66" s="27">
        <f t="shared" si="2"/>
        <v>1123.4184618885556</v>
      </c>
      <c r="H66" s="27">
        <f t="shared" si="3"/>
        <v>638026.02151051466</v>
      </c>
      <c r="J66" s="30">
        <v>50</v>
      </c>
      <c r="K66" s="31">
        <f t="shared" si="9"/>
        <v>46593</v>
      </c>
      <c r="L66" s="27">
        <f t="shared" si="4"/>
        <v>4607.2507429661937</v>
      </c>
      <c r="M66" s="27"/>
      <c r="N66" s="27">
        <f t="shared" si="5"/>
        <v>4258.4646170587539</v>
      </c>
      <c r="O66" s="27">
        <f t="shared" si="6"/>
        <v>348.78612590743978</v>
      </c>
      <c r="P66" s="27">
        <f t="shared" si="7"/>
        <v>510666.96792114299</v>
      </c>
    </row>
    <row r="67" spans="2:16" x14ac:dyDescent="0.25">
      <c r="B67" s="30">
        <v>51</v>
      </c>
      <c r="C67" s="31">
        <f t="shared" si="8"/>
        <v>46744</v>
      </c>
      <c r="D67" s="27">
        <f t="shared" si="0"/>
        <v>7514.9128616125881</v>
      </c>
      <c r="E67" s="27"/>
      <c r="F67" s="27">
        <f t="shared" si="1"/>
        <v>6380.2602151051469</v>
      </c>
      <c r="G67" s="27">
        <f t="shared" si="2"/>
        <v>1134.6526465074412</v>
      </c>
      <c r="H67" s="27">
        <f t="shared" si="3"/>
        <v>636891.36886400718</v>
      </c>
      <c r="J67" s="30">
        <v>51</v>
      </c>
      <c r="K67" s="31">
        <f t="shared" si="9"/>
        <v>46624</v>
      </c>
      <c r="L67" s="27">
        <f t="shared" si="4"/>
        <v>4607.2507429661937</v>
      </c>
      <c r="M67" s="27"/>
      <c r="N67" s="27">
        <f t="shared" si="5"/>
        <v>4255.5580660095247</v>
      </c>
      <c r="O67" s="27">
        <f t="shared" si="6"/>
        <v>351.69267695666895</v>
      </c>
      <c r="P67" s="27">
        <f t="shared" si="7"/>
        <v>510315.27524418634</v>
      </c>
    </row>
    <row r="68" spans="2:16" x14ac:dyDescent="0.25">
      <c r="B68" s="30">
        <v>52</v>
      </c>
      <c r="C68" s="31">
        <f t="shared" si="8"/>
        <v>46775</v>
      </c>
      <c r="D68" s="27">
        <f t="shared" si="0"/>
        <v>7514.9128616125881</v>
      </c>
      <c r="E68" s="27"/>
      <c r="F68" s="27">
        <f t="shared" si="1"/>
        <v>6368.913688640072</v>
      </c>
      <c r="G68" s="27">
        <f t="shared" si="2"/>
        <v>1145.9991729725161</v>
      </c>
      <c r="H68" s="27">
        <f t="shared" si="3"/>
        <v>635745.36969103466</v>
      </c>
      <c r="J68" s="30">
        <v>52</v>
      </c>
      <c r="K68" s="31">
        <f t="shared" si="9"/>
        <v>46655</v>
      </c>
      <c r="L68" s="27">
        <f t="shared" si="4"/>
        <v>4607.2507429661937</v>
      </c>
      <c r="M68" s="27"/>
      <c r="N68" s="27">
        <f t="shared" si="5"/>
        <v>4252.6272937015528</v>
      </c>
      <c r="O68" s="27">
        <f t="shared" si="6"/>
        <v>354.62344926464084</v>
      </c>
      <c r="P68" s="27">
        <f t="shared" si="7"/>
        <v>509960.65179492172</v>
      </c>
    </row>
    <row r="69" spans="2:16" x14ac:dyDescent="0.25">
      <c r="B69" s="30">
        <v>53</v>
      </c>
      <c r="C69" s="31">
        <f t="shared" si="8"/>
        <v>46806</v>
      </c>
      <c r="D69" s="27">
        <f t="shared" si="0"/>
        <v>7514.9128616125881</v>
      </c>
      <c r="E69" s="27"/>
      <c r="F69" s="27">
        <f t="shared" si="1"/>
        <v>6357.4536969103465</v>
      </c>
      <c r="G69" s="27">
        <f t="shared" si="2"/>
        <v>1157.4591647022417</v>
      </c>
      <c r="H69" s="27">
        <f t="shared" si="3"/>
        <v>634587.91052633245</v>
      </c>
      <c r="J69" s="30">
        <v>53</v>
      </c>
      <c r="K69" s="31">
        <f t="shared" si="9"/>
        <v>46685</v>
      </c>
      <c r="L69" s="27">
        <f t="shared" si="4"/>
        <v>4607.2507429661937</v>
      </c>
      <c r="M69" s="27"/>
      <c r="N69" s="27">
        <f t="shared" si="5"/>
        <v>4249.6720982910147</v>
      </c>
      <c r="O69" s="27">
        <f t="shared" si="6"/>
        <v>357.57864467517902</v>
      </c>
      <c r="P69" s="27">
        <f t="shared" si="7"/>
        <v>509603.07315024652</v>
      </c>
    </row>
    <row r="70" spans="2:16" x14ac:dyDescent="0.25">
      <c r="B70" s="30">
        <v>54</v>
      </c>
      <c r="C70" s="31">
        <f t="shared" si="8"/>
        <v>46835</v>
      </c>
      <c r="D70" s="27">
        <f t="shared" si="0"/>
        <v>7514.9128616125881</v>
      </c>
      <c r="E70" s="27"/>
      <c r="F70" s="27">
        <f t="shared" si="1"/>
        <v>6345.8791052633242</v>
      </c>
      <c r="G70" s="27">
        <f t="shared" si="2"/>
        <v>1169.033756349264</v>
      </c>
      <c r="H70" s="27">
        <f t="shared" si="3"/>
        <v>633418.87676998321</v>
      </c>
      <c r="J70" s="30">
        <v>54</v>
      </c>
      <c r="K70" s="31">
        <f t="shared" si="9"/>
        <v>46716</v>
      </c>
      <c r="L70" s="27">
        <f t="shared" si="4"/>
        <v>4607.2507429661937</v>
      </c>
      <c r="M70" s="27"/>
      <c r="N70" s="27">
        <f t="shared" si="5"/>
        <v>4246.6922762520544</v>
      </c>
      <c r="O70" s="27">
        <f t="shared" si="6"/>
        <v>360.55846671413929</v>
      </c>
      <c r="P70" s="27">
        <f t="shared" si="7"/>
        <v>509242.51468353235</v>
      </c>
    </row>
    <row r="71" spans="2:16" x14ac:dyDescent="0.25">
      <c r="B71" s="30">
        <v>55</v>
      </c>
      <c r="C71" s="31">
        <f t="shared" si="8"/>
        <v>46866</v>
      </c>
      <c r="D71" s="27">
        <f t="shared" si="0"/>
        <v>7514.9128616125881</v>
      </c>
      <c r="E71" s="27"/>
      <c r="F71" s="27">
        <f t="shared" si="1"/>
        <v>6334.1887676998322</v>
      </c>
      <c r="G71" s="27">
        <f t="shared" si="2"/>
        <v>1180.724093912756</v>
      </c>
      <c r="H71" s="27">
        <f t="shared" si="3"/>
        <v>632238.15267607046</v>
      </c>
      <c r="J71" s="30">
        <v>55</v>
      </c>
      <c r="K71" s="31">
        <f t="shared" si="9"/>
        <v>46746</v>
      </c>
      <c r="L71" s="27">
        <f t="shared" si="4"/>
        <v>4607.2507429661937</v>
      </c>
      <c r="M71" s="27"/>
      <c r="N71" s="27">
        <f t="shared" si="5"/>
        <v>4243.6876223627696</v>
      </c>
      <c r="O71" s="27">
        <f t="shared" si="6"/>
        <v>363.56312060342407</v>
      </c>
      <c r="P71" s="27">
        <f t="shared" si="7"/>
        <v>508878.95156292891</v>
      </c>
    </row>
    <row r="72" spans="2:16" x14ac:dyDescent="0.25">
      <c r="B72" s="30">
        <v>56</v>
      </c>
      <c r="C72" s="31">
        <f t="shared" si="8"/>
        <v>46896</v>
      </c>
      <c r="D72" s="27">
        <f t="shared" si="0"/>
        <v>7514.9128616125881</v>
      </c>
      <c r="E72" s="27"/>
      <c r="F72" s="27">
        <f t="shared" si="1"/>
        <v>6322.3815267607051</v>
      </c>
      <c r="G72" s="27">
        <f t="shared" si="2"/>
        <v>1192.531334851883</v>
      </c>
      <c r="H72" s="27">
        <f t="shared" si="3"/>
        <v>631045.62134121859</v>
      </c>
      <c r="J72" s="30">
        <v>56</v>
      </c>
      <c r="K72" s="31">
        <f t="shared" si="9"/>
        <v>46777</v>
      </c>
      <c r="L72" s="27">
        <f t="shared" si="4"/>
        <v>4607.2507429661937</v>
      </c>
      <c r="M72" s="27"/>
      <c r="N72" s="27">
        <f t="shared" si="5"/>
        <v>4240.6579296910741</v>
      </c>
      <c r="O72" s="27">
        <f t="shared" si="6"/>
        <v>366.59281327511962</v>
      </c>
      <c r="P72" s="27">
        <f t="shared" si="7"/>
        <v>508512.35874965379</v>
      </c>
    </row>
    <row r="73" spans="2:16" x14ac:dyDescent="0.25">
      <c r="B73" s="30">
        <v>57</v>
      </c>
      <c r="C73" s="31">
        <f t="shared" si="8"/>
        <v>46927</v>
      </c>
      <c r="D73" s="27">
        <f t="shared" si="0"/>
        <v>7514.9128616125881</v>
      </c>
      <c r="E73" s="27"/>
      <c r="F73" s="27">
        <f t="shared" si="1"/>
        <v>6310.4562134121861</v>
      </c>
      <c r="G73" s="27">
        <f t="shared" si="2"/>
        <v>1204.456648200402</v>
      </c>
      <c r="H73" s="27">
        <f t="shared" si="3"/>
        <v>629841.16469301819</v>
      </c>
      <c r="J73" s="30">
        <v>57</v>
      </c>
      <c r="K73" s="31">
        <f t="shared" si="9"/>
        <v>46808</v>
      </c>
      <c r="L73" s="27">
        <f t="shared" si="4"/>
        <v>4607.2507429661937</v>
      </c>
      <c r="M73" s="27"/>
      <c r="N73" s="27">
        <f t="shared" si="5"/>
        <v>4237.6029895804486</v>
      </c>
      <c r="O73" s="27">
        <f t="shared" si="6"/>
        <v>369.64775338574509</v>
      </c>
      <c r="P73" s="27">
        <f t="shared" si="7"/>
        <v>508142.71099626803</v>
      </c>
    </row>
    <row r="74" spans="2:16" x14ac:dyDescent="0.25">
      <c r="B74" s="30">
        <v>58</v>
      </c>
      <c r="C74" s="31">
        <f t="shared" si="8"/>
        <v>46957</v>
      </c>
      <c r="D74" s="27">
        <f t="shared" si="0"/>
        <v>7514.9128616125881</v>
      </c>
      <c r="E74" s="27"/>
      <c r="F74" s="27">
        <f t="shared" si="1"/>
        <v>6298.4116469301816</v>
      </c>
      <c r="G74" s="27">
        <f t="shared" si="2"/>
        <v>1216.5012146824065</v>
      </c>
      <c r="H74" s="27">
        <f t="shared" si="3"/>
        <v>628624.66347833583</v>
      </c>
      <c r="J74" s="30">
        <v>58</v>
      </c>
      <c r="K74" s="31">
        <f t="shared" si="9"/>
        <v>46837</v>
      </c>
      <c r="L74" s="27">
        <f t="shared" si="4"/>
        <v>4607.2507429661937</v>
      </c>
      <c r="M74" s="27"/>
      <c r="N74" s="27">
        <f t="shared" si="5"/>
        <v>4234.5225916355666</v>
      </c>
      <c r="O74" s="27">
        <f t="shared" si="6"/>
        <v>372.72815133062704</v>
      </c>
      <c r="P74" s="27">
        <f t="shared" si="7"/>
        <v>507769.98284493742</v>
      </c>
    </row>
    <row r="75" spans="2:16" x14ac:dyDescent="0.25">
      <c r="B75" s="30">
        <v>59</v>
      </c>
      <c r="C75" s="31">
        <f t="shared" si="8"/>
        <v>46988</v>
      </c>
      <c r="D75" s="27">
        <f t="shared" si="0"/>
        <v>7514.9128616125881</v>
      </c>
      <c r="E75" s="27"/>
      <c r="F75" s="27">
        <f t="shared" si="1"/>
        <v>6286.2466347833588</v>
      </c>
      <c r="G75" s="27">
        <f t="shared" si="2"/>
        <v>1228.6662268292293</v>
      </c>
      <c r="H75" s="27">
        <f t="shared" si="3"/>
        <v>627395.99725150655</v>
      </c>
      <c r="J75" s="30">
        <v>59</v>
      </c>
      <c r="K75" s="31">
        <f t="shared" si="9"/>
        <v>46868</v>
      </c>
      <c r="L75" s="27">
        <f t="shared" si="4"/>
        <v>4607.2507429661937</v>
      </c>
      <c r="M75" s="27"/>
      <c r="N75" s="27">
        <f t="shared" si="5"/>
        <v>4231.4165237078114</v>
      </c>
      <c r="O75" s="27">
        <f t="shared" si="6"/>
        <v>375.83421925838229</v>
      </c>
      <c r="P75" s="27">
        <f t="shared" si="7"/>
        <v>507394.14862567902</v>
      </c>
    </row>
    <row r="76" spans="2:16" x14ac:dyDescent="0.25">
      <c r="B76" s="30">
        <v>60</v>
      </c>
      <c r="C76" s="31">
        <f t="shared" si="8"/>
        <v>47019</v>
      </c>
      <c r="D76" s="27">
        <f t="shared" si="0"/>
        <v>7514.9128616125881</v>
      </c>
      <c r="E76" s="27"/>
      <c r="F76" s="27">
        <f t="shared" si="1"/>
        <v>6273.9599725150656</v>
      </c>
      <c r="G76" s="27">
        <f t="shared" si="2"/>
        <v>1240.9528890975225</v>
      </c>
      <c r="H76" s="27">
        <f t="shared" si="3"/>
        <v>626155.04436240904</v>
      </c>
      <c r="J76" s="30">
        <v>60</v>
      </c>
      <c r="K76" s="31">
        <f t="shared" si="9"/>
        <v>46898</v>
      </c>
      <c r="L76" s="27">
        <f t="shared" si="4"/>
        <v>4607.2507429661937</v>
      </c>
      <c r="M76" s="27"/>
      <c r="N76" s="27">
        <f t="shared" si="5"/>
        <v>4228.2845718806584</v>
      </c>
      <c r="O76" s="27">
        <f t="shared" si="6"/>
        <v>378.96617108553528</v>
      </c>
      <c r="P76" s="27">
        <f t="shared" si="7"/>
        <v>507015.18245459348</v>
      </c>
    </row>
    <row r="77" spans="2:16" x14ac:dyDescent="0.25">
      <c r="B77" s="30">
        <v>61</v>
      </c>
      <c r="C77" s="31">
        <f t="shared" si="8"/>
        <v>47049</v>
      </c>
      <c r="D77" s="27">
        <f t="shared" si="0"/>
        <v>7514.9128616125881</v>
      </c>
      <c r="E77" s="27"/>
      <c r="F77" s="27">
        <f t="shared" si="1"/>
        <v>6261.5504436240908</v>
      </c>
      <c r="G77" s="27">
        <f t="shared" si="2"/>
        <v>1253.3624179884973</v>
      </c>
      <c r="H77" s="27">
        <f t="shared" si="3"/>
        <v>624901.68194442056</v>
      </c>
      <c r="J77" s="30">
        <v>61</v>
      </c>
      <c r="K77" s="31">
        <f t="shared" si="9"/>
        <v>46929</v>
      </c>
      <c r="L77" s="27">
        <f t="shared" si="4"/>
        <v>4607.2507429661937</v>
      </c>
      <c r="M77" s="27"/>
      <c r="N77" s="27">
        <f t="shared" si="5"/>
        <v>4225.1265204549454</v>
      </c>
      <c r="O77" s="27">
        <f t="shared" si="6"/>
        <v>382.12422251124826</v>
      </c>
      <c r="P77" s="27">
        <f t="shared" si="7"/>
        <v>506633.05823208223</v>
      </c>
    </row>
    <row r="78" spans="2:16" x14ac:dyDescent="0.25">
      <c r="B78" s="30">
        <v>62</v>
      </c>
      <c r="C78" s="31">
        <f t="shared" si="8"/>
        <v>47080</v>
      </c>
      <c r="D78" s="27">
        <f t="shared" si="0"/>
        <v>7514.9128616125881</v>
      </c>
      <c r="E78" s="27"/>
      <c r="F78" s="27">
        <f t="shared" si="1"/>
        <v>6249.0168194442058</v>
      </c>
      <c r="G78" s="27">
        <f t="shared" si="2"/>
        <v>1265.8960421683823</v>
      </c>
      <c r="H78" s="27">
        <f t="shared" si="3"/>
        <v>623635.78590225219</v>
      </c>
      <c r="J78" s="30">
        <v>62</v>
      </c>
      <c r="K78" s="31">
        <f t="shared" si="9"/>
        <v>46959</v>
      </c>
      <c r="L78" s="27">
        <f t="shared" si="4"/>
        <v>4607.2507429661937</v>
      </c>
      <c r="M78" s="27"/>
      <c r="N78" s="27">
        <f t="shared" si="5"/>
        <v>4221.9421519340185</v>
      </c>
      <c r="O78" s="27">
        <f t="shared" si="6"/>
        <v>385.30859103217517</v>
      </c>
      <c r="P78" s="27">
        <f t="shared" si="7"/>
        <v>506247.74964105006</v>
      </c>
    </row>
    <row r="79" spans="2:16" x14ac:dyDescent="0.25">
      <c r="B79" s="30">
        <v>63</v>
      </c>
      <c r="C79" s="31">
        <f t="shared" si="8"/>
        <v>47110</v>
      </c>
      <c r="D79" s="27">
        <f t="shared" si="0"/>
        <v>7514.9128616125881</v>
      </c>
      <c r="E79" s="27"/>
      <c r="F79" s="27">
        <f t="shared" si="1"/>
        <v>6236.3578590225225</v>
      </c>
      <c r="G79" s="27">
        <f t="shared" si="2"/>
        <v>1278.5550025900657</v>
      </c>
      <c r="H79" s="27">
        <f t="shared" si="3"/>
        <v>622357.23089966213</v>
      </c>
      <c r="J79" s="30">
        <v>63</v>
      </c>
      <c r="K79" s="31">
        <f t="shared" si="9"/>
        <v>46990</v>
      </c>
      <c r="L79" s="27">
        <f t="shared" si="4"/>
        <v>4607.2507429661937</v>
      </c>
      <c r="M79" s="27"/>
      <c r="N79" s="27">
        <f t="shared" si="5"/>
        <v>4218.7312470087509</v>
      </c>
      <c r="O79" s="27">
        <f t="shared" si="6"/>
        <v>388.51949595744281</v>
      </c>
      <c r="P79" s="27">
        <f t="shared" si="7"/>
        <v>505859.23014509265</v>
      </c>
    </row>
    <row r="80" spans="2:16" x14ac:dyDescent="0.25">
      <c r="B80" s="30">
        <v>64</v>
      </c>
      <c r="C80" s="31">
        <f t="shared" si="8"/>
        <v>47141</v>
      </c>
      <c r="D80" s="27">
        <f t="shared" si="0"/>
        <v>7514.9128616125881</v>
      </c>
      <c r="E80" s="27"/>
      <c r="F80" s="27">
        <f t="shared" si="1"/>
        <v>6223.5723089966214</v>
      </c>
      <c r="G80" s="27">
        <f t="shared" si="2"/>
        <v>1291.3405526159668</v>
      </c>
      <c r="H80" s="27">
        <f t="shared" si="3"/>
        <v>621065.8903470462</v>
      </c>
      <c r="J80" s="30">
        <v>64</v>
      </c>
      <c r="K80" s="31">
        <f t="shared" si="9"/>
        <v>47021</v>
      </c>
      <c r="L80" s="27">
        <f t="shared" si="4"/>
        <v>4607.2507429661937</v>
      </c>
      <c r="M80" s="27"/>
      <c r="N80" s="27">
        <f t="shared" si="5"/>
        <v>4215.4935845424388</v>
      </c>
      <c r="O80" s="27">
        <f t="shared" si="6"/>
        <v>391.75715842375484</v>
      </c>
      <c r="P80" s="27">
        <f t="shared" si="7"/>
        <v>505467.47298666887</v>
      </c>
    </row>
    <row r="81" spans="2:16" x14ac:dyDescent="0.25">
      <c r="B81" s="30">
        <v>65</v>
      </c>
      <c r="C81" s="31">
        <f t="shared" si="8"/>
        <v>47172</v>
      </c>
      <c r="D81" s="27">
        <f t="shared" si="0"/>
        <v>7514.9128616125881</v>
      </c>
      <c r="E81" s="27"/>
      <c r="F81" s="27">
        <f t="shared" si="1"/>
        <v>6210.6589034704621</v>
      </c>
      <c r="G81" s="27">
        <f t="shared" si="2"/>
        <v>1304.2539581421261</v>
      </c>
      <c r="H81" s="27">
        <f t="shared" si="3"/>
        <v>619761.63638890407</v>
      </c>
      <c r="J81" s="30">
        <v>65</v>
      </c>
      <c r="K81" s="31">
        <f t="shared" si="9"/>
        <v>47051</v>
      </c>
      <c r="L81" s="27">
        <f t="shared" si="4"/>
        <v>4607.2507429661937</v>
      </c>
      <c r="M81" s="27"/>
      <c r="N81" s="27">
        <f t="shared" si="5"/>
        <v>4212.2289415555742</v>
      </c>
      <c r="O81" s="27">
        <f t="shared" si="6"/>
        <v>395.02180141061945</v>
      </c>
      <c r="P81" s="27">
        <f t="shared" si="7"/>
        <v>505072.45118525828</v>
      </c>
    </row>
    <row r="82" spans="2:16" x14ac:dyDescent="0.25">
      <c r="B82" s="30">
        <v>66</v>
      </c>
      <c r="C82" s="31">
        <f t="shared" si="8"/>
        <v>47200</v>
      </c>
      <c r="D82" s="27">
        <f t="shared" ref="D82:D145" si="10">IF(H81+F82&lt;$D$13,H81+F82,$D$13)</f>
        <v>7514.9128616125881</v>
      </c>
      <c r="E82" s="27"/>
      <c r="F82" s="27">
        <f t="shared" ref="F82:F145" si="11">H81*$H$5</f>
        <v>6197.6163638890412</v>
      </c>
      <c r="G82" s="27">
        <f t="shared" ref="G82:G145" si="12">D82-F82+E82</f>
        <v>1317.296497723547</v>
      </c>
      <c r="H82" s="27">
        <f t="shared" ref="H82:H145" si="13">H81-G82</f>
        <v>618444.33989118051</v>
      </c>
      <c r="J82" s="30">
        <v>66</v>
      </c>
      <c r="K82" s="31">
        <f t="shared" si="9"/>
        <v>47082</v>
      </c>
      <c r="L82" s="27">
        <f t="shared" ref="L82:L145" si="14">IF(P81+N82&lt;$L$13,P81+N82,$L$13)</f>
        <v>4607.2507429661937</v>
      </c>
      <c r="M82" s="27"/>
      <c r="N82" s="27">
        <f t="shared" ref="N82:N145" si="15">P81*$P$5</f>
        <v>4208.9370932104857</v>
      </c>
      <c r="O82" s="27">
        <f t="shared" ref="O82:O145" si="16">L82-N82+M82</f>
        <v>398.31364975570796</v>
      </c>
      <c r="P82" s="27">
        <f t="shared" ref="P82:P145" si="17">P81-O82</f>
        <v>504674.13753550255</v>
      </c>
    </row>
    <row r="83" spans="2:16" x14ac:dyDescent="0.25">
      <c r="B83" s="30">
        <v>67</v>
      </c>
      <c r="C83" s="31">
        <f t="shared" ref="C83:C146" si="18">IF(H82&lt;=0,"",EDATE(C82,IF($D$8="Monthly",1,12)))</f>
        <v>47231</v>
      </c>
      <c r="D83" s="27">
        <f t="shared" si="10"/>
        <v>7514.9128616125881</v>
      </c>
      <c r="E83" s="27"/>
      <c r="F83" s="27">
        <f t="shared" si="11"/>
        <v>6184.4433989118052</v>
      </c>
      <c r="G83" s="27">
        <f t="shared" si="12"/>
        <v>1330.469462700783</v>
      </c>
      <c r="H83" s="27">
        <f t="shared" si="13"/>
        <v>617113.87042847974</v>
      </c>
      <c r="J83" s="30">
        <v>67</v>
      </c>
      <c r="K83" s="31">
        <f t="shared" ref="K83:K146" si="19">IF(P82&lt;=0,"",EDATE(K82,IF($L$8="Monthly",1,12)))</f>
        <v>47112</v>
      </c>
      <c r="L83" s="27">
        <f t="shared" si="14"/>
        <v>4607.2507429661937</v>
      </c>
      <c r="M83" s="27"/>
      <c r="N83" s="27">
        <f t="shared" si="15"/>
        <v>4205.6178127958547</v>
      </c>
      <c r="O83" s="27">
        <f t="shared" si="16"/>
        <v>401.63293017033902</v>
      </c>
      <c r="P83" s="27">
        <f t="shared" si="17"/>
        <v>504272.50460533221</v>
      </c>
    </row>
    <row r="84" spans="2:16" x14ac:dyDescent="0.25">
      <c r="B84" s="30">
        <v>68</v>
      </c>
      <c r="C84" s="31">
        <f t="shared" si="18"/>
        <v>47261</v>
      </c>
      <c r="D84" s="27">
        <f t="shared" si="10"/>
        <v>7514.9128616125881</v>
      </c>
      <c r="E84" s="27"/>
      <c r="F84" s="27">
        <f t="shared" si="11"/>
        <v>6171.1387042847973</v>
      </c>
      <c r="G84" s="27">
        <f t="shared" si="12"/>
        <v>1343.7741573277908</v>
      </c>
      <c r="H84" s="27">
        <f t="shared" si="13"/>
        <v>615770.09627115191</v>
      </c>
      <c r="J84" s="30">
        <v>68</v>
      </c>
      <c r="K84" s="31">
        <f t="shared" si="19"/>
        <v>47143</v>
      </c>
      <c r="L84" s="27">
        <f t="shared" si="14"/>
        <v>4607.2507429661937</v>
      </c>
      <c r="M84" s="27"/>
      <c r="N84" s="27">
        <f t="shared" si="15"/>
        <v>4202.2708717111018</v>
      </c>
      <c r="O84" s="27">
        <f t="shared" si="16"/>
        <v>404.97987125509189</v>
      </c>
      <c r="P84" s="27">
        <f t="shared" si="17"/>
        <v>503867.5247340771</v>
      </c>
    </row>
    <row r="85" spans="2:16" x14ac:dyDescent="0.25">
      <c r="B85" s="30">
        <v>69</v>
      </c>
      <c r="C85" s="31">
        <f t="shared" si="18"/>
        <v>47292</v>
      </c>
      <c r="D85" s="27">
        <f t="shared" si="10"/>
        <v>7514.9128616125881</v>
      </c>
      <c r="E85" s="27"/>
      <c r="F85" s="27">
        <f t="shared" si="11"/>
        <v>6157.7009627115194</v>
      </c>
      <c r="G85" s="27">
        <f t="shared" si="12"/>
        <v>1357.2118989010687</v>
      </c>
      <c r="H85" s="27">
        <f t="shared" si="13"/>
        <v>614412.88437225088</v>
      </c>
      <c r="J85" s="30">
        <v>69</v>
      </c>
      <c r="K85" s="31">
        <f t="shared" si="19"/>
        <v>47174</v>
      </c>
      <c r="L85" s="27">
        <f t="shared" si="14"/>
        <v>4607.2507429661937</v>
      </c>
      <c r="M85" s="27"/>
      <c r="N85" s="27">
        <f t="shared" si="15"/>
        <v>4198.8960394506421</v>
      </c>
      <c r="O85" s="27">
        <f t="shared" si="16"/>
        <v>408.35470351555159</v>
      </c>
      <c r="P85" s="27">
        <f t="shared" si="17"/>
        <v>503459.17003056157</v>
      </c>
    </row>
    <row r="86" spans="2:16" x14ac:dyDescent="0.25">
      <c r="B86" s="30">
        <v>70</v>
      </c>
      <c r="C86" s="31">
        <f t="shared" si="18"/>
        <v>47322</v>
      </c>
      <c r="D86" s="27">
        <f t="shared" si="10"/>
        <v>7514.9128616125881</v>
      </c>
      <c r="E86" s="27"/>
      <c r="F86" s="27">
        <f t="shared" si="11"/>
        <v>6144.1288437225085</v>
      </c>
      <c r="G86" s="27">
        <f t="shared" si="12"/>
        <v>1370.7840178900797</v>
      </c>
      <c r="H86" s="27">
        <f t="shared" si="13"/>
        <v>613042.10035436077</v>
      </c>
      <c r="J86" s="30">
        <v>70</v>
      </c>
      <c r="K86" s="31">
        <f t="shared" si="19"/>
        <v>47202</v>
      </c>
      <c r="L86" s="27">
        <f t="shared" si="14"/>
        <v>4607.2507429661937</v>
      </c>
      <c r="M86" s="27"/>
      <c r="N86" s="27">
        <f t="shared" si="15"/>
        <v>4195.4930835880132</v>
      </c>
      <c r="O86" s="27">
        <f t="shared" si="16"/>
        <v>411.75765937818051</v>
      </c>
      <c r="P86" s="27">
        <f t="shared" si="17"/>
        <v>503047.4123711834</v>
      </c>
    </row>
    <row r="87" spans="2:16" x14ac:dyDescent="0.25">
      <c r="B87" s="30">
        <v>71</v>
      </c>
      <c r="C87" s="31">
        <f t="shared" si="18"/>
        <v>47353</v>
      </c>
      <c r="D87" s="27">
        <f t="shared" si="10"/>
        <v>7514.9128616125881</v>
      </c>
      <c r="E87" s="27"/>
      <c r="F87" s="27">
        <f t="shared" si="11"/>
        <v>6130.4210035436081</v>
      </c>
      <c r="G87" s="27">
        <f t="shared" si="12"/>
        <v>1384.49185806898</v>
      </c>
      <c r="H87" s="27">
        <f t="shared" si="13"/>
        <v>611657.6084962918</v>
      </c>
      <c r="J87" s="30">
        <v>71</v>
      </c>
      <c r="K87" s="31">
        <f t="shared" si="19"/>
        <v>47233</v>
      </c>
      <c r="L87" s="27">
        <f t="shared" si="14"/>
        <v>4607.2507429661937</v>
      </c>
      <c r="M87" s="27"/>
      <c r="N87" s="27">
        <f t="shared" si="15"/>
        <v>4192.0617697598618</v>
      </c>
      <c r="O87" s="27">
        <f t="shared" si="16"/>
        <v>415.18897320633187</v>
      </c>
      <c r="P87" s="27">
        <f t="shared" si="17"/>
        <v>502632.22339797707</v>
      </c>
    </row>
    <row r="88" spans="2:16" x14ac:dyDescent="0.25">
      <c r="B88" s="30">
        <v>72</v>
      </c>
      <c r="C88" s="31">
        <f t="shared" si="18"/>
        <v>47384</v>
      </c>
      <c r="D88" s="27">
        <f t="shared" si="10"/>
        <v>7514.9128616125881</v>
      </c>
      <c r="E88" s="27"/>
      <c r="F88" s="27">
        <f t="shared" si="11"/>
        <v>6116.5760849629178</v>
      </c>
      <c r="G88" s="27">
        <f t="shared" si="12"/>
        <v>1398.3367766496704</v>
      </c>
      <c r="H88" s="27">
        <f t="shared" si="13"/>
        <v>610259.2717196421</v>
      </c>
      <c r="J88" s="30">
        <v>72</v>
      </c>
      <c r="K88" s="31">
        <f t="shared" si="19"/>
        <v>47263</v>
      </c>
      <c r="L88" s="27">
        <f t="shared" si="14"/>
        <v>4607.2507429661937</v>
      </c>
      <c r="M88" s="27"/>
      <c r="N88" s="27">
        <f t="shared" si="15"/>
        <v>4188.6018616498086</v>
      </c>
      <c r="O88" s="27">
        <f t="shared" si="16"/>
        <v>418.64888131638509</v>
      </c>
      <c r="P88" s="27">
        <f t="shared" si="17"/>
        <v>502213.57451666071</v>
      </c>
    </row>
    <row r="89" spans="2:16" x14ac:dyDescent="0.25">
      <c r="B89" s="30">
        <v>73</v>
      </c>
      <c r="C89" s="31">
        <f t="shared" si="18"/>
        <v>47414</v>
      </c>
      <c r="D89" s="27">
        <f t="shared" si="10"/>
        <v>7514.9128616125881</v>
      </c>
      <c r="E89" s="27"/>
      <c r="F89" s="27">
        <f t="shared" si="11"/>
        <v>6102.5927171964213</v>
      </c>
      <c r="G89" s="27">
        <f t="shared" si="12"/>
        <v>1412.3201444161668</v>
      </c>
      <c r="H89" s="27">
        <f t="shared" si="13"/>
        <v>608846.95157522592</v>
      </c>
      <c r="J89" s="30">
        <v>73</v>
      </c>
      <c r="K89" s="31">
        <f t="shared" si="19"/>
        <v>47294</v>
      </c>
      <c r="L89" s="27">
        <f t="shared" si="14"/>
        <v>4607.2507429661937</v>
      </c>
      <c r="M89" s="27"/>
      <c r="N89" s="27">
        <f t="shared" si="15"/>
        <v>4185.1131209721725</v>
      </c>
      <c r="O89" s="27">
        <f t="shared" si="16"/>
        <v>422.13762199402117</v>
      </c>
      <c r="P89" s="27">
        <f t="shared" si="17"/>
        <v>501791.43689466669</v>
      </c>
    </row>
    <row r="90" spans="2:16" x14ac:dyDescent="0.25">
      <c r="B90" s="30">
        <v>74</v>
      </c>
      <c r="C90" s="31">
        <f t="shared" si="18"/>
        <v>47445</v>
      </c>
      <c r="D90" s="27">
        <f t="shared" si="10"/>
        <v>7514.9128616125881</v>
      </c>
      <c r="E90" s="27"/>
      <c r="F90" s="27">
        <f t="shared" si="11"/>
        <v>6088.4695157522592</v>
      </c>
      <c r="G90" s="27">
        <f t="shared" si="12"/>
        <v>1426.4433458603289</v>
      </c>
      <c r="H90" s="27">
        <f t="shared" si="13"/>
        <v>607420.50822936557</v>
      </c>
      <c r="J90" s="30">
        <v>74</v>
      </c>
      <c r="K90" s="31">
        <f t="shared" si="19"/>
        <v>47324</v>
      </c>
      <c r="L90" s="27">
        <f t="shared" si="14"/>
        <v>4607.2507429661937</v>
      </c>
      <c r="M90" s="27"/>
      <c r="N90" s="27">
        <f t="shared" si="15"/>
        <v>4181.5953074555555</v>
      </c>
      <c r="O90" s="27">
        <f t="shared" si="16"/>
        <v>425.6554355106382</v>
      </c>
      <c r="P90" s="27">
        <f t="shared" si="17"/>
        <v>501365.78145915607</v>
      </c>
    </row>
    <row r="91" spans="2:16" x14ac:dyDescent="0.25">
      <c r="B91" s="30">
        <v>75</v>
      </c>
      <c r="C91" s="31">
        <f t="shared" si="18"/>
        <v>47475</v>
      </c>
      <c r="D91" s="27">
        <f t="shared" si="10"/>
        <v>7514.9128616125881</v>
      </c>
      <c r="E91" s="27"/>
      <c r="F91" s="27">
        <f t="shared" si="11"/>
        <v>6074.2050822936562</v>
      </c>
      <c r="G91" s="27">
        <f t="shared" si="12"/>
        <v>1440.7077793189319</v>
      </c>
      <c r="H91" s="27">
        <f t="shared" si="13"/>
        <v>605979.80045004666</v>
      </c>
      <c r="J91" s="30">
        <v>75</v>
      </c>
      <c r="K91" s="31">
        <f t="shared" si="19"/>
        <v>47355</v>
      </c>
      <c r="L91" s="27">
        <f t="shared" si="14"/>
        <v>4607.2507429661937</v>
      </c>
      <c r="M91" s="27"/>
      <c r="N91" s="27">
        <f t="shared" si="15"/>
        <v>4178.0481788263005</v>
      </c>
      <c r="O91" s="27">
        <f t="shared" si="16"/>
        <v>429.20256413989318</v>
      </c>
      <c r="P91" s="27">
        <f t="shared" si="17"/>
        <v>500936.57889501617</v>
      </c>
    </row>
    <row r="92" spans="2:16" x14ac:dyDescent="0.25">
      <c r="B92" s="30">
        <v>76</v>
      </c>
      <c r="C92" s="31">
        <f t="shared" si="18"/>
        <v>47506</v>
      </c>
      <c r="D92" s="27">
        <f t="shared" si="10"/>
        <v>7514.9128616125881</v>
      </c>
      <c r="E92" s="27"/>
      <c r="F92" s="27">
        <f t="shared" si="11"/>
        <v>6059.798004500467</v>
      </c>
      <c r="G92" s="27">
        <f t="shared" si="12"/>
        <v>1455.1148571121212</v>
      </c>
      <c r="H92" s="27">
        <f t="shared" si="13"/>
        <v>604524.68559293449</v>
      </c>
      <c r="J92" s="30">
        <v>76</v>
      </c>
      <c r="K92" s="31">
        <f t="shared" si="19"/>
        <v>47386</v>
      </c>
      <c r="L92" s="27">
        <f t="shared" si="14"/>
        <v>4607.2507429661937</v>
      </c>
      <c r="M92" s="27"/>
      <c r="N92" s="27">
        <f t="shared" si="15"/>
        <v>4174.4714907918014</v>
      </c>
      <c r="O92" s="27">
        <f t="shared" si="16"/>
        <v>432.77925217439224</v>
      </c>
      <c r="P92" s="27">
        <f t="shared" si="17"/>
        <v>500503.7996428418</v>
      </c>
    </row>
    <row r="93" spans="2:16" x14ac:dyDescent="0.25">
      <c r="B93" s="30">
        <v>77</v>
      </c>
      <c r="C93" s="31">
        <f t="shared" si="18"/>
        <v>47537</v>
      </c>
      <c r="D93" s="27">
        <f t="shared" si="10"/>
        <v>7514.9128616125881</v>
      </c>
      <c r="E93" s="27"/>
      <c r="F93" s="27">
        <f t="shared" si="11"/>
        <v>6045.2468559293447</v>
      </c>
      <c r="G93" s="27">
        <f t="shared" si="12"/>
        <v>1469.6660056832434</v>
      </c>
      <c r="H93" s="27">
        <f t="shared" si="13"/>
        <v>603055.01958725124</v>
      </c>
      <c r="J93" s="30">
        <v>77</v>
      </c>
      <c r="K93" s="31">
        <f t="shared" si="19"/>
        <v>47416</v>
      </c>
      <c r="L93" s="27">
        <f t="shared" si="14"/>
        <v>4607.2507429661937</v>
      </c>
      <c r="M93" s="27"/>
      <c r="N93" s="27">
        <f t="shared" si="15"/>
        <v>4170.864997023682</v>
      </c>
      <c r="O93" s="27">
        <f t="shared" si="16"/>
        <v>436.38574594251168</v>
      </c>
      <c r="P93" s="27">
        <f t="shared" si="17"/>
        <v>500067.41389689926</v>
      </c>
    </row>
    <row r="94" spans="2:16" x14ac:dyDescent="0.25">
      <c r="B94" s="30">
        <v>78</v>
      </c>
      <c r="C94" s="31">
        <f t="shared" si="18"/>
        <v>47565</v>
      </c>
      <c r="D94" s="27">
        <f t="shared" si="10"/>
        <v>7514.9128616125881</v>
      </c>
      <c r="E94" s="27"/>
      <c r="F94" s="27">
        <f t="shared" si="11"/>
        <v>6030.5501958725126</v>
      </c>
      <c r="G94" s="27">
        <f t="shared" si="12"/>
        <v>1484.3626657400755</v>
      </c>
      <c r="H94" s="27">
        <f t="shared" si="13"/>
        <v>601570.65692151117</v>
      </c>
      <c r="J94" s="30">
        <v>78</v>
      </c>
      <c r="K94" s="31">
        <f t="shared" si="19"/>
        <v>47447</v>
      </c>
      <c r="L94" s="27">
        <f t="shared" si="14"/>
        <v>4607.2507429661937</v>
      </c>
      <c r="M94" s="27"/>
      <c r="N94" s="27">
        <f t="shared" si="15"/>
        <v>4167.2284491408273</v>
      </c>
      <c r="O94" s="27">
        <f t="shared" si="16"/>
        <v>440.02229382536643</v>
      </c>
      <c r="P94" s="27">
        <f t="shared" si="17"/>
        <v>499627.39160307392</v>
      </c>
    </row>
    <row r="95" spans="2:16" x14ac:dyDescent="0.25">
      <c r="B95" s="30">
        <v>79</v>
      </c>
      <c r="C95" s="31">
        <f t="shared" si="18"/>
        <v>47596</v>
      </c>
      <c r="D95" s="27">
        <f t="shared" si="10"/>
        <v>7514.9128616125881</v>
      </c>
      <c r="E95" s="27"/>
      <c r="F95" s="27">
        <f t="shared" si="11"/>
        <v>6015.7065692151118</v>
      </c>
      <c r="G95" s="27">
        <f t="shared" si="12"/>
        <v>1499.2062923974763</v>
      </c>
      <c r="H95" s="27">
        <f t="shared" si="13"/>
        <v>600071.45062911371</v>
      </c>
      <c r="J95" s="30">
        <v>79</v>
      </c>
      <c r="K95" s="31">
        <f t="shared" si="19"/>
        <v>47477</v>
      </c>
      <c r="L95" s="27">
        <f t="shared" si="14"/>
        <v>4607.2507429661937</v>
      </c>
      <c r="M95" s="27"/>
      <c r="N95" s="27">
        <f t="shared" si="15"/>
        <v>4163.5615966922824</v>
      </c>
      <c r="O95" s="27">
        <f t="shared" si="16"/>
        <v>443.68914627391132</v>
      </c>
      <c r="P95" s="27">
        <f t="shared" si="17"/>
        <v>499183.70245680003</v>
      </c>
    </row>
    <row r="96" spans="2:16" x14ac:dyDescent="0.25">
      <c r="B96" s="30">
        <v>80</v>
      </c>
      <c r="C96" s="31">
        <f t="shared" si="18"/>
        <v>47626</v>
      </c>
      <c r="D96" s="27">
        <f t="shared" si="10"/>
        <v>7514.9128616125881</v>
      </c>
      <c r="E96" s="27"/>
      <c r="F96" s="27">
        <f t="shared" si="11"/>
        <v>6000.7145062911368</v>
      </c>
      <c r="G96" s="27">
        <f t="shared" si="12"/>
        <v>1514.1983553214513</v>
      </c>
      <c r="H96" s="27">
        <f t="shared" si="13"/>
        <v>598557.25227379228</v>
      </c>
      <c r="J96" s="30">
        <v>80</v>
      </c>
      <c r="K96" s="31">
        <f t="shared" si="19"/>
        <v>47508</v>
      </c>
      <c r="L96" s="27">
        <f t="shared" si="14"/>
        <v>4607.2507429661937</v>
      </c>
      <c r="M96" s="27"/>
      <c r="N96" s="27">
        <f t="shared" si="15"/>
        <v>4159.8641871400005</v>
      </c>
      <c r="O96" s="27">
        <f t="shared" si="16"/>
        <v>447.38655582619322</v>
      </c>
      <c r="P96" s="27">
        <f t="shared" si="17"/>
        <v>498736.31590097386</v>
      </c>
    </row>
    <row r="97" spans="2:16" x14ac:dyDescent="0.25">
      <c r="B97" s="30">
        <v>81</v>
      </c>
      <c r="C97" s="31">
        <f t="shared" si="18"/>
        <v>47657</v>
      </c>
      <c r="D97" s="27">
        <f t="shared" si="10"/>
        <v>7514.9128616125881</v>
      </c>
      <c r="E97" s="27"/>
      <c r="F97" s="27">
        <f t="shared" si="11"/>
        <v>5985.5725227379226</v>
      </c>
      <c r="G97" s="27">
        <f t="shared" si="12"/>
        <v>1529.3403388746656</v>
      </c>
      <c r="H97" s="27">
        <f t="shared" si="13"/>
        <v>597027.91193491768</v>
      </c>
      <c r="J97" s="30">
        <v>81</v>
      </c>
      <c r="K97" s="31">
        <f t="shared" si="19"/>
        <v>47539</v>
      </c>
      <c r="L97" s="27">
        <f t="shared" si="14"/>
        <v>4607.2507429661937</v>
      </c>
      <c r="M97" s="27"/>
      <c r="N97" s="27">
        <f t="shared" si="15"/>
        <v>4156.1359658414485</v>
      </c>
      <c r="O97" s="27">
        <f t="shared" si="16"/>
        <v>451.11477712474516</v>
      </c>
      <c r="P97" s="27">
        <f t="shared" si="17"/>
        <v>498285.20112384914</v>
      </c>
    </row>
    <row r="98" spans="2:16" x14ac:dyDescent="0.25">
      <c r="B98" s="30">
        <v>82</v>
      </c>
      <c r="C98" s="31">
        <f t="shared" si="18"/>
        <v>47687</v>
      </c>
      <c r="D98" s="27">
        <f t="shared" si="10"/>
        <v>7514.9128616125881</v>
      </c>
      <c r="E98" s="27"/>
      <c r="F98" s="27">
        <f t="shared" si="11"/>
        <v>5970.2791193491767</v>
      </c>
      <c r="G98" s="27">
        <f t="shared" si="12"/>
        <v>1544.6337422634115</v>
      </c>
      <c r="H98" s="27">
        <f t="shared" si="13"/>
        <v>595483.27819265425</v>
      </c>
      <c r="J98" s="30">
        <v>82</v>
      </c>
      <c r="K98" s="31">
        <f t="shared" si="19"/>
        <v>47567</v>
      </c>
      <c r="L98" s="27">
        <f t="shared" si="14"/>
        <v>4607.2507429661937</v>
      </c>
      <c r="M98" s="27"/>
      <c r="N98" s="27">
        <f t="shared" si="15"/>
        <v>4152.3766760320759</v>
      </c>
      <c r="O98" s="27">
        <f t="shared" si="16"/>
        <v>454.87406693411776</v>
      </c>
      <c r="P98" s="27">
        <f t="shared" si="17"/>
        <v>497830.32705691503</v>
      </c>
    </row>
    <row r="99" spans="2:16" x14ac:dyDescent="0.25">
      <c r="B99" s="30">
        <v>83</v>
      </c>
      <c r="C99" s="31">
        <f t="shared" si="18"/>
        <v>47718</v>
      </c>
      <c r="D99" s="27">
        <f t="shared" si="10"/>
        <v>7514.9128616125881</v>
      </c>
      <c r="E99" s="27"/>
      <c r="F99" s="27">
        <f t="shared" si="11"/>
        <v>5954.8327819265423</v>
      </c>
      <c r="G99" s="27">
        <f t="shared" si="12"/>
        <v>1560.0800796860458</v>
      </c>
      <c r="H99" s="27">
        <f t="shared" si="13"/>
        <v>593923.19811296824</v>
      </c>
      <c r="J99" s="30">
        <v>83</v>
      </c>
      <c r="K99" s="31">
        <f t="shared" si="19"/>
        <v>47598</v>
      </c>
      <c r="L99" s="27">
        <f t="shared" si="14"/>
        <v>4607.2507429661937</v>
      </c>
      <c r="M99" s="27"/>
      <c r="N99" s="27">
        <f t="shared" si="15"/>
        <v>4148.5860588076248</v>
      </c>
      <c r="O99" s="27">
        <f t="shared" si="16"/>
        <v>458.66468415856889</v>
      </c>
      <c r="P99" s="27">
        <f t="shared" si="17"/>
        <v>497371.66237275646</v>
      </c>
    </row>
    <row r="100" spans="2:16" x14ac:dyDescent="0.25">
      <c r="B100" s="30">
        <v>84</v>
      </c>
      <c r="C100" s="31">
        <f t="shared" si="18"/>
        <v>47749</v>
      </c>
      <c r="D100" s="27">
        <f t="shared" si="10"/>
        <v>7514.9128616125881</v>
      </c>
      <c r="E100" s="27"/>
      <c r="F100" s="27">
        <f t="shared" si="11"/>
        <v>5939.2319811296829</v>
      </c>
      <c r="G100" s="27">
        <f t="shared" si="12"/>
        <v>1575.6808804829052</v>
      </c>
      <c r="H100" s="27">
        <f t="shared" si="13"/>
        <v>592347.51723248535</v>
      </c>
      <c r="J100" s="30">
        <v>84</v>
      </c>
      <c r="K100" s="31">
        <f t="shared" si="19"/>
        <v>47628</v>
      </c>
      <c r="L100" s="27">
        <f t="shared" si="14"/>
        <v>4607.2507429661937</v>
      </c>
      <c r="M100" s="27"/>
      <c r="N100" s="27">
        <f t="shared" si="15"/>
        <v>4144.7638531063039</v>
      </c>
      <c r="O100" s="27">
        <f t="shared" si="16"/>
        <v>462.48688985988974</v>
      </c>
      <c r="P100" s="27">
        <f t="shared" si="17"/>
        <v>496909.17548289656</v>
      </c>
    </row>
    <row r="101" spans="2:16" x14ac:dyDescent="0.25">
      <c r="B101" s="30">
        <v>85</v>
      </c>
      <c r="C101" s="31">
        <f t="shared" si="18"/>
        <v>47779</v>
      </c>
      <c r="D101" s="27">
        <f t="shared" si="10"/>
        <v>7514.9128616125881</v>
      </c>
      <c r="E101" s="27"/>
      <c r="F101" s="27">
        <f t="shared" si="11"/>
        <v>5923.4751723248537</v>
      </c>
      <c r="G101" s="27">
        <f t="shared" si="12"/>
        <v>1591.4376892877344</v>
      </c>
      <c r="H101" s="27">
        <f t="shared" si="13"/>
        <v>590756.07954319764</v>
      </c>
      <c r="J101" s="30">
        <v>85</v>
      </c>
      <c r="K101" s="31">
        <f t="shared" si="19"/>
        <v>47659</v>
      </c>
      <c r="L101" s="27">
        <f t="shared" si="14"/>
        <v>4607.2507429661937</v>
      </c>
      <c r="M101" s="27"/>
      <c r="N101" s="27">
        <f t="shared" si="15"/>
        <v>4140.9097956908045</v>
      </c>
      <c r="O101" s="27">
        <f t="shared" si="16"/>
        <v>466.34094727538923</v>
      </c>
      <c r="P101" s="27">
        <f t="shared" si="17"/>
        <v>496442.83453562116</v>
      </c>
    </row>
    <row r="102" spans="2:16" x14ac:dyDescent="0.25">
      <c r="B102" s="30">
        <v>86</v>
      </c>
      <c r="C102" s="31">
        <f t="shared" si="18"/>
        <v>47810</v>
      </c>
      <c r="D102" s="27">
        <f t="shared" si="10"/>
        <v>7514.9128616125881</v>
      </c>
      <c r="E102" s="27"/>
      <c r="F102" s="27">
        <f t="shared" si="11"/>
        <v>5907.5607954319767</v>
      </c>
      <c r="G102" s="27">
        <f t="shared" si="12"/>
        <v>1607.3520661806115</v>
      </c>
      <c r="H102" s="27">
        <f t="shared" si="13"/>
        <v>589148.72747701698</v>
      </c>
      <c r="J102" s="30">
        <v>86</v>
      </c>
      <c r="K102" s="31">
        <f t="shared" si="19"/>
        <v>47689</v>
      </c>
      <c r="L102" s="27">
        <f t="shared" si="14"/>
        <v>4607.2507429661937</v>
      </c>
      <c r="M102" s="27"/>
      <c r="N102" s="27">
        <f t="shared" si="15"/>
        <v>4137.0236211301763</v>
      </c>
      <c r="O102" s="27">
        <f t="shared" si="16"/>
        <v>470.22712183601743</v>
      </c>
      <c r="P102" s="27">
        <f t="shared" si="17"/>
        <v>495972.60741378512</v>
      </c>
    </row>
    <row r="103" spans="2:16" x14ac:dyDescent="0.25">
      <c r="B103" s="30">
        <v>87</v>
      </c>
      <c r="C103" s="31">
        <f t="shared" si="18"/>
        <v>47840</v>
      </c>
      <c r="D103" s="27">
        <f t="shared" si="10"/>
        <v>7514.9128616125881</v>
      </c>
      <c r="E103" s="27"/>
      <c r="F103" s="27">
        <f t="shared" si="11"/>
        <v>5891.4872747701702</v>
      </c>
      <c r="G103" s="27">
        <f t="shared" si="12"/>
        <v>1623.4255868424179</v>
      </c>
      <c r="H103" s="27">
        <f t="shared" si="13"/>
        <v>587525.30189017451</v>
      </c>
      <c r="J103" s="30">
        <v>87</v>
      </c>
      <c r="K103" s="31">
        <f t="shared" si="19"/>
        <v>47720</v>
      </c>
      <c r="L103" s="27">
        <f t="shared" si="14"/>
        <v>4607.2507429661937</v>
      </c>
      <c r="M103" s="27"/>
      <c r="N103" s="27">
        <f t="shared" si="15"/>
        <v>4133.1050617815426</v>
      </c>
      <c r="O103" s="27">
        <f t="shared" si="16"/>
        <v>474.14568118465104</v>
      </c>
      <c r="P103" s="27">
        <f t="shared" si="17"/>
        <v>495498.46173260047</v>
      </c>
    </row>
    <row r="104" spans="2:16" x14ac:dyDescent="0.25">
      <c r="B104" s="30">
        <v>88</v>
      </c>
      <c r="C104" s="31">
        <f t="shared" si="18"/>
        <v>47871</v>
      </c>
      <c r="D104" s="27">
        <f t="shared" si="10"/>
        <v>7514.9128616125881</v>
      </c>
      <c r="E104" s="27"/>
      <c r="F104" s="27">
        <f t="shared" si="11"/>
        <v>5875.2530189017452</v>
      </c>
      <c r="G104" s="27">
        <f t="shared" si="12"/>
        <v>1639.6598427108429</v>
      </c>
      <c r="H104" s="27">
        <f t="shared" si="13"/>
        <v>585885.64204746368</v>
      </c>
      <c r="J104" s="30">
        <v>88</v>
      </c>
      <c r="K104" s="31">
        <f t="shared" si="19"/>
        <v>47751</v>
      </c>
      <c r="L104" s="27">
        <f t="shared" si="14"/>
        <v>4607.2507429661937</v>
      </c>
      <c r="M104" s="27"/>
      <c r="N104" s="27">
        <f t="shared" si="15"/>
        <v>4129.1538477716704</v>
      </c>
      <c r="O104" s="27">
        <f t="shared" si="16"/>
        <v>478.09689519452331</v>
      </c>
      <c r="P104" s="27">
        <f t="shared" si="17"/>
        <v>495020.36483740597</v>
      </c>
    </row>
    <row r="105" spans="2:16" x14ac:dyDescent="0.25">
      <c r="B105" s="30">
        <v>89</v>
      </c>
      <c r="C105" s="31">
        <f t="shared" si="18"/>
        <v>47902</v>
      </c>
      <c r="D105" s="27">
        <f t="shared" si="10"/>
        <v>7514.9128616125881</v>
      </c>
      <c r="E105" s="27"/>
      <c r="F105" s="27">
        <f t="shared" si="11"/>
        <v>5858.8564204746372</v>
      </c>
      <c r="G105" s="27">
        <f t="shared" si="12"/>
        <v>1656.056441137951</v>
      </c>
      <c r="H105" s="27">
        <f t="shared" si="13"/>
        <v>584229.58560632577</v>
      </c>
      <c r="J105" s="30">
        <v>89</v>
      </c>
      <c r="K105" s="31">
        <f t="shared" si="19"/>
        <v>47781</v>
      </c>
      <c r="L105" s="27">
        <f t="shared" si="14"/>
        <v>4607.2507429661937</v>
      </c>
      <c r="M105" s="27"/>
      <c r="N105" s="27">
        <f t="shared" si="15"/>
        <v>4125.1697069783831</v>
      </c>
      <c r="O105" s="27">
        <f t="shared" si="16"/>
        <v>482.08103598781054</v>
      </c>
      <c r="P105" s="27">
        <f t="shared" si="17"/>
        <v>494538.28380141815</v>
      </c>
    </row>
    <row r="106" spans="2:16" x14ac:dyDescent="0.25">
      <c r="B106" s="30">
        <v>90</v>
      </c>
      <c r="C106" s="31">
        <f t="shared" si="18"/>
        <v>47930</v>
      </c>
      <c r="D106" s="27">
        <f t="shared" si="10"/>
        <v>7514.9128616125881</v>
      </c>
      <c r="E106" s="27"/>
      <c r="F106" s="27">
        <f t="shared" si="11"/>
        <v>5842.2958560632578</v>
      </c>
      <c r="G106" s="27">
        <f t="shared" si="12"/>
        <v>1672.6170055493303</v>
      </c>
      <c r="H106" s="27">
        <f t="shared" si="13"/>
        <v>582556.9686007764</v>
      </c>
      <c r="J106" s="30">
        <v>90</v>
      </c>
      <c r="K106" s="31">
        <f t="shared" si="19"/>
        <v>47812</v>
      </c>
      <c r="L106" s="27">
        <f t="shared" si="14"/>
        <v>4607.2507429661937</v>
      </c>
      <c r="M106" s="27"/>
      <c r="N106" s="27">
        <f t="shared" si="15"/>
        <v>4121.1523650118179</v>
      </c>
      <c r="O106" s="27">
        <f t="shared" si="16"/>
        <v>486.09837795437579</v>
      </c>
      <c r="P106" s="27">
        <f t="shared" si="17"/>
        <v>494052.18542346376</v>
      </c>
    </row>
    <row r="107" spans="2:16" x14ac:dyDescent="0.25">
      <c r="B107" s="30">
        <v>91</v>
      </c>
      <c r="C107" s="31">
        <f t="shared" si="18"/>
        <v>47961</v>
      </c>
      <c r="D107" s="27">
        <f t="shared" si="10"/>
        <v>7514.9128616125881</v>
      </c>
      <c r="E107" s="27"/>
      <c r="F107" s="27">
        <f t="shared" si="11"/>
        <v>5825.5696860077642</v>
      </c>
      <c r="G107" s="27">
        <f t="shared" si="12"/>
        <v>1689.343175604824</v>
      </c>
      <c r="H107" s="27">
        <f t="shared" si="13"/>
        <v>580867.62542517157</v>
      </c>
      <c r="J107" s="30">
        <v>91</v>
      </c>
      <c r="K107" s="31">
        <f t="shared" si="19"/>
        <v>47842</v>
      </c>
      <c r="L107" s="27">
        <f t="shared" si="14"/>
        <v>4607.2507429661937</v>
      </c>
      <c r="M107" s="27"/>
      <c r="N107" s="27">
        <f t="shared" si="15"/>
        <v>4117.1015451955309</v>
      </c>
      <c r="O107" s="27">
        <f t="shared" si="16"/>
        <v>490.14919777066279</v>
      </c>
      <c r="P107" s="27">
        <f t="shared" si="17"/>
        <v>493562.03622569307</v>
      </c>
    </row>
    <row r="108" spans="2:16" x14ac:dyDescent="0.25">
      <c r="B108" s="30">
        <v>92</v>
      </c>
      <c r="C108" s="31">
        <f t="shared" si="18"/>
        <v>47991</v>
      </c>
      <c r="D108" s="27">
        <f t="shared" si="10"/>
        <v>7514.9128616125881</v>
      </c>
      <c r="E108" s="27"/>
      <c r="F108" s="27">
        <f t="shared" si="11"/>
        <v>5808.6762542517163</v>
      </c>
      <c r="G108" s="27">
        <f t="shared" si="12"/>
        <v>1706.2366073608719</v>
      </c>
      <c r="H108" s="27">
        <f t="shared" si="13"/>
        <v>579161.38881781069</v>
      </c>
      <c r="J108" s="30">
        <v>92</v>
      </c>
      <c r="K108" s="31">
        <f t="shared" si="19"/>
        <v>47873</v>
      </c>
      <c r="L108" s="27">
        <f t="shared" si="14"/>
        <v>4607.2507429661937</v>
      </c>
      <c r="M108" s="27"/>
      <c r="N108" s="27">
        <f t="shared" si="15"/>
        <v>4113.016968547442</v>
      </c>
      <c r="O108" s="27">
        <f t="shared" si="16"/>
        <v>494.23377441875164</v>
      </c>
      <c r="P108" s="27">
        <f t="shared" si="17"/>
        <v>493067.8024512743</v>
      </c>
    </row>
    <row r="109" spans="2:16" x14ac:dyDescent="0.25">
      <c r="B109" s="30">
        <v>93</v>
      </c>
      <c r="C109" s="31">
        <f t="shared" si="18"/>
        <v>48022</v>
      </c>
      <c r="D109" s="27">
        <f t="shared" si="10"/>
        <v>7514.9128616125881</v>
      </c>
      <c r="E109" s="27"/>
      <c r="F109" s="27">
        <f t="shared" si="11"/>
        <v>5791.6138881781071</v>
      </c>
      <c r="G109" s="27">
        <f t="shared" si="12"/>
        <v>1723.298973434481</v>
      </c>
      <c r="H109" s="27">
        <f t="shared" si="13"/>
        <v>577438.0898443762</v>
      </c>
      <c r="J109" s="30">
        <v>93</v>
      </c>
      <c r="K109" s="31">
        <f t="shared" si="19"/>
        <v>47904</v>
      </c>
      <c r="L109" s="27">
        <f t="shared" si="14"/>
        <v>4607.2507429661937</v>
      </c>
      <c r="M109" s="27"/>
      <c r="N109" s="27">
        <f t="shared" si="15"/>
        <v>4108.8983537606191</v>
      </c>
      <c r="O109" s="27">
        <f t="shared" si="16"/>
        <v>498.35238920557458</v>
      </c>
      <c r="P109" s="27">
        <f t="shared" si="17"/>
        <v>492569.4500620687</v>
      </c>
    </row>
    <row r="110" spans="2:16" x14ac:dyDescent="0.25">
      <c r="B110" s="30">
        <v>94</v>
      </c>
      <c r="C110" s="31">
        <f t="shared" si="18"/>
        <v>48052</v>
      </c>
      <c r="D110" s="27">
        <f t="shared" si="10"/>
        <v>7514.9128616125881</v>
      </c>
      <c r="E110" s="27"/>
      <c r="F110" s="27">
        <f t="shared" si="11"/>
        <v>5774.3808984437619</v>
      </c>
      <c r="G110" s="27">
        <f t="shared" si="12"/>
        <v>1740.5319631688262</v>
      </c>
      <c r="H110" s="27">
        <f t="shared" si="13"/>
        <v>575697.55788120732</v>
      </c>
      <c r="J110" s="30">
        <v>94</v>
      </c>
      <c r="K110" s="31">
        <f t="shared" si="19"/>
        <v>47932</v>
      </c>
      <c r="L110" s="27">
        <f t="shared" si="14"/>
        <v>4607.2507429661937</v>
      </c>
      <c r="M110" s="27"/>
      <c r="N110" s="27">
        <f t="shared" si="15"/>
        <v>4104.7454171839054</v>
      </c>
      <c r="O110" s="27">
        <f t="shared" si="16"/>
        <v>502.50532578228831</v>
      </c>
      <c r="P110" s="27">
        <f t="shared" si="17"/>
        <v>492066.94473628642</v>
      </c>
    </row>
    <row r="111" spans="2:16" x14ac:dyDescent="0.25">
      <c r="B111" s="30">
        <v>95</v>
      </c>
      <c r="C111" s="31">
        <f t="shared" si="18"/>
        <v>48083</v>
      </c>
      <c r="D111" s="27">
        <f t="shared" si="10"/>
        <v>7514.9128616125881</v>
      </c>
      <c r="E111" s="27"/>
      <c r="F111" s="27">
        <f t="shared" si="11"/>
        <v>5756.9755788120738</v>
      </c>
      <c r="G111" s="27">
        <f t="shared" si="12"/>
        <v>1757.9372828005144</v>
      </c>
      <c r="H111" s="27">
        <f t="shared" si="13"/>
        <v>573939.62059840676</v>
      </c>
      <c r="J111" s="30">
        <v>95</v>
      </c>
      <c r="K111" s="31">
        <f t="shared" si="19"/>
        <v>47963</v>
      </c>
      <c r="L111" s="27">
        <f t="shared" si="14"/>
        <v>4607.2507429661937</v>
      </c>
      <c r="M111" s="27"/>
      <c r="N111" s="27">
        <f t="shared" si="15"/>
        <v>4100.5578728023866</v>
      </c>
      <c r="O111" s="27">
        <f t="shared" si="16"/>
        <v>506.69287016380713</v>
      </c>
      <c r="P111" s="27">
        <f t="shared" si="17"/>
        <v>491560.25186612259</v>
      </c>
    </row>
    <row r="112" spans="2:16" x14ac:dyDescent="0.25">
      <c r="B112" s="30">
        <v>96</v>
      </c>
      <c r="C112" s="31">
        <f t="shared" si="18"/>
        <v>48114</v>
      </c>
      <c r="D112" s="27">
        <f t="shared" si="10"/>
        <v>7514.9128616125881</v>
      </c>
      <c r="E112" s="27"/>
      <c r="F112" s="27">
        <f t="shared" si="11"/>
        <v>5739.3962059840678</v>
      </c>
      <c r="G112" s="27">
        <f t="shared" si="12"/>
        <v>1775.5166556285203</v>
      </c>
      <c r="H112" s="27">
        <f t="shared" si="13"/>
        <v>572164.10394277819</v>
      </c>
      <c r="J112" s="30">
        <v>96</v>
      </c>
      <c r="K112" s="31">
        <f t="shared" si="19"/>
        <v>47993</v>
      </c>
      <c r="L112" s="27">
        <f t="shared" si="14"/>
        <v>4607.2507429661937</v>
      </c>
      <c r="M112" s="27"/>
      <c r="N112" s="27">
        <f t="shared" si="15"/>
        <v>4096.3354322176883</v>
      </c>
      <c r="O112" s="27">
        <f t="shared" si="16"/>
        <v>510.91531074850536</v>
      </c>
      <c r="P112" s="27">
        <f t="shared" si="17"/>
        <v>491049.33655537409</v>
      </c>
    </row>
    <row r="113" spans="2:16" x14ac:dyDescent="0.25">
      <c r="B113" s="30">
        <v>97</v>
      </c>
      <c r="C113" s="31">
        <f t="shared" si="18"/>
        <v>48144</v>
      </c>
      <c r="D113" s="27">
        <f t="shared" si="10"/>
        <v>7514.9128616125881</v>
      </c>
      <c r="E113" s="27"/>
      <c r="F113" s="27">
        <f t="shared" si="11"/>
        <v>5721.6410394277818</v>
      </c>
      <c r="G113" s="27">
        <f t="shared" si="12"/>
        <v>1793.2718221848063</v>
      </c>
      <c r="H113" s="27">
        <f t="shared" si="13"/>
        <v>570370.8321205934</v>
      </c>
      <c r="J113" s="30">
        <v>97</v>
      </c>
      <c r="K113" s="31">
        <f t="shared" si="19"/>
        <v>48024</v>
      </c>
      <c r="L113" s="27">
        <f t="shared" si="14"/>
        <v>4607.2507429661937</v>
      </c>
      <c r="M113" s="27"/>
      <c r="N113" s="27">
        <f t="shared" si="15"/>
        <v>4092.0778046281175</v>
      </c>
      <c r="O113" s="27">
        <f t="shared" si="16"/>
        <v>515.17293833807616</v>
      </c>
      <c r="P113" s="27">
        <f t="shared" si="17"/>
        <v>490534.16361703601</v>
      </c>
    </row>
    <row r="114" spans="2:16" x14ac:dyDescent="0.25">
      <c r="B114" s="30">
        <v>98</v>
      </c>
      <c r="C114" s="31">
        <f t="shared" si="18"/>
        <v>48175</v>
      </c>
      <c r="D114" s="27">
        <f t="shared" si="10"/>
        <v>7514.9128616125881</v>
      </c>
      <c r="E114" s="27"/>
      <c r="F114" s="27">
        <f t="shared" si="11"/>
        <v>5703.7083212059342</v>
      </c>
      <c r="G114" s="27">
        <f t="shared" si="12"/>
        <v>1811.2045404066539</v>
      </c>
      <c r="H114" s="27">
        <f t="shared" si="13"/>
        <v>568559.6275801867</v>
      </c>
      <c r="J114" s="30">
        <v>98</v>
      </c>
      <c r="K114" s="31">
        <f t="shared" si="19"/>
        <v>48054</v>
      </c>
      <c r="L114" s="27">
        <f t="shared" si="14"/>
        <v>4607.2507429661937</v>
      </c>
      <c r="M114" s="27"/>
      <c r="N114" s="27">
        <f t="shared" si="15"/>
        <v>4087.7846968086333</v>
      </c>
      <c r="O114" s="27">
        <f t="shared" si="16"/>
        <v>519.46604615756041</v>
      </c>
      <c r="P114" s="27">
        <f t="shared" si="17"/>
        <v>490014.69757087843</v>
      </c>
    </row>
    <row r="115" spans="2:16" x14ac:dyDescent="0.25">
      <c r="B115" s="30">
        <v>99</v>
      </c>
      <c r="C115" s="31">
        <f t="shared" si="18"/>
        <v>48205</v>
      </c>
      <c r="D115" s="27">
        <f t="shared" si="10"/>
        <v>7514.9128616125881</v>
      </c>
      <c r="E115" s="27"/>
      <c r="F115" s="27">
        <f t="shared" si="11"/>
        <v>5685.5962758018668</v>
      </c>
      <c r="G115" s="27">
        <f t="shared" si="12"/>
        <v>1829.3165858107213</v>
      </c>
      <c r="H115" s="27">
        <f t="shared" si="13"/>
        <v>566730.31099437596</v>
      </c>
      <c r="J115" s="30">
        <v>99</v>
      </c>
      <c r="K115" s="31">
        <f t="shared" si="19"/>
        <v>48085</v>
      </c>
      <c r="L115" s="27">
        <f t="shared" si="14"/>
        <v>4607.2507429661937</v>
      </c>
      <c r="M115" s="27"/>
      <c r="N115" s="27">
        <f t="shared" si="15"/>
        <v>4083.4558130906535</v>
      </c>
      <c r="O115" s="27">
        <f t="shared" si="16"/>
        <v>523.79492987554022</v>
      </c>
      <c r="P115" s="27">
        <f t="shared" si="17"/>
        <v>489490.9026410029</v>
      </c>
    </row>
    <row r="116" spans="2:16" x14ac:dyDescent="0.25">
      <c r="B116" s="30">
        <v>100</v>
      </c>
      <c r="C116" s="31">
        <f t="shared" si="18"/>
        <v>48236</v>
      </c>
      <c r="D116" s="27">
        <f t="shared" si="10"/>
        <v>7514.9128616125881</v>
      </c>
      <c r="E116" s="27"/>
      <c r="F116" s="27">
        <f t="shared" si="11"/>
        <v>5667.3031099437594</v>
      </c>
      <c r="G116" s="27">
        <f t="shared" si="12"/>
        <v>1847.6097516688287</v>
      </c>
      <c r="H116" s="27">
        <f t="shared" si="13"/>
        <v>564882.70124270709</v>
      </c>
      <c r="J116" s="30">
        <v>100</v>
      </c>
      <c r="K116" s="31">
        <f t="shared" si="19"/>
        <v>48116</v>
      </c>
      <c r="L116" s="27">
        <f t="shared" si="14"/>
        <v>4607.2507429661937</v>
      </c>
      <c r="M116" s="27"/>
      <c r="N116" s="27">
        <f t="shared" si="15"/>
        <v>4079.0908553416907</v>
      </c>
      <c r="O116" s="27">
        <f t="shared" si="16"/>
        <v>528.15988762450297</v>
      </c>
      <c r="P116" s="27">
        <f t="shared" si="17"/>
        <v>488962.74275337841</v>
      </c>
    </row>
    <row r="117" spans="2:16" x14ac:dyDescent="0.25">
      <c r="B117" s="30">
        <v>101</v>
      </c>
      <c r="C117" s="31">
        <f t="shared" si="18"/>
        <v>48267</v>
      </c>
      <c r="D117" s="27">
        <f t="shared" si="10"/>
        <v>7514.9128616125881</v>
      </c>
      <c r="E117" s="27"/>
      <c r="F117" s="27">
        <f t="shared" si="11"/>
        <v>5648.8270124270712</v>
      </c>
      <c r="G117" s="27">
        <f t="shared" si="12"/>
        <v>1866.085849185517</v>
      </c>
      <c r="H117" s="27">
        <f t="shared" si="13"/>
        <v>563016.61539352161</v>
      </c>
      <c r="J117" s="30">
        <v>101</v>
      </c>
      <c r="K117" s="31">
        <f t="shared" si="19"/>
        <v>48146</v>
      </c>
      <c r="L117" s="27">
        <f t="shared" si="14"/>
        <v>4607.2507429661937</v>
      </c>
      <c r="M117" s="27"/>
      <c r="N117" s="27">
        <f t="shared" si="15"/>
        <v>4074.6895229448201</v>
      </c>
      <c r="O117" s="27">
        <f t="shared" si="16"/>
        <v>532.56122002137363</v>
      </c>
      <c r="P117" s="27">
        <f t="shared" si="17"/>
        <v>488430.18153335701</v>
      </c>
    </row>
    <row r="118" spans="2:16" x14ac:dyDescent="0.25">
      <c r="B118" s="30">
        <v>102</v>
      </c>
      <c r="C118" s="31">
        <f t="shared" si="18"/>
        <v>48296</v>
      </c>
      <c r="D118" s="27">
        <f t="shared" si="10"/>
        <v>7514.9128616125881</v>
      </c>
      <c r="E118" s="27"/>
      <c r="F118" s="27">
        <f t="shared" si="11"/>
        <v>5630.1661539352162</v>
      </c>
      <c r="G118" s="27">
        <f t="shared" si="12"/>
        <v>1884.7467076773719</v>
      </c>
      <c r="H118" s="27">
        <f t="shared" si="13"/>
        <v>561131.86868584424</v>
      </c>
      <c r="J118" s="30">
        <v>102</v>
      </c>
      <c r="K118" s="31">
        <f t="shared" si="19"/>
        <v>48177</v>
      </c>
      <c r="L118" s="27">
        <f t="shared" si="14"/>
        <v>4607.2507429661937</v>
      </c>
      <c r="M118" s="27"/>
      <c r="N118" s="27">
        <f t="shared" si="15"/>
        <v>4070.2515127779752</v>
      </c>
      <c r="O118" s="27">
        <f t="shared" si="16"/>
        <v>536.99923018821846</v>
      </c>
      <c r="P118" s="27">
        <f t="shared" si="17"/>
        <v>487893.18230316881</v>
      </c>
    </row>
    <row r="119" spans="2:16" x14ac:dyDescent="0.25">
      <c r="B119" s="30">
        <v>103</v>
      </c>
      <c r="C119" s="31">
        <f t="shared" si="18"/>
        <v>48327</v>
      </c>
      <c r="D119" s="27">
        <f t="shared" si="10"/>
        <v>7514.9128616125881</v>
      </c>
      <c r="E119" s="27"/>
      <c r="F119" s="27">
        <f t="shared" si="11"/>
        <v>5611.3186868584426</v>
      </c>
      <c r="G119" s="27">
        <f t="shared" si="12"/>
        <v>1903.5941747541456</v>
      </c>
      <c r="H119" s="27">
        <f t="shared" si="13"/>
        <v>559228.27451109013</v>
      </c>
      <c r="J119" s="30">
        <v>103</v>
      </c>
      <c r="K119" s="31">
        <f t="shared" si="19"/>
        <v>48207</v>
      </c>
      <c r="L119" s="27">
        <f t="shared" si="14"/>
        <v>4607.2507429661937</v>
      </c>
      <c r="M119" s="27"/>
      <c r="N119" s="27">
        <f t="shared" si="15"/>
        <v>4065.7765191930735</v>
      </c>
      <c r="O119" s="27">
        <f t="shared" si="16"/>
        <v>541.47422377312023</v>
      </c>
      <c r="P119" s="27">
        <f t="shared" si="17"/>
        <v>487351.7080793957</v>
      </c>
    </row>
    <row r="120" spans="2:16" x14ac:dyDescent="0.25">
      <c r="B120" s="30">
        <v>104</v>
      </c>
      <c r="C120" s="31">
        <f t="shared" si="18"/>
        <v>48357</v>
      </c>
      <c r="D120" s="27">
        <f t="shared" si="10"/>
        <v>7514.9128616125881</v>
      </c>
      <c r="E120" s="27"/>
      <c r="F120" s="27">
        <f t="shared" si="11"/>
        <v>5592.2827451109015</v>
      </c>
      <c r="G120" s="27">
        <f t="shared" si="12"/>
        <v>1922.6301165016866</v>
      </c>
      <c r="H120" s="27">
        <f t="shared" si="13"/>
        <v>557305.64439458842</v>
      </c>
      <c r="J120" s="30">
        <v>104</v>
      </c>
      <c r="K120" s="31">
        <f t="shared" si="19"/>
        <v>48238</v>
      </c>
      <c r="L120" s="27">
        <f t="shared" si="14"/>
        <v>4607.2507429661937</v>
      </c>
      <c r="M120" s="27"/>
      <c r="N120" s="27">
        <f t="shared" si="15"/>
        <v>4061.2642339949639</v>
      </c>
      <c r="O120" s="27">
        <f t="shared" si="16"/>
        <v>545.9865089712298</v>
      </c>
      <c r="P120" s="27">
        <f t="shared" si="17"/>
        <v>486805.72157042444</v>
      </c>
    </row>
    <row r="121" spans="2:16" x14ac:dyDescent="0.25">
      <c r="B121" s="30">
        <v>105</v>
      </c>
      <c r="C121" s="31">
        <f t="shared" si="18"/>
        <v>48388</v>
      </c>
      <c r="D121" s="27">
        <f t="shared" si="10"/>
        <v>7514.9128616125881</v>
      </c>
      <c r="E121" s="27"/>
      <c r="F121" s="27">
        <f t="shared" si="11"/>
        <v>5573.056443945884</v>
      </c>
      <c r="G121" s="27">
        <f t="shared" si="12"/>
        <v>1941.8564176667041</v>
      </c>
      <c r="H121" s="27">
        <f t="shared" si="13"/>
        <v>555363.78797692177</v>
      </c>
      <c r="J121" s="30">
        <v>105</v>
      </c>
      <c r="K121" s="31">
        <f t="shared" si="19"/>
        <v>48269</v>
      </c>
      <c r="L121" s="27">
        <f t="shared" si="14"/>
        <v>4607.2507429661937</v>
      </c>
      <c r="M121" s="27"/>
      <c r="N121" s="27">
        <f t="shared" si="15"/>
        <v>4056.7143464202036</v>
      </c>
      <c r="O121" s="27">
        <f t="shared" si="16"/>
        <v>550.5363965459901</v>
      </c>
      <c r="P121" s="27">
        <f t="shared" si="17"/>
        <v>486255.18517387845</v>
      </c>
    </row>
    <row r="122" spans="2:16" x14ac:dyDescent="0.25">
      <c r="B122" s="30">
        <v>106</v>
      </c>
      <c r="C122" s="31">
        <f t="shared" si="18"/>
        <v>48418</v>
      </c>
      <c r="D122" s="27">
        <f t="shared" si="10"/>
        <v>7514.9128616125881</v>
      </c>
      <c r="E122" s="27"/>
      <c r="F122" s="27">
        <f t="shared" si="11"/>
        <v>5553.6378797692178</v>
      </c>
      <c r="G122" s="27">
        <f t="shared" si="12"/>
        <v>1961.2749818433704</v>
      </c>
      <c r="H122" s="27">
        <f t="shared" si="13"/>
        <v>553402.51299507834</v>
      </c>
      <c r="J122" s="30">
        <v>106</v>
      </c>
      <c r="K122" s="31">
        <f t="shared" si="19"/>
        <v>48298</v>
      </c>
      <c r="L122" s="27">
        <f t="shared" si="14"/>
        <v>4607.2507429661937</v>
      </c>
      <c r="M122" s="27"/>
      <c r="N122" s="27">
        <f t="shared" si="15"/>
        <v>4052.1265431156535</v>
      </c>
      <c r="O122" s="27">
        <f t="shared" si="16"/>
        <v>555.12419985054021</v>
      </c>
      <c r="P122" s="27">
        <f t="shared" si="17"/>
        <v>485700.0609740279</v>
      </c>
    </row>
    <row r="123" spans="2:16" x14ac:dyDescent="0.25">
      <c r="B123" s="30">
        <v>107</v>
      </c>
      <c r="C123" s="31">
        <f t="shared" si="18"/>
        <v>48449</v>
      </c>
      <c r="D123" s="27">
        <f t="shared" si="10"/>
        <v>7514.9128616125881</v>
      </c>
      <c r="E123" s="27"/>
      <c r="F123" s="27">
        <f t="shared" si="11"/>
        <v>5534.0251299507836</v>
      </c>
      <c r="G123" s="27">
        <f t="shared" si="12"/>
        <v>1980.8877316618045</v>
      </c>
      <c r="H123" s="27">
        <f t="shared" si="13"/>
        <v>551421.62526341656</v>
      </c>
      <c r="J123" s="30">
        <v>107</v>
      </c>
      <c r="K123" s="31">
        <f t="shared" si="19"/>
        <v>48329</v>
      </c>
      <c r="L123" s="27">
        <f t="shared" si="14"/>
        <v>4607.2507429661937</v>
      </c>
      <c r="M123" s="27"/>
      <c r="N123" s="27">
        <f t="shared" si="15"/>
        <v>4047.5005081168993</v>
      </c>
      <c r="O123" s="27">
        <f t="shared" si="16"/>
        <v>559.75023484929443</v>
      </c>
      <c r="P123" s="27">
        <f t="shared" si="17"/>
        <v>485140.31073917862</v>
      </c>
    </row>
    <row r="124" spans="2:16" x14ac:dyDescent="0.25">
      <c r="B124" s="30">
        <v>108</v>
      </c>
      <c r="C124" s="31">
        <f t="shared" si="18"/>
        <v>48480</v>
      </c>
      <c r="D124" s="27">
        <f t="shared" si="10"/>
        <v>7514.9128616125881</v>
      </c>
      <c r="E124" s="27"/>
      <c r="F124" s="27">
        <f t="shared" si="11"/>
        <v>5514.2162526341654</v>
      </c>
      <c r="G124" s="27">
        <f t="shared" si="12"/>
        <v>2000.6966089784228</v>
      </c>
      <c r="H124" s="27">
        <f t="shared" si="13"/>
        <v>549420.92865443812</v>
      </c>
      <c r="J124" s="30">
        <v>108</v>
      </c>
      <c r="K124" s="31">
        <f t="shared" si="19"/>
        <v>48359</v>
      </c>
      <c r="L124" s="27">
        <f t="shared" si="14"/>
        <v>4607.2507429661937</v>
      </c>
      <c r="M124" s="27"/>
      <c r="N124" s="27">
        <f t="shared" si="15"/>
        <v>4042.8359228264885</v>
      </c>
      <c r="O124" s="27">
        <f t="shared" si="16"/>
        <v>564.41482013970517</v>
      </c>
      <c r="P124" s="27">
        <f t="shared" si="17"/>
        <v>484575.89591903891</v>
      </c>
    </row>
    <row r="125" spans="2:16" x14ac:dyDescent="0.25">
      <c r="B125" s="30">
        <v>109</v>
      </c>
      <c r="C125" s="31">
        <f t="shared" si="18"/>
        <v>48510</v>
      </c>
      <c r="D125" s="27">
        <f t="shared" si="10"/>
        <v>7514.9128616125881</v>
      </c>
      <c r="E125" s="27"/>
      <c r="F125" s="27">
        <f t="shared" si="11"/>
        <v>5494.209286544381</v>
      </c>
      <c r="G125" s="27">
        <f t="shared" si="12"/>
        <v>2020.7035750682071</v>
      </c>
      <c r="H125" s="27">
        <f t="shared" si="13"/>
        <v>547400.22507936996</v>
      </c>
      <c r="J125" s="30">
        <v>109</v>
      </c>
      <c r="K125" s="31">
        <f t="shared" si="19"/>
        <v>48390</v>
      </c>
      <c r="L125" s="27">
        <f t="shared" si="14"/>
        <v>4607.2507429661937</v>
      </c>
      <c r="M125" s="27"/>
      <c r="N125" s="27">
        <f t="shared" si="15"/>
        <v>4038.132465991991</v>
      </c>
      <c r="O125" s="27">
        <f t="shared" si="16"/>
        <v>569.11827697420267</v>
      </c>
      <c r="P125" s="27">
        <f t="shared" si="17"/>
        <v>484006.77764206473</v>
      </c>
    </row>
    <row r="126" spans="2:16" x14ac:dyDescent="0.25">
      <c r="B126" s="30">
        <v>110</v>
      </c>
      <c r="C126" s="31">
        <f t="shared" si="18"/>
        <v>48541</v>
      </c>
      <c r="D126" s="27">
        <f t="shared" si="10"/>
        <v>7514.9128616125881</v>
      </c>
      <c r="E126" s="27"/>
      <c r="F126" s="27">
        <f t="shared" si="11"/>
        <v>5474.0022507937001</v>
      </c>
      <c r="G126" s="27">
        <f t="shared" si="12"/>
        <v>2040.910610818888</v>
      </c>
      <c r="H126" s="27">
        <f t="shared" si="13"/>
        <v>545359.31446855108</v>
      </c>
      <c r="J126" s="30">
        <v>110</v>
      </c>
      <c r="K126" s="31">
        <f t="shared" si="19"/>
        <v>48420</v>
      </c>
      <c r="L126" s="27">
        <f t="shared" si="14"/>
        <v>4607.2507429661937</v>
      </c>
      <c r="M126" s="27"/>
      <c r="N126" s="27">
        <f t="shared" si="15"/>
        <v>4033.3898136838725</v>
      </c>
      <c r="O126" s="27">
        <f t="shared" si="16"/>
        <v>573.86092928232119</v>
      </c>
      <c r="P126" s="27">
        <f t="shared" si="17"/>
        <v>483432.9167127824</v>
      </c>
    </row>
    <row r="127" spans="2:16" x14ac:dyDescent="0.25">
      <c r="B127" s="30">
        <v>111</v>
      </c>
      <c r="C127" s="31">
        <f t="shared" si="18"/>
        <v>48571</v>
      </c>
      <c r="D127" s="27">
        <f t="shared" si="10"/>
        <v>7514.9128616125881</v>
      </c>
      <c r="E127" s="27"/>
      <c r="F127" s="27">
        <f t="shared" si="11"/>
        <v>5453.5931446855111</v>
      </c>
      <c r="G127" s="27">
        <f t="shared" si="12"/>
        <v>2061.319716927077</v>
      </c>
      <c r="H127" s="27">
        <f t="shared" si="13"/>
        <v>543297.99475162395</v>
      </c>
      <c r="J127" s="30">
        <v>111</v>
      </c>
      <c r="K127" s="31">
        <f t="shared" si="19"/>
        <v>48451</v>
      </c>
      <c r="L127" s="27">
        <f t="shared" si="14"/>
        <v>4607.2507429661937</v>
      </c>
      <c r="M127" s="27"/>
      <c r="N127" s="27">
        <f t="shared" si="15"/>
        <v>4028.6076392731866</v>
      </c>
      <c r="O127" s="27">
        <f t="shared" si="16"/>
        <v>578.64310369300711</v>
      </c>
      <c r="P127" s="27">
        <f t="shared" si="17"/>
        <v>482854.27360908937</v>
      </c>
    </row>
    <row r="128" spans="2:16" x14ac:dyDescent="0.25">
      <c r="B128" s="30">
        <v>112</v>
      </c>
      <c r="C128" s="31">
        <f t="shared" si="18"/>
        <v>48602</v>
      </c>
      <c r="D128" s="27">
        <f t="shared" si="10"/>
        <v>7514.9128616125881</v>
      </c>
      <c r="E128" s="27"/>
      <c r="F128" s="27">
        <f t="shared" si="11"/>
        <v>5432.9799475162399</v>
      </c>
      <c r="G128" s="27">
        <f t="shared" si="12"/>
        <v>2081.9329140963482</v>
      </c>
      <c r="H128" s="27">
        <f t="shared" si="13"/>
        <v>541216.06183752755</v>
      </c>
      <c r="J128" s="30">
        <v>112</v>
      </c>
      <c r="K128" s="31">
        <f t="shared" si="19"/>
        <v>48482</v>
      </c>
      <c r="L128" s="27">
        <f t="shared" si="14"/>
        <v>4607.2507429661937</v>
      </c>
      <c r="M128" s="27"/>
      <c r="N128" s="27">
        <f t="shared" si="15"/>
        <v>4023.785613409078</v>
      </c>
      <c r="O128" s="27">
        <f t="shared" si="16"/>
        <v>583.46512955711569</v>
      </c>
      <c r="P128" s="27">
        <f t="shared" si="17"/>
        <v>482270.80847953225</v>
      </c>
    </row>
    <row r="129" spans="2:16" x14ac:dyDescent="0.25">
      <c r="B129" s="30">
        <v>113</v>
      </c>
      <c r="C129" s="31">
        <f t="shared" si="18"/>
        <v>48633</v>
      </c>
      <c r="D129" s="27">
        <f t="shared" si="10"/>
        <v>7514.9128616125881</v>
      </c>
      <c r="E129" s="27"/>
      <c r="F129" s="27">
        <f t="shared" si="11"/>
        <v>5412.1606183752756</v>
      </c>
      <c r="G129" s="27">
        <f t="shared" si="12"/>
        <v>2102.7522432373125</v>
      </c>
      <c r="H129" s="27">
        <f t="shared" si="13"/>
        <v>539113.30959429021</v>
      </c>
      <c r="J129" s="30">
        <v>113</v>
      </c>
      <c r="K129" s="31">
        <f t="shared" si="19"/>
        <v>48512</v>
      </c>
      <c r="L129" s="27">
        <f t="shared" si="14"/>
        <v>4607.2507429661937</v>
      </c>
      <c r="M129" s="27"/>
      <c r="N129" s="27">
        <f t="shared" si="15"/>
        <v>4018.923403996102</v>
      </c>
      <c r="O129" s="27">
        <f t="shared" si="16"/>
        <v>588.32733897009166</v>
      </c>
      <c r="P129" s="27">
        <f t="shared" si="17"/>
        <v>481682.48114056216</v>
      </c>
    </row>
    <row r="130" spans="2:16" x14ac:dyDescent="0.25">
      <c r="B130" s="30">
        <v>114</v>
      </c>
      <c r="C130" s="31">
        <f t="shared" si="18"/>
        <v>48661</v>
      </c>
      <c r="D130" s="27">
        <f t="shared" si="10"/>
        <v>7514.9128616125881</v>
      </c>
      <c r="E130" s="27"/>
      <c r="F130" s="27">
        <f t="shared" si="11"/>
        <v>5391.1330959429024</v>
      </c>
      <c r="G130" s="27">
        <f t="shared" si="12"/>
        <v>2123.7797656696857</v>
      </c>
      <c r="H130" s="27">
        <f t="shared" si="13"/>
        <v>536989.52982862049</v>
      </c>
      <c r="J130" s="30">
        <v>114</v>
      </c>
      <c r="K130" s="31">
        <f t="shared" si="19"/>
        <v>48543</v>
      </c>
      <c r="L130" s="27">
        <f t="shared" si="14"/>
        <v>4607.2507429661937</v>
      </c>
      <c r="M130" s="27"/>
      <c r="N130" s="27">
        <f t="shared" si="15"/>
        <v>4014.0206761713512</v>
      </c>
      <c r="O130" s="27">
        <f t="shared" si="16"/>
        <v>593.23006679484251</v>
      </c>
      <c r="P130" s="27">
        <f t="shared" si="17"/>
        <v>481089.25107376731</v>
      </c>
    </row>
    <row r="131" spans="2:16" x14ac:dyDescent="0.25">
      <c r="B131" s="30">
        <v>115</v>
      </c>
      <c r="C131" s="31">
        <f t="shared" si="18"/>
        <v>48692</v>
      </c>
      <c r="D131" s="27">
        <f t="shared" si="10"/>
        <v>7514.9128616125881</v>
      </c>
      <c r="E131" s="27"/>
      <c r="F131" s="27">
        <f t="shared" si="11"/>
        <v>5369.8952982862047</v>
      </c>
      <c r="G131" s="27">
        <f t="shared" si="12"/>
        <v>2145.0175633263834</v>
      </c>
      <c r="H131" s="27">
        <f t="shared" si="13"/>
        <v>534844.51226529409</v>
      </c>
      <c r="J131" s="30">
        <v>115</v>
      </c>
      <c r="K131" s="31">
        <f t="shared" si="19"/>
        <v>48573</v>
      </c>
      <c r="L131" s="27">
        <f t="shared" si="14"/>
        <v>4607.2507429661937</v>
      </c>
      <c r="M131" s="27"/>
      <c r="N131" s="27">
        <f t="shared" si="15"/>
        <v>4009.077092281394</v>
      </c>
      <c r="O131" s="27">
        <f t="shared" si="16"/>
        <v>598.17365068479967</v>
      </c>
      <c r="P131" s="27">
        <f t="shared" si="17"/>
        <v>480491.07742308249</v>
      </c>
    </row>
    <row r="132" spans="2:16" x14ac:dyDescent="0.25">
      <c r="B132" s="30">
        <v>116</v>
      </c>
      <c r="C132" s="31">
        <f t="shared" si="18"/>
        <v>48722</v>
      </c>
      <c r="D132" s="27">
        <f t="shared" si="10"/>
        <v>7514.9128616125881</v>
      </c>
      <c r="E132" s="27"/>
      <c r="F132" s="27">
        <f t="shared" si="11"/>
        <v>5348.4451226529409</v>
      </c>
      <c r="G132" s="27">
        <f t="shared" si="12"/>
        <v>2166.4677389596472</v>
      </c>
      <c r="H132" s="27">
        <f t="shared" si="13"/>
        <v>532678.04452633439</v>
      </c>
      <c r="J132" s="30">
        <v>116</v>
      </c>
      <c r="K132" s="31">
        <f t="shared" si="19"/>
        <v>48604</v>
      </c>
      <c r="L132" s="27">
        <f t="shared" si="14"/>
        <v>4607.2507429661937</v>
      </c>
      <c r="M132" s="27"/>
      <c r="N132" s="27">
        <f t="shared" si="15"/>
        <v>4004.0923118590208</v>
      </c>
      <c r="O132" s="27">
        <f t="shared" si="16"/>
        <v>603.15843110717287</v>
      </c>
      <c r="P132" s="27">
        <f t="shared" si="17"/>
        <v>479887.91899197531</v>
      </c>
    </row>
    <row r="133" spans="2:16" x14ac:dyDescent="0.25">
      <c r="B133" s="30">
        <v>117</v>
      </c>
      <c r="C133" s="31">
        <f t="shared" si="18"/>
        <v>48753</v>
      </c>
      <c r="D133" s="27">
        <f t="shared" si="10"/>
        <v>7514.9128616125881</v>
      </c>
      <c r="E133" s="27"/>
      <c r="F133" s="27">
        <f t="shared" si="11"/>
        <v>5326.7804452633436</v>
      </c>
      <c r="G133" s="27">
        <f t="shared" si="12"/>
        <v>2188.1324163492445</v>
      </c>
      <c r="H133" s="27">
        <f t="shared" si="13"/>
        <v>530489.91210998513</v>
      </c>
      <c r="J133" s="30">
        <v>117</v>
      </c>
      <c r="K133" s="31">
        <f t="shared" si="19"/>
        <v>48635</v>
      </c>
      <c r="L133" s="27">
        <f t="shared" si="14"/>
        <v>4607.2507429661937</v>
      </c>
      <c r="M133" s="27"/>
      <c r="N133" s="27">
        <f t="shared" si="15"/>
        <v>3999.0659915997944</v>
      </c>
      <c r="O133" s="27">
        <f t="shared" si="16"/>
        <v>608.18475136639927</v>
      </c>
      <c r="P133" s="27">
        <f t="shared" si="17"/>
        <v>479279.73424060893</v>
      </c>
    </row>
    <row r="134" spans="2:16" x14ac:dyDescent="0.25">
      <c r="B134" s="30">
        <v>118</v>
      </c>
      <c r="C134" s="31">
        <f t="shared" si="18"/>
        <v>48783</v>
      </c>
      <c r="D134" s="27">
        <f t="shared" si="10"/>
        <v>7514.9128616125881</v>
      </c>
      <c r="E134" s="27"/>
      <c r="F134" s="27">
        <f t="shared" si="11"/>
        <v>5304.8991210998511</v>
      </c>
      <c r="G134" s="27">
        <f t="shared" si="12"/>
        <v>2210.0137405127371</v>
      </c>
      <c r="H134" s="27">
        <f t="shared" si="13"/>
        <v>528279.89836947236</v>
      </c>
      <c r="J134" s="30">
        <v>118</v>
      </c>
      <c r="K134" s="31">
        <f t="shared" si="19"/>
        <v>48663</v>
      </c>
      <c r="L134" s="27">
        <f t="shared" si="14"/>
        <v>4607.2507429661937</v>
      </c>
      <c r="M134" s="27"/>
      <c r="N134" s="27">
        <f t="shared" si="15"/>
        <v>3993.9977853384075</v>
      </c>
      <c r="O134" s="27">
        <f t="shared" si="16"/>
        <v>613.25295762778615</v>
      </c>
      <c r="P134" s="27">
        <f t="shared" si="17"/>
        <v>478666.48128298117</v>
      </c>
    </row>
    <row r="135" spans="2:16" x14ac:dyDescent="0.25">
      <c r="B135" s="30">
        <v>119</v>
      </c>
      <c r="C135" s="31">
        <f t="shared" si="18"/>
        <v>48814</v>
      </c>
      <c r="D135" s="27">
        <f t="shared" si="10"/>
        <v>7514.9128616125881</v>
      </c>
      <c r="E135" s="27"/>
      <c r="F135" s="27">
        <f t="shared" si="11"/>
        <v>5282.7989836947236</v>
      </c>
      <c r="G135" s="27">
        <f t="shared" si="12"/>
        <v>2232.1138779178646</v>
      </c>
      <c r="H135" s="27">
        <f t="shared" si="13"/>
        <v>526047.78449155448</v>
      </c>
      <c r="J135" s="30">
        <v>119</v>
      </c>
      <c r="K135" s="31">
        <f t="shared" si="19"/>
        <v>48694</v>
      </c>
      <c r="L135" s="27">
        <f t="shared" si="14"/>
        <v>4607.2507429661937</v>
      </c>
      <c r="M135" s="27"/>
      <c r="N135" s="27">
        <f t="shared" si="15"/>
        <v>3988.8873440248431</v>
      </c>
      <c r="O135" s="27">
        <f t="shared" si="16"/>
        <v>618.36339894135062</v>
      </c>
      <c r="P135" s="27">
        <f t="shared" si="17"/>
        <v>478048.11788403982</v>
      </c>
    </row>
    <row r="136" spans="2:16" x14ac:dyDescent="0.25">
      <c r="B136" s="30">
        <v>120</v>
      </c>
      <c r="C136" s="31">
        <f t="shared" si="18"/>
        <v>48845</v>
      </c>
      <c r="D136" s="27">
        <f t="shared" si="10"/>
        <v>7514.9128616125881</v>
      </c>
      <c r="E136" s="27"/>
      <c r="F136" s="27">
        <f t="shared" si="11"/>
        <v>5260.4778449155447</v>
      </c>
      <c r="G136" s="27">
        <f t="shared" si="12"/>
        <v>2254.4350166970435</v>
      </c>
      <c r="H136" s="27">
        <f t="shared" si="13"/>
        <v>523793.34947485744</v>
      </c>
      <c r="J136" s="30">
        <v>120</v>
      </c>
      <c r="K136" s="31">
        <f t="shared" si="19"/>
        <v>48724</v>
      </c>
      <c r="L136" s="27">
        <f t="shared" si="14"/>
        <v>4607.2507429661937</v>
      </c>
      <c r="M136" s="27"/>
      <c r="N136" s="27">
        <f t="shared" si="15"/>
        <v>3983.734315700332</v>
      </c>
      <c r="O136" s="27">
        <f t="shared" si="16"/>
        <v>623.51642726586169</v>
      </c>
      <c r="P136" s="27">
        <f t="shared" si="17"/>
        <v>477424.60145677393</v>
      </c>
    </row>
    <row r="137" spans="2:16" x14ac:dyDescent="0.25">
      <c r="B137" s="30">
        <v>121</v>
      </c>
      <c r="C137" s="31">
        <f t="shared" si="18"/>
        <v>48875</v>
      </c>
      <c r="D137" s="27">
        <f t="shared" si="10"/>
        <v>7514.9128616125881</v>
      </c>
      <c r="E137" s="27"/>
      <c r="F137" s="27">
        <f t="shared" si="11"/>
        <v>5237.933494748575</v>
      </c>
      <c r="G137" s="27">
        <f t="shared" si="12"/>
        <v>2276.9793668640132</v>
      </c>
      <c r="H137" s="27">
        <f t="shared" si="13"/>
        <v>521516.37010799343</v>
      </c>
      <c r="J137" s="30">
        <v>121</v>
      </c>
      <c r="K137" s="31">
        <f t="shared" si="19"/>
        <v>48755</v>
      </c>
      <c r="L137" s="27">
        <f t="shared" si="14"/>
        <v>4607.2507429661937</v>
      </c>
      <c r="M137" s="27"/>
      <c r="N137" s="27">
        <f t="shared" si="15"/>
        <v>3978.5383454731159</v>
      </c>
      <c r="O137" s="27">
        <f t="shared" si="16"/>
        <v>628.71239749307779</v>
      </c>
      <c r="P137" s="27">
        <f t="shared" si="17"/>
        <v>476795.88905928086</v>
      </c>
    </row>
    <row r="138" spans="2:16" x14ac:dyDescent="0.25">
      <c r="B138" s="30">
        <v>122</v>
      </c>
      <c r="C138" s="31">
        <f t="shared" si="18"/>
        <v>48906</v>
      </c>
      <c r="D138" s="27">
        <f t="shared" si="10"/>
        <v>7514.9128616125881</v>
      </c>
      <c r="E138" s="27"/>
      <c r="F138" s="27">
        <f t="shared" si="11"/>
        <v>5215.1637010799341</v>
      </c>
      <c r="G138" s="27">
        <f t="shared" si="12"/>
        <v>2299.7491605326541</v>
      </c>
      <c r="H138" s="27">
        <f t="shared" si="13"/>
        <v>519216.62094746076</v>
      </c>
      <c r="J138" s="30">
        <v>122</v>
      </c>
      <c r="K138" s="31">
        <f t="shared" si="19"/>
        <v>48785</v>
      </c>
      <c r="L138" s="27">
        <f t="shared" si="14"/>
        <v>4607.2507429661937</v>
      </c>
      <c r="M138" s="27"/>
      <c r="N138" s="27">
        <f t="shared" si="15"/>
        <v>3973.299075494007</v>
      </c>
      <c r="O138" s="27">
        <f t="shared" si="16"/>
        <v>633.95166747218673</v>
      </c>
      <c r="P138" s="27">
        <f t="shared" si="17"/>
        <v>476161.93739180866</v>
      </c>
    </row>
    <row r="139" spans="2:16" x14ac:dyDescent="0.25">
      <c r="B139" s="30">
        <v>123</v>
      </c>
      <c r="C139" s="31">
        <f t="shared" si="18"/>
        <v>48936</v>
      </c>
      <c r="D139" s="27">
        <f t="shared" si="10"/>
        <v>7514.9128616125881</v>
      </c>
      <c r="E139" s="27"/>
      <c r="F139" s="27">
        <f t="shared" si="11"/>
        <v>5192.166209474608</v>
      </c>
      <c r="G139" s="27">
        <f t="shared" si="12"/>
        <v>2322.7466521379802</v>
      </c>
      <c r="H139" s="27">
        <f t="shared" si="13"/>
        <v>516893.87429532281</v>
      </c>
      <c r="J139" s="30">
        <v>123</v>
      </c>
      <c r="K139" s="31">
        <f t="shared" si="19"/>
        <v>48816</v>
      </c>
      <c r="L139" s="27">
        <f t="shared" si="14"/>
        <v>4607.2507429661937</v>
      </c>
      <c r="M139" s="27"/>
      <c r="N139" s="27">
        <f t="shared" si="15"/>
        <v>3968.0161449317388</v>
      </c>
      <c r="O139" s="27">
        <f t="shared" si="16"/>
        <v>639.23459803445485</v>
      </c>
      <c r="P139" s="27">
        <f t="shared" si="17"/>
        <v>475522.7027937742</v>
      </c>
    </row>
    <row r="140" spans="2:16" x14ac:dyDescent="0.25">
      <c r="B140" s="30">
        <v>124</v>
      </c>
      <c r="C140" s="31">
        <f t="shared" si="18"/>
        <v>48967</v>
      </c>
      <c r="D140" s="27">
        <f t="shared" si="10"/>
        <v>7514.9128616125881</v>
      </c>
      <c r="E140" s="27"/>
      <c r="F140" s="27">
        <f t="shared" si="11"/>
        <v>5168.938742953228</v>
      </c>
      <c r="G140" s="27">
        <f t="shared" si="12"/>
        <v>2345.9741186593601</v>
      </c>
      <c r="H140" s="27">
        <f t="shared" si="13"/>
        <v>514547.90017666342</v>
      </c>
      <c r="J140" s="30">
        <v>124</v>
      </c>
      <c r="K140" s="31">
        <f t="shared" si="19"/>
        <v>48847</v>
      </c>
      <c r="L140" s="27">
        <f t="shared" si="14"/>
        <v>4607.2507429661937</v>
      </c>
      <c r="M140" s="27"/>
      <c r="N140" s="27">
        <f t="shared" si="15"/>
        <v>3962.6891899481184</v>
      </c>
      <c r="O140" s="27">
        <f t="shared" si="16"/>
        <v>644.5615530180753</v>
      </c>
      <c r="P140" s="27">
        <f t="shared" si="17"/>
        <v>474878.14124075614</v>
      </c>
    </row>
    <row r="141" spans="2:16" x14ac:dyDescent="0.25">
      <c r="B141" s="30">
        <v>125</v>
      </c>
      <c r="C141" s="31">
        <f t="shared" si="18"/>
        <v>48998</v>
      </c>
      <c r="D141" s="27">
        <f t="shared" si="10"/>
        <v>7514.9128616125881</v>
      </c>
      <c r="E141" s="27"/>
      <c r="F141" s="27">
        <f t="shared" si="11"/>
        <v>5145.4790017666346</v>
      </c>
      <c r="G141" s="27">
        <f t="shared" si="12"/>
        <v>2369.4338598459535</v>
      </c>
      <c r="H141" s="27">
        <f t="shared" si="13"/>
        <v>512178.46631681744</v>
      </c>
      <c r="J141" s="30">
        <v>125</v>
      </c>
      <c r="K141" s="31">
        <f t="shared" si="19"/>
        <v>48877</v>
      </c>
      <c r="L141" s="27">
        <f t="shared" si="14"/>
        <v>4607.2507429661937</v>
      </c>
      <c r="M141" s="27"/>
      <c r="N141" s="27">
        <f t="shared" si="15"/>
        <v>3957.3178436729677</v>
      </c>
      <c r="O141" s="27">
        <f t="shared" si="16"/>
        <v>649.932899293226</v>
      </c>
      <c r="P141" s="27">
        <f t="shared" si="17"/>
        <v>474228.20834146295</v>
      </c>
    </row>
    <row r="142" spans="2:16" x14ac:dyDescent="0.25">
      <c r="B142" s="30">
        <v>126</v>
      </c>
      <c r="C142" s="31">
        <f t="shared" si="18"/>
        <v>49026</v>
      </c>
      <c r="D142" s="27">
        <f t="shared" si="10"/>
        <v>7514.9128616125881</v>
      </c>
      <c r="E142" s="27"/>
      <c r="F142" s="27">
        <f t="shared" si="11"/>
        <v>5121.7846631681741</v>
      </c>
      <c r="G142" s="27">
        <f t="shared" si="12"/>
        <v>2393.128198444414</v>
      </c>
      <c r="H142" s="27">
        <f t="shared" si="13"/>
        <v>509785.33811837301</v>
      </c>
      <c r="J142" s="30">
        <v>126</v>
      </c>
      <c r="K142" s="31">
        <f t="shared" si="19"/>
        <v>48908</v>
      </c>
      <c r="L142" s="27">
        <f t="shared" si="14"/>
        <v>4607.2507429661937</v>
      </c>
      <c r="M142" s="27"/>
      <c r="N142" s="27">
        <f t="shared" si="15"/>
        <v>3951.9017361788578</v>
      </c>
      <c r="O142" s="27">
        <f t="shared" si="16"/>
        <v>655.34900678733584</v>
      </c>
      <c r="P142" s="27">
        <f t="shared" si="17"/>
        <v>473572.8593346756</v>
      </c>
    </row>
    <row r="143" spans="2:16" x14ac:dyDescent="0.25">
      <c r="B143" s="30">
        <v>127</v>
      </c>
      <c r="C143" s="31">
        <f t="shared" si="18"/>
        <v>49057</v>
      </c>
      <c r="D143" s="27">
        <f t="shared" si="10"/>
        <v>7514.9128616125881</v>
      </c>
      <c r="E143" s="27"/>
      <c r="F143" s="27">
        <f t="shared" si="11"/>
        <v>5097.8533811837306</v>
      </c>
      <c r="G143" s="27">
        <f t="shared" si="12"/>
        <v>2417.0594804288576</v>
      </c>
      <c r="H143" s="27">
        <f t="shared" si="13"/>
        <v>507368.27863794414</v>
      </c>
      <c r="J143" s="30">
        <v>127</v>
      </c>
      <c r="K143" s="31">
        <f t="shared" si="19"/>
        <v>48938</v>
      </c>
      <c r="L143" s="27">
        <f t="shared" si="14"/>
        <v>4607.2507429661937</v>
      </c>
      <c r="M143" s="27"/>
      <c r="N143" s="27">
        <f t="shared" si="15"/>
        <v>3946.44049445563</v>
      </c>
      <c r="O143" s="27">
        <f t="shared" si="16"/>
        <v>660.81024851056372</v>
      </c>
      <c r="P143" s="27">
        <f t="shared" si="17"/>
        <v>472912.04908616503</v>
      </c>
    </row>
    <row r="144" spans="2:16" x14ac:dyDescent="0.25">
      <c r="B144" s="30">
        <v>128</v>
      </c>
      <c r="C144" s="31">
        <f t="shared" si="18"/>
        <v>49087</v>
      </c>
      <c r="D144" s="27">
        <f t="shared" si="10"/>
        <v>7514.9128616125881</v>
      </c>
      <c r="E144" s="27"/>
      <c r="F144" s="27">
        <f t="shared" si="11"/>
        <v>5073.6827863794415</v>
      </c>
      <c r="G144" s="27">
        <f t="shared" si="12"/>
        <v>2441.2300752331466</v>
      </c>
      <c r="H144" s="27">
        <f t="shared" si="13"/>
        <v>504927.04856271099</v>
      </c>
      <c r="J144" s="30">
        <v>128</v>
      </c>
      <c r="K144" s="31">
        <f t="shared" si="19"/>
        <v>48969</v>
      </c>
      <c r="L144" s="27">
        <f t="shared" si="14"/>
        <v>4607.2507429661937</v>
      </c>
      <c r="M144" s="27"/>
      <c r="N144" s="27">
        <f t="shared" si="15"/>
        <v>3940.9337423847087</v>
      </c>
      <c r="O144" s="27">
        <f t="shared" si="16"/>
        <v>666.31700058148499</v>
      </c>
      <c r="P144" s="27">
        <f t="shared" si="17"/>
        <v>472245.73208558356</v>
      </c>
    </row>
    <row r="145" spans="2:16" x14ac:dyDescent="0.25">
      <c r="B145" s="30">
        <v>129</v>
      </c>
      <c r="C145" s="31">
        <f t="shared" si="18"/>
        <v>49118</v>
      </c>
      <c r="D145" s="27">
        <f t="shared" si="10"/>
        <v>7514.9128616125881</v>
      </c>
      <c r="E145" s="27"/>
      <c r="F145" s="27">
        <f t="shared" si="11"/>
        <v>5049.2704856271102</v>
      </c>
      <c r="G145" s="27">
        <f t="shared" si="12"/>
        <v>2465.6423759854779</v>
      </c>
      <c r="H145" s="27">
        <f t="shared" si="13"/>
        <v>502461.40618672554</v>
      </c>
      <c r="J145" s="30">
        <v>129</v>
      </c>
      <c r="K145" s="31">
        <f t="shared" si="19"/>
        <v>49000</v>
      </c>
      <c r="L145" s="27">
        <f t="shared" si="14"/>
        <v>4607.2507429661937</v>
      </c>
      <c r="M145" s="27"/>
      <c r="N145" s="27">
        <f t="shared" si="15"/>
        <v>3935.3811007131962</v>
      </c>
      <c r="O145" s="27">
        <f t="shared" si="16"/>
        <v>671.86964225299744</v>
      </c>
      <c r="P145" s="27">
        <f t="shared" si="17"/>
        <v>471573.86244333058</v>
      </c>
    </row>
    <row r="146" spans="2:16" x14ac:dyDescent="0.25">
      <c r="B146" s="30">
        <v>130</v>
      </c>
      <c r="C146" s="31">
        <f t="shared" si="18"/>
        <v>49148</v>
      </c>
      <c r="D146" s="27">
        <f t="shared" ref="D146:D209" si="20">IF(H145+F146&lt;$D$13,H145+F146,$D$13)</f>
        <v>7514.9128616125881</v>
      </c>
      <c r="E146" s="27"/>
      <c r="F146" s="27">
        <f t="shared" ref="F146:F209" si="21">H145*$H$5</f>
        <v>5024.6140618672553</v>
      </c>
      <c r="G146" s="27">
        <f t="shared" ref="G146:G209" si="22">D146-F146+E146</f>
        <v>2490.2987997453329</v>
      </c>
      <c r="H146" s="27">
        <f t="shared" ref="H146:H209" si="23">H145-G146</f>
        <v>499971.10738698021</v>
      </c>
      <c r="J146" s="30">
        <v>130</v>
      </c>
      <c r="K146" s="31">
        <f t="shared" si="19"/>
        <v>49028</v>
      </c>
      <c r="L146" s="27">
        <f t="shared" ref="L146:L209" si="24">IF(P145+N146&lt;$L$13,P145+N146,$L$13)</f>
        <v>4607.2507429661937</v>
      </c>
      <c r="M146" s="27"/>
      <c r="N146" s="27">
        <f t="shared" ref="N146:N209" si="25">P145*$P$5</f>
        <v>3929.7821870277548</v>
      </c>
      <c r="O146" s="27">
        <f t="shared" ref="O146:O209" si="26">L146-N146+M146</f>
        <v>677.46855593843884</v>
      </c>
      <c r="P146" s="27">
        <f t="shared" ref="P146:P209" si="27">P145-O146</f>
        <v>470896.39388739213</v>
      </c>
    </row>
    <row r="147" spans="2:16" x14ac:dyDescent="0.25">
      <c r="B147" s="30">
        <v>131</v>
      </c>
      <c r="C147" s="31">
        <f t="shared" ref="C147:C210" si="28">IF(H146&lt;=0,"",EDATE(C146,IF($D$8="Monthly",1,12)))</f>
        <v>49179</v>
      </c>
      <c r="D147" s="27">
        <f t="shared" si="20"/>
        <v>7514.9128616125881</v>
      </c>
      <c r="E147" s="27"/>
      <c r="F147" s="27">
        <f t="shared" si="21"/>
        <v>4999.711073869802</v>
      </c>
      <c r="G147" s="27">
        <f t="shared" si="22"/>
        <v>2515.2017877427861</v>
      </c>
      <c r="H147" s="27">
        <f t="shared" si="23"/>
        <v>497455.90559923742</v>
      </c>
      <c r="J147" s="30">
        <v>131</v>
      </c>
      <c r="K147" s="31">
        <f t="shared" ref="K147:K210" si="29">IF(P146&lt;=0,"",EDATE(K146,IF($L$8="Monthly",1,12)))</f>
        <v>49059</v>
      </c>
      <c r="L147" s="27">
        <f t="shared" si="24"/>
        <v>4607.2507429661937</v>
      </c>
      <c r="M147" s="27"/>
      <c r="N147" s="27">
        <f t="shared" si="25"/>
        <v>3924.1366157282678</v>
      </c>
      <c r="O147" s="27">
        <f t="shared" si="26"/>
        <v>683.11412723792591</v>
      </c>
      <c r="P147" s="27">
        <f t="shared" si="27"/>
        <v>470213.2797601542</v>
      </c>
    </row>
    <row r="148" spans="2:16" x14ac:dyDescent="0.25">
      <c r="B148" s="30">
        <v>132</v>
      </c>
      <c r="C148" s="31">
        <f t="shared" si="28"/>
        <v>49210</v>
      </c>
      <c r="D148" s="27">
        <f t="shared" si="20"/>
        <v>7514.9128616125881</v>
      </c>
      <c r="E148" s="27"/>
      <c r="F148" s="27">
        <f t="shared" si="21"/>
        <v>4974.5590559923739</v>
      </c>
      <c r="G148" s="27">
        <f t="shared" si="22"/>
        <v>2540.3538056202142</v>
      </c>
      <c r="H148" s="27">
        <f t="shared" si="23"/>
        <v>494915.5517936172</v>
      </c>
      <c r="J148" s="30">
        <v>132</v>
      </c>
      <c r="K148" s="31">
        <f t="shared" si="29"/>
        <v>49089</v>
      </c>
      <c r="L148" s="27">
        <f t="shared" si="24"/>
        <v>4607.2507429661937</v>
      </c>
      <c r="M148" s="27"/>
      <c r="N148" s="27">
        <f t="shared" si="25"/>
        <v>3918.4439980012849</v>
      </c>
      <c r="O148" s="27">
        <f t="shared" si="26"/>
        <v>688.80674496490883</v>
      </c>
      <c r="P148" s="27">
        <f t="shared" si="27"/>
        <v>469524.47301518929</v>
      </c>
    </row>
    <row r="149" spans="2:16" x14ac:dyDescent="0.25">
      <c r="B149" s="30">
        <v>133</v>
      </c>
      <c r="C149" s="31">
        <f t="shared" si="28"/>
        <v>49240</v>
      </c>
      <c r="D149" s="27">
        <f t="shared" si="20"/>
        <v>7514.9128616125881</v>
      </c>
      <c r="E149" s="27"/>
      <c r="F149" s="27">
        <f t="shared" si="21"/>
        <v>4949.1555179361721</v>
      </c>
      <c r="G149" s="27">
        <f t="shared" si="22"/>
        <v>2565.757343676416</v>
      </c>
      <c r="H149" s="27">
        <f t="shared" si="23"/>
        <v>492349.79444994079</v>
      </c>
      <c r="J149" s="30">
        <v>133</v>
      </c>
      <c r="K149" s="31">
        <f t="shared" si="29"/>
        <v>49120</v>
      </c>
      <c r="L149" s="27">
        <f t="shared" si="24"/>
        <v>4607.2507429661937</v>
      </c>
      <c r="M149" s="27"/>
      <c r="N149" s="27">
        <f t="shared" si="25"/>
        <v>3912.7039417932442</v>
      </c>
      <c r="O149" s="27">
        <f t="shared" si="26"/>
        <v>694.54680117294947</v>
      </c>
      <c r="P149" s="27">
        <f t="shared" si="27"/>
        <v>468829.92621401633</v>
      </c>
    </row>
    <row r="150" spans="2:16" x14ac:dyDescent="0.25">
      <c r="B150" s="30">
        <v>134</v>
      </c>
      <c r="C150" s="31">
        <f t="shared" si="28"/>
        <v>49271</v>
      </c>
      <c r="D150" s="27">
        <f t="shared" si="20"/>
        <v>7514.9128616125881</v>
      </c>
      <c r="E150" s="27"/>
      <c r="F150" s="27">
        <f t="shared" si="21"/>
        <v>4923.4979444994078</v>
      </c>
      <c r="G150" s="27">
        <f t="shared" si="22"/>
        <v>2591.4149171131803</v>
      </c>
      <c r="H150" s="27">
        <f t="shared" si="23"/>
        <v>489758.37953282759</v>
      </c>
      <c r="J150" s="30">
        <v>134</v>
      </c>
      <c r="K150" s="31">
        <f t="shared" si="29"/>
        <v>49150</v>
      </c>
      <c r="L150" s="27">
        <f t="shared" si="24"/>
        <v>4607.2507429661937</v>
      </c>
      <c r="M150" s="27"/>
      <c r="N150" s="27">
        <f t="shared" si="25"/>
        <v>3906.9160517834694</v>
      </c>
      <c r="O150" s="27">
        <f t="shared" si="26"/>
        <v>700.33469118272433</v>
      </c>
      <c r="P150" s="27">
        <f t="shared" si="27"/>
        <v>468129.59152283362</v>
      </c>
    </row>
    <row r="151" spans="2:16" x14ac:dyDescent="0.25">
      <c r="B151" s="30">
        <v>135</v>
      </c>
      <c r="C151" s="31">
        <f t="shared" si="28"/>
        <v>49301</v>
      </c>
      <c r="D151" s="27">
        <f t="shared" si="20"/>
        <v>7514.9128616125881</v>
      </c>
      <c r="E151" s="27"/>
      <c r="F151" s="27">
        <f t="shared" si="21"/>
        <v>4897.5837953282762</v>
      </c>
      <c r="G151" s="27">
        <f t="shared" si="22"/>
        <v>2617.3290662843119</v>
      </c>
      <c r="H151" s="27">
        <f t="shared" si="23"/>
        <v>487141.0504665433</v>
      </c>
      <c r="J151" s="30">
        <v>135</v>
      </c>
      <c r="K151" s="31">
        <f t="shared" si="29"/>
        <v>49181</v>
      </c>
      <c r="L151" s="27">
        <f t="shared" si="24"/>
        <v>4607.2507429661937</v>
      </c>
      <c r="M151" s="27"/>
      <c r="N151" s="27">
        <f t="shared" si="25"/>
        <v>3901.0799293569466</v>
      </c>
      <c r="O151" s="27">
        <f t="shared" si="26"/>
        <v>706.17081360924703</v>
      </c>
      <c r="P151" s="27">
        <f t="shared" si="27"/>
        <v>467423.42070922436</v>
      </c>
    </row>
    <row r="152" spans="2:16" x14ac:dyDescent="0.25">
      <c r="B152" s="30">
        <v>136</v>
      </c>
      <c r="C152" s="31">
        <f t="shared" si="28"/>
        <v>49332</v>
      </c>
      <c r="D152" s="27">
        <f t="shared" si="20"/>
        <v>7514.9128616125881</v>
      </c>
      <c r="E152" s="27"/>
      <c r="F152" s="27">
        <f t="shared" si="21"/>
        <v>4871.4105046654331</v>
      </c>
      <c r="G152" s="27">
        <f t="shared" si="22"/>
        <v>2643.502356947155</v>
      </c>
      <c r="H152" s="27">
        <f t="shared" si="23"/>
        <v>484497.54810959613</v>
      </c>
      <c r="J152" s="30">
        <v>136</v>
      </c>
      <c r="K152" s="31">
        <f t="shared" si="29"/>
        <v>49212</v>
      </c>
      <c r="L152" s="27">
        <f t="shared" si="24"/>
        <v>4607.2507429661937</v>
      </c>
      <c r="M152" s="27"/>
      <c r="N152" s="27">
        <f t="shared" si="25"/>
        <v>3895.1951725768695</v>
      </c>
      <c r="O152" s="27">
        <f t="shared" si="26"/>
        <v>712.0555703893242</v>
      </c>
      <c r="P152" s="27">
        <f t="shared" si="27"/>
        <v>466711.36513883504</v>
      </c>
    </row>
    <row r="153" spans="2:16" x14ac:dyDescent="0.25">
      <c r="B153" s="30">
        <v>137</v>
      </c>
      <c r="C153" s="31">
        <f t="shared" si="28"/>
        <v>49363</v>
      </c>
      <c r="D153" s="27">
        <f t="shared" si="20"/>
        <v>7514.9128616125881</v>
      </c>
      <c r="E153" s="27"/>
      <c r="F153" s="27">
        <f t="shared" si="21"/>
        <v>4844.9754810959612</v>
      </c>
      <c r="G153" s="27">
        <f t="shared" si="22"/>
        <v>2669.9373805166269</v>
      </c>
      <c r="H153" s="27">
        <f t="shared" si="23"/>
        <v>481827.61072907952</v>
      </c>
      <c r="J153" s="30">
        <v>137</v>
      </c>
      <c r="K153" s="31">
        <f t="shared" si="29"/>
        <v>49242</v>
      </c>
      <c r="L153" s="27">
        <f t="shared" si="24"/>
        <v>4607.2507429661937</v>
      </c>
      <c r="M153" s="27"/>
      <c r="N153" s="27">
        <f t="shared" si="25"/>
        <v>3889.2613761569587</v>
      </c>
      <c r="O153" s="27">
        <f t="shared" si="26"/>
        <v>717.98936680923498</v>
      </c>
      <c r="P153" s="27">
        <f t="shared" si="27"/>
        <v>465993.37577202579</v>
      </c>
    </row>
    <row r="154" spans="2:16" x14ac:dyDescent="0.25">
      <c r="B154" s="30">
        <v>138</v>
      </c>
      <c r="C154" s="31">
        <f t="shared" si="28"/>
        <v>49391</v>
      </c>
      <c r="D154" s="27">
        <f t="shared" si="20"/>
        <v>7514.9128616125881</v>
      </c>
      <c r="E154" s="27"/>
      <c r="F154" s="27">
        <f t="shared" si="21"/>
        <v>4818.2761072907952</v>
      </c>
      <c r="G154" s="27">
        <f t="shared" si="22"/>
        <v>2696.636754321793</v>
      </c>
      <c r="H154" s="27">
        <f t="shared" si="23"/>
        <v>479130.97397475771</v>
      </c>
      <c r="J154" s="30">
        <v>138</v>
      </c>
      <c r="K154" s="31">
        <f t="shared" si="29"/>
        <v>49273</v>
      </c>
      <c r="L154" s="27">
        <f t="shared" si="24"/>
        <v>4607.2507429661937</v>
      </c>
      <c r="M154" s="27"/>
      <c r="N154" s="27">
        <f t="shared" si="25"/>
        <v>3883.278131433548</v>
      </c>
      <c r="O154" s="27">
        <f t="shared" si="26"/>
        <v>723.97261153264571</v>
      </c>
      <c r="P154" s="27">
        <f t="shared" si="27"/>
        <v>465269.40316049312</v>
      </c>
    </row>
    <row r="155" spans="2:16" x14ac:dyDescent="0.25">
      <c r="B155" s="30">
        <v>139</v>
      </c>
      <c r="C155" s="31">
        <f t="shared" si="28"/>
        <v>49422</v>
      </c>
      <c r="D155" s="27">
        <f t="shared" si="20"/>
        <v>7514.9128616125881</v>
      </c>
      <c r="E155" s="27"/>
      <c r="F155" s="27">
        <f t="shared" si="21"/>
        <v>4791.3097397475776</v>
      </c>
      <c r="G155" s="27">
        <f t="shared" si="22"/>
        <v>2723.6031218650105</v>
      </c>
      <c r="H155" s="27">
        <f t="shared" si="23"/>
        <v>476407.37085289269</v>
      </c>
      <c r="J155" s="30">
        <v>139</v>
      </c>
      <c r="K155" s="31">
        <f t="shared" si="29"/>
        <v>49303</v>
      </c>
      <c r="L155" s="27">
        <f t="shared" si="24"/>
        <v>4607.2507429661937</v>
      </c>
      <c r="M155" s="27"/>
      <c r="N155" s="27">
        <f t="shared" si="25"/>
        <v>3877.2450263374426</v>
      </c>
      <c r="O155" s="27">
        <f t="shared" si="26"/>
        <v>730.00571662875109</v>
      </c>
      <c r="P155" s="27">
        <f t="shared" si="27"/>
        <v>464539.39744386438</v>
      </c>
    </row>
    <row r="156" spans="2:16" x14ac:dyDescent="0.25">
      <c r="B156" s="30">
        <v>140</v>
      </c>
      <c r="C156" s="31">
        <f t="shared" si="28"/>
        <v>49452</v>
      </c>
      <c r="D156" s="27">
        <f t="shared" si="20"/>
        <v>7514.9128616125881</v>
      </c>
      <c r="E156" s="27"/>
      <c r="F156" s="27">
        <f t="shared" si="21"/>
        <v>4764.0737085289275</v>
      </c>
      <c r="G156" s="27">
        <f t="shared" si="22"/>
        <v>2750.8391530836607</v>
      </c>
      <c r="H156" s="27">
        <f t="shared" si="23"/>
        <v>473656.53169980901</v>
      </c>
      <c r="J156" s="30">
        <v>140</v>
      </c>
      <c r="K156" s="31">
        <f t="shared" si="29"/>
        <v>49334</v>
      </c>
      <c r="L156" s="27">
        <f t="shared" si="24"/>
        <v>4607.2507429661937</v>
      </c>
      <c r="M156" s="27"/>
      <c r="N156" s="27">
        <f t="shared" si="25"/>
        <v>3871.1616453655365</v>
      </c>
      <c r="O156" s="27">
        <f t="shared" si="26"/>
        <v>736.08909760065717</v>
      </c>
      <c r="P156" s="27">
        <f t="shared" si="27"/>
        <v>463803.30834626372</v>
      </c>
    </row>
    <row r="157" spans="2:16" x14ac:dyDescent="0.25">
      <c r="B157" s="30">
        <v>141</v>
      </c>
      <c r="C157" s="31">
        <f t="shared" si="28"/>
        <v>49483</v>
      </c>
      <c r="D157" s="27">
        <f t="shared" si="20"/>
        <v>7514.9128616125881</v>
      </c>
      <c r="E157" s="27"/>
      <c r="F157" s="27">
        <f t="shared" si="21"/>
        <v>4736.5653169980906</v>
      </c>
      <c r="G157" s="27">
        <f t="shared" si="22"/>
        <v>2778.3475446144976</v>
      </c>
      <c r="H157" s="27">
        <f t="shared" si="23"/>
        <v>470878.1841551945</v>
      </c>
      <c r="J157" s="30">
        <v>141</v>
      </c>
      <c r="K157" s="31">
        <f t="shared" si="29"/>
        <v>49365</v>
      </c>
      <c r="L157" s="27">
        <f t="shared" si="24"/>
        <v>4607.2507429661937</v>
      </c>
      <c r="M157" s="27"/>
      <c r="N157" s="27">
        <f t="shared" si="25"/>
        <v>3865.0275695521977</v>
      </c>
      <c r="O157" s="27">
        <f t="shared" si="26"/>
        <v>742.22317341399594</v>
      </c>
      <c r="P157" s="27">
        <f t="shared" si="27"/>
        <v>463061.08517284971</v>
      </c>
    </row>
    <row r="158" spans="2:16" x14ac:dyDescent="0.25">
      <c r="B158" s="30">
        <v>142</v>
      </c>
      <c r="C158" s="31">
        <f t="shared" si="28"/>
        <v>49513</v>
      </c>
      <c r="D158" s="27">
        <f t="shared" si="20"/>
        <v>7514.9128616125881</v>
      </c>
      <c r="E158" s="27"/>
      <c r="F158" s="27">
        <f t="shared" si="21"/>
        <v>4708.781841551945</v>
      </c>
      <c r="G158" s="27">
        <f t="shared" si="22"/>
        <v>2806.1310200606431</v>
      </c>
      <c r="H158" s="27">
        <f t="shared" si="23"/>
        <v>468072.05313513387</v>
      </c>
      <c r="J158" s="30">
        <v>142</v>
      </c>
      <c r="K158" s="31">
        <f t="shared" si="29"/>
        <v>49393</v>
      </c>
      <c r="L158" s="27">
        <f t="shared" si="24"/>
        <v>4607.2507429661937</v>
      </c>
      <c r="M158" s="27"/>
      <c r="N158" s="27">
        <f t="shared" si="25"/>
        <v>3858.8423764404142</v>
      </c>
      <c r="O158" s="27">
        <f t="shared" si="26"/>
        <v>748.40836652577946</v>
      </c>
      <c r="P158" s="27">
        <f t="shared" si="27"/>
        <v>462312.67680632393</v>
      </c>
    </row>
    <row r="159" spans="2:16" x14ac:dyDescent="0.25">
      <c r="B159" s="30">
        <v>143</v>
      </c>
      <c r="C159" s="31">
        <f t="shared" si="28"/>
        <v>49544</v>
      </c>
      <c r="D159" s="27">
        <f t="shared" si="20"/>
        <v>7514.9128616125881</v>
      </c>
      <c r="E159" s="27"/>
      <c r="F159" s="27">
        <f t="shared" si="21"/>
        <v>4680.7205313513386</v>
      </c>
      <c r="G159" s="27">
        <f t="shared" si="22"/>
        <v>2834.1923302612495</v>
      </c>
      <c r="H159" s="27">
        <f t="shared" si="23"/>
        <v>465237.86080487265</v>
      </c>
      <c r="J159" s="30">
        <v>143</v>
      </c>
      <c r="K159" s="31">
        <f t="shared" si="29"/>
        <v>49424</v>
      </c>
      <c r="L159" s="27">
        <f t="shared" si="24"/>
        <v>4607.2507429661937</v>
      </c>
      <c r="M159" s="27"/>
      <c r="N159" s="27">
        <f t="shared" si="25"/>
        <v>3852.6056400526995</v>
      </c>
      <c r="O159" s="27">
        <f t="shared" si="26"/>
        <v>754.64510291349416</v>
      </c>
      <c r="P159" s="27">
        <f t="shared" si="27"/>
        <v>461558.03170341044</v>
      </c>
    </row>
    <row r="160" spans="2:16" x14ac:dyDescent="0.25">
      <c r="B160" s="30">
        <v>144</v>
      </c>
      <c r="C160" s="31">
        <f t="shared" si="28"/>
        <v>49575</v>
      </c>
      <c r="D160" s="27">
        <f t="shared" si="20"/>
        <v>7514.9128616125881</v>
      </c>
      <c r="E160" s="27"/>
      <c r="F160" s="27">
        <f t="shared" si="21"/>
        <v>4652.3786080487262</v>
      </c>
      <c r="G160" s="27">
        <f t="shared" si="22"/>
        <v>2862.534253563862</v>
      </c>
      <c r="H160" s="27">
        <f t="shared" si="23"/>
        <v>462375.3265513088</v>
      </c>
      <c r="J160" s="30">
        <v>144</v>
      </c>
      <c r="K160" s="31">
        <f t="shared" si="29"/>
        <v>49454</v>
      </c>
      <c r="L160" s="27">
        <f t="shared" si="24"/>
        <v>4607.2507429661937</v>
      </c>
      <c r="M160" s="27"/>
      <c r="N160" s="27">
        <f t="shared" si="25"/>
        <v>3846.3169308617535</v>
      </c>
      <c r="O160" s="27">
        <f t="shared" si="26"/>
        <v>760.93381210444022</v>
      </c>
      <c r="P160" s="27">
        <f t="shared" si="27"/>
        <v>460797.09789130598</v>
      </c>
    </row>
    <row r="161" spans="2:16" x14ac:dyDescent="0.25">
      <c r="B161" s="30">
        <v>145</v>
      </c>
      <c r="C161" s="31">
        <f t="shared" si="28"/>
        <v>49605</v>
      </c>
      <c r="D161" s="27">
        <f t="shared" si="20"/>
        <v>7514.9128616125881</v>
      </c>
      <c r="E161" s="27"/>
      <c r="F161" s="27">
        <f t="shared" si="21"/>
        <v>4623.7532655130881</v>
      </c>
      <c r="G161" s="27">
        <f t="shared" si="22"/>
        <v>2891.1595960995</v>
      </c>
      <c r="H161" s="27">
        <f t="shared" si="23"/>
        <v>459484.16695520928</v>
      </c>
      <c r="J161" s="30">
        <v>145</v>
      </c>
      <c r="K161" s="31">
        <f t="shared" si="29"/>
        <v>49485</v>
      </c>
      <c r="L161" s="27">
        <f t="shared" si="24"/>
        <v>4607.2507429661937</v>
      </c>
      <c r="M161" s="27"/>
      <c r="N161" s="27">
        <f t="shared" si="25"/>
        <v>3839.9758157608831</v>
      </c>
      <c r="O161" s="27">
        <f t="shared" si="26"/>
        <v>767.27492720531063</v>
      </c>
      <c r="P161" s="27">
        <f t="shared" si="27"/>
        <v>460029.82296410069</v>
      </c>
    </row>
    <row r="162" spans="2:16" x14ac:dyDescent="0.25">
      <c r="B162" s="30">
        <v>146</v>
      </c>
      <c r="C162" s="31">
        <f t="shared" si="28"/>
        <v>49636</v>
      </c>
      <c r="D162" s="27">
        <f t="shared" si="20"/>
        <v>7514.9128616125881</v>
      </c>
      <c r="E162" s="27"/>
      <c r="F162" s="27">
        <f t="shared" si="21"/>
        <v>4594.8416695520928</v>
      </c>
      <c r="G162" s="27">
        <f t="shared" si="22"/>
        <v>2920.0711920604954</v>
      </c>
      <c r="H162" s="27">
        <f t="shared" si="23"/>
        <v>456564.0957631488</v>
      </c>
      <c r="J162" s="30">
        <v>146</v>
      </c>
      <c r="K162" s="31">
        <f t="shared" si="29"/>
        <v>49515</v>
      </c>
      <c r="L162" s="27">
        <f t="shared" si="24"/>
        <v>4607.2507429661937</v>
      </c>
      <c r="M162" s="27"/>
      <c r="N162" s="27">
        <f t="shared" si="25"/>
        <v>3833.5818580341725</v>
      </c>
      <c r="O162" s="27">
        <f t="shared" si="26"/>
        <v>773.66888493202123</v>
      </c>
      <c r="P162" s="27">
        <f t="shared" si="27"/>
        <v>459256.15407916869</v>
      </c>
    </row>
    <row r="163" spans="2:16" x14ac:dyDescent="0.25">
      <c r="B163" s="30">
        <v>147</v>
      </c>
      <c r="C163" s="31">
        <f t="shared" si="28"/>
        <v>49666</v>
      </c>
      <c r="D163" s="27">
        <f t="shared" si="20"/>
        <v>7514.9128616125881</v>
      </c>
      <c r="E163" s="27"/>
      <c r="F163" s="27">
        <f t="shared" si="21"/>
        <v>4565.6409576314882</v>
      </c>
      <c r="G163" s="27">
        <f t="shared" si="22"/>
        <v>2949.2719039811</v>
      </c>
      <c r="H163" s="27">
        <f t="shared" si="23"/>
        <v>453614.82385916769</v>
      </c>
      <c r="J163" s="30">
        <v>147</v>
      </c>
      <c r="K163" s="31">
        <f t="shared" si="29"/>
        <v>49546</v>
      </c>
      <c r="L163" s="27">
        <f t="shared" si="24"/>
        <v>4607.2507429661937</v>
      </c>
      <c r="M163" s="27"/>
      <c r="N163" s="27">
        <f t="shared" si="25"/>
        <v>3827.1346173264055</v>
      </c>
      <c r="O163" s="27">
        <f t="shared" si="26"/>
        <v>780.11612563978815</v>
      </c>
      <c r="P163" s="27">
        <f t="shared" si="27"/>
        <v>458476.03795352892</v>
      </c>
    </row>
    <row r="164" spans="2:16" x14ac:dyDescent="0.25">
      <c r="B164" s="30">
        <v>148</v>
      </c>
      <c r="C164" s="31">
        <f t="shared" si="28"/>
        <v>49697</v>
      </c>
      <c r="D164" s="27">
        <f t="shared" si="20"/>
        <v>7514.9128616125881</v>
      </c>
      <c r="E164" s="27"/>
      <c r="F164" s="27">
        <f t="shared" si="21"/>
        <v>4536.148238591677</v>
      </c>
      <c r="G164" s="27">
        <f t="shared" si="22"/>
        <v>2978.7646230209111</v>
      </c>
      <c r="H164" s="27">
        <f t="shared" si="23"/>
        <v>450636.0592361468</v>
      </c>
      <c r="J164" s="30">
        <v>148</v>
      </c>
      <c r="K164" s="31">
        <f t="shared" si="29"/>
        <v>49577</v>
      </c>
      <c r="L164" s="27">
        <f t="shared" si="24"/>
        <v>4607.2507429661937</v>
      </c>
      <c r="M164" s="27"/>
      <c r="N164" s="27">
        <f t="shared" si="25"/>
        <v>3820.633649612741</v>
      </c>
      <c r="O164" s="27">
        <f t="shared" si="26"/>
        <v>786.61709335345267</v>
      </c>
      <c r="P164" s="27">
        <f t="shared" si="27"/>
        <v>457689.42086017545</v>
      </c>
    </row>
    <row r="165" spans="2:16" x14ac:dyDescent="0.25">
      <c r="B165" s="30">
        <v>149</v>
      </c>
      <c r="C165" s="31">
        <f t="shared" si="28"/>
        <v>49728</v>
      </c>
      <c r="D165" s="27">
        <f t="shared" si="20"/>
        <v>7514.9128616125881</v>
      </c>
      <c r="E165" s="27"/>
      <c r="F165" s="27">
        <f t="shared" si="21"/>
        <v>4506.3605923614678</v>
      </c>
      <c r="G165" s="27">
        <f t="shared" si="22"/>
        <v>3008.5522692511204</v>
      </c>
      <c r="H165" s="27">
        <f t="shared" si="23"/>
        <v>447627.50696689566</v>
      </c>
      <c r="J165" s="30">
        <v>149</v>
      </c>
      <c r="K165" s="31">
        <f t="shared" si="29"/>
        <v>49607</v>
      </c>
      <c r="L165" s="27">
        <f t="shared" si="24"/>
        <v>4607.2507429661937</v>
      </c>
      <c r="M165" s="27"/>
      <c r="N165" s="27">
        <f t="shared" si="25"/>
        <v>3814.0785071681289</v>
      </c>
      <c r="O165" s="27">
        <f t="shared" si="26"/>
        <v>793.17223579806478</v>
      </c>
      <c r="P165" s="27">
        <f t="shared" si="27"/>
        <v>456896.24862437736</v>
      </c>
    </row>
    <row r="166" spans="2:16" x14ac:dyDescent="0.25">
      <c r="B166" s="30">
        <v>150</v>
      </c>
      <c r="C166" s="31">
        <f t="shared" si="28"/>
        <v>49757</v>
      </c>
      <c r="D166" s="27">
        <f t="shared" si="20"/>
        <v>7514.9128616125881</v>
      </c>
      <c r="E166" s="27"/>
      <c r="F166" s="27">
        <f t="shared" si="21"/>
        <v>4476.2750696689563</v>
      </c>
      <c r="G166" s="27">
        <f t="shared" si="22"/>
        <v>3038.6377919436318</v>
      </c>
      <c r="H166" s="27">
        <f t="shared" si="23"/>
        <v>444588.86917495204</v>
      </c>
      <c r="J166" s="30">
        <v>150</v>
      </c>
      <c r="K166" s="31">
        <f t="shared" si="29"/>
        <v>49638</v>
      </c>
      <c r="L166" s="27">
        <f t="shared" si="24"/>
        <v>4607.2507429661937</v>
      </c>
      <c r="M166" s="27"/>
      <c r="N166" s="27">
        <f t="shared" si="25"/>
        <v>3807.4687385364778</v>
      </c>
      <c r="O166" s="27">
        <f t="shared" si="26"/>
        <v>799.78200442971593</v>
      </c>
      <c r="P166" s="27">
        <f t="shared" si="27"/>
        <v>456096.46661994763</v>
      </c>
    </row>
    <row r="167" spans="2:16" x14ac:dyDescent="0.25">
      <c r="B167" s="30">
        <v>151</v>
      </c>
      <c r="C167" s="31">
        <f t="shared" si="28"/>
        <v>49788</v>
      </c>
      <c r="D167" s="27">
        <f t="shared" si="20"/>
        <v>7514.9128616125881</v>
      </c>
      <c r="E167" s="27"/>
      <c r="F167" s="27">
        <f t="shared" si="21"/>
        <v>4445.8886917495201</v>
      </c>
      <c r="G167" s="27">
        <f t="shared" si="22"/>
        <v>3069.024169863068</v>
      </c>
      <c r="H167" s="27">
        <f t="shared" si="23"/>
        <v>441519.84500508895</v>
      </c>
      <c r="J167" s="30">
        <v>151</v>
      </c>
      <c r="K167" s="31">
        <f t="shared" si="29"/>
        <v>49668</v>
      </c>
      <c r="L167" s="27">
        <f t="shared" si="24"/>
        <v>4607.2507429661937</v>
      </c>
      <c r="M167" s="27"/>
      <c r="N167" s="27">
        <f t="shared" si="25"/>
        <v>3800.8038884995635</v>
      </c>
      <c r="O167" s="27">
        <f t="shared" si="26"/>
        <v>806.44685446663016</v>
      </c>
      <c r="P167" s="27">
        <f t="shared" si="27"/>
        <v>455290.019765481</v>
      </c>
    </row>
    <row r="168" spans="2:16" x14ac:dyDescent="0.25">
      <c r="B168" s="30">
        <v>152</v>
      </c>
      <c r="C168" s="31">
        <f t="shared" si="28"/>
        <v>49818</v>
      </c>
      <c r="D168" s="27">
        <f t="shared" si="20"/>
        <v>7514.9128616125881</v>
      </c>
      <c r="E168" s="27"/>
      <c r="F168" s="27">
        <f t="shared" si="21"/>
        <v>4415.1984500508897</v>
      </c>
      <c r="G168" s="27">
        <f t="shared" si="22"/>
        <v>3099.7144115616984</v>
      </c>
      <c r="H168" s="27">
        <f t="shared" si="23"/>
        <v>438420.13059352722</v>
      </c>
      <c r="J168" s="30">
        <v>152</v>
      </c>
      <c r="K168" s="31">
        <f t="shared" si="29"/>
        <v>49699</v>
      </c>
      <c r="L168" s="27">
        <f t="shared" si="24"/>
        <v>4607.2507429661937</v>
      </c>
      <c r="M168" s="27"/>
      <c r="N168" s="27">
        <f t="shared" si="25"/>
        <v>3794.0834980456748</v>
      </c>
      <c r="O168" s="27">
        <f t="shared" si="26"/>
        <v>813.1672449205189</v>
      </c>
      <c r="P168" s="27">
        <f t="shared" si="27"/>
        <v>454476.8525205605</v>
      </c>
    </row>
    <row r="169" spans="2:16" x14ac:dyDescent="0.25">
      <c r="B169" s="30">
        <v>153</v>
      </c>
      <c r="C169" s="31">
        <f t="shared" si="28"/>
        <v>49849</v>
      </c>
      <c r="D169" s="27">
        <f t="shared" si="20"/>
        <v>7514.9128616125881</v>
      </c>
      <c r="E169" s="27"/>
      <c r="F169" s="27">
        <f t="shared" si="21"/>
        <v>4384.2013059352721</v>
      </c>
      <c r="G169" s="27">
        <f t="shared" si="22"/>
        <v>3130.711555677316</v>
      </c>
      <c r="H169" s="27">
        <f t="shared" si="23"/>
        <v>435289.41903784993</v>
      </c>
      <c r="J169" s="30">
        <v>153</v>
      </c>
      <c r="K169" s="31">
        <f t="shared" si="29"/>
        <v>49730</v>
      </c>
      <c r="L169" s="27">
        <f t="shared" si="24"/>
        <v>4607.2507429661937</v>
      </c>
      <c r="M169" s="27"/>
      <c r="N169" s="27">
        <f t="shared" si="25"/>
        <v>3787.3071043380041</v>
      </c>
      <c r="O169" s="27">
        <f t="shared" si="26"/>
        <v>819.94363862818955</v>
      </c>
      <c r="P169" s="27">
        <f t="shared" si="27"/>
        <v>453656.90888193232</v>
      </c>
    </row>
    <row r="170" spans="2:16" x14ac:dyDescent="0.25">
      <c r="B170" s="30">
        <v>154</v>
      </c>
      <c r="C170" s="31">
        <f t="shared" si="28"/>
        <v>49879</v>
      </c>
      <c r="D170" s="27">
        <f t="shared" si="20"/>
        <v>7514.9128616125881</v>
      </c>
      <c r="E170" s="27"/>
      <c r="F170" s="27">
        <f t="shared" si="21"/>
        <v>4352.8941903784998</v>
      </c>
      <c r="G170" s="27">
        <f t="shared" si="22"/>
        <v>3162.0186712340883</v>
      </c>
      <c r="H170" s="27">
        <f t="shared" si="23"/>
        <v>432127.40036661585</v>
      </c>
      <c r="J170" s="30">
        <v>154</v>
      </c>
      <c r="K170" s="31">
        <f t="shared" si="29"/>
        <v>49759</v>
      </c>
      <c r="L170" s="27">
        <f t="shared" si="24"/>
        <v>4607.2507429661937</v>
      </c>
      <c r="M170" s="27"/>
      <c r="N170" s="27">
        <f t="shared" si="25"/>
        <v>3780.4742406827695</v>
      </c>
      <c r="O170" s="27">
        <f t="shared" si="26"/>
        <v>826.77650228342418</v>
      </c>
      <c r="P170" s="27">
        <f t="shared" si="27"/>
        <v>452830.13237964892</v>
      </c>
    </row>
    <row r="171" spans="2:16" x14ac:dyDescent="0.25">
      <c r="B171" s="30">
        <v>155</v>
      </c>
      <c r="C171" s="31">
        <f t="shared" si="28"/>
        <v>49910</v>
      </c>
      <c r="D171" s="27">
        <f t="shared" si="20"/>
        <v>7514.9128616125881</v>
      </c>
      <c r="E171" s="27"/>
      <c r="F171" s="27">
        <f t="shared" si="21"/>
        <v>4321.2740036661589</v>
      </c>
      <c r="G171" s="27">
        <f t="shared" si="22"/>
        <v>3193.6388579464292</v>
      </c>
      <c r="H171" s="27">
        <f t="shared" si="23"/>
        <v>428933.76150866941</v>
      </c>
      <c r="J171" s="30">
        <v>155</v>
      </c>
      <c r="K171" s="31">
        <f t="shared" si="29"/>
        <v>49790</v>
      </c>
      <c r="L171" s="27">
        <f t="shared" si="24"/>
        <v>4607.2507429661937</v>
      </c>
      <c r="M171" s="27"/>
      <c r="N171" s="27">
        <f t="shared" si="25"/>
        <v>3773.5844364970744</v>
      </c>
      <c r="O171" s="27">
        <f t="shared" si="26"/>
        <v>833.66630646911926</v>
      </c>
      <c r="P171" s="27">
        <f t="shared" si="27"/>
        <v>451996.46607317979</v>
      </c>
    </row>
    <row r="172" spans="2:16" x14ac:dyDescent="0.25">
      <c r="B172" s="30">
        <v>156</v>
      </c>
      <c r="C172" s="31">
        <f t="shared" si="28"/>
        <v>49941</v>
      </c>
      <c r="D172" s="27">
        <f t="shared" si="20"/>
        <v>7514.9128616125881</v>
      </c>
      <c r="E172" s="27"/>
      <c r="F172" s="27">
        <f t="shared" si="21"/>
        <v>4289.3376150866943</v>
      </c>
      <c r="G172" s="27">
        <f t="shared" si="22"/>
        <v>3225.5752465258938</v>
      </c>
      <c r="H172" s="27">
        <f t="shared" si="23"/>
        <v>425708.18626214354</v>
      </c>
      <c r="J172" s="30">
        <v>156</v>
      </c>
      <c r="K172" s="31">
        <f t="shared" si="29"/>
        <v>49820</v>
      </c>
      <c r="L172" s="27">
        <f t="shared" si="24"/>
        <v>4607.2507429661937</v>
      </c>
      <c r="M172" s="27"/>
      <c r="N172" s="27">
        <f t="shared" si="25"/>
        <v>3766.6372172764982</v>
      </c>
      <c r="O172" s="27">
        <f t="shared" si="26"/>
        <v>840.61352568969551</v>
      </c>
      <c r="P172" s="27">
        <f t="shared" si="27"/>
        <v>451155.8525474901</v>
      </c>
    </row>
    <row r="173" spans="2:16" x14ac:dyDescent="0.25">
      <c r="B173" s="30">
        <v>157</v>
      </c>
      <c r="C173" s="31">
        <f t="shared" si="28"/>
        <v>49971</v>
      </c>
      <c r="D173" s="27">
        <f t="shared" si="20"/>
        <v>7514.9128616125881</v>
      </c>
      <c r="E173" s="27"/>
      <c r="F173" s="27">
        <f t="shared" si="21"/>
        <v>4257.0818626214359</v>
      </c>
      <c r="G173" s="27">
        <f t="shared" si="22"/>
        <v>3257.8309989911522</v>
      </c>
      <c r="H173" s="27">
        <f t="shared" si="23"/>
        <v>422450.35526315239</v>
      </c>
      <c r="J173" s="30">
        <v>157</v>
      </c>
      <c r="K173" s="31">
        <f t="shared" si="29"/>
        <v>49851</v>
      </c>
      <c r="L173" s="27">
        <f t="shared" si="24"/>
        <v>4607.2507429661937</v>
      </c>
      <c r="M173" s="27"/>
      <c r="N173" s="27">
        <f t="shared" si="25"/>
        <v>3759.6321045624172</v>
      </c>
      <c r="O173" s="27">
        <f t="shared" si="26"/>
        <v>847.61863840377646</v>
      </c>
      <c r="P173" s="27">
        <f t="shared" si="27"/>
        <v>450308.23390908632</v>
      </c>
    </row>
    <row r="174" spans="2:16" x14ac:dyDescent="0.25">
      <c r="B174" s="30">
        <v>158</v>
      </c>
      <c r="C174" s="31">
        <f t="shared" si="28"/>
        <v>50002</v>
      </c>
      <c r="D174" s="27">
        <f t="shared" si="20"/>
        <v>7514.9128616125881</v>
      </c>
      <c r="E174" s="27"/>
      <c r="F174" s="27">
        <f t="shared" si="21"/>
        <v>4224.5035526315241</v>
      </c>
      <c r="G174" s="27">
        <f t="shared" si="22"/>
        <v>3290.409308981064</v>
      </c>
      <c r="H174" s="27">
        <f t="shared" si="23"/>
        <v>419159.9459541713</v>
      </c>
      <c r="J174" s="30">
        <v>158</v>
      </c>
      <c r="K174" s="31">
        <f t="shared" si="29"/>
        <v>49881</v>
      </c>
      <c r="L174" s="27">
        <f t="shared" si="24"/>
        <v>4607.2507429661937</v>
      </c>
      <c r="M174" s="27"/>
      <c r="N174" s="27">
        <f t="shared" si="25"/>
        <v>3752.5686159090528</v>
      </c>
      <c r="O174" s="27">
        <f t="shared" si="26"/>
        <v>854.68212705714086</v>
      </c>
      <c r="P174" s="27">
        <f t="shared" si="27"/>
        <v>449453.55178202916</v>
      </c>
    </row>
    <row r="175" spans="2:16" x14ac:dyDescent="0.25">
      <c r="B175" s="30">
        <v>159</v>
      </c>
      <c r="C175" s="31">
        <f t="shared" si="28"/>
        <v>50032</v>
      </c>
      <c r="D175" s="27">
        <f t="shared" si="20"/>
        <v>7514.9128616125881</v>
      </c>
      <c r="E175" s="27"/>
      <c r="F175" s="27">
        <f t="shared" si="21"/>
        <v>4191.5994595417133</v>
      </c>
      <c r="G175" s="27">
        <f t="shared" si="22"/>
        <v>3323.3134020708749</v>
      </c>
      <c r="H175" s="27">
        <f t="shared" si="23"/>
        <v>415836.6325521004</v>
      </c>
      <c r="J175" s="30">
        <v>159</v>
      </c>
      <c r="K175" s="31">
        <f t="shared" si="29"/>
        <v>49912</v>
      </c>
      <c r="L175" s="27">
        <f t="shared" si="24"/>
        <v>4607.2507429661937</v>
      </c>
      <c r="M175" s="27"/>
      <c r="N175" s="27">
        <f t="shared" si="25"/>
        <v>3745.4462648502431</v>
      </c>
      <c r="O175" s="27">
        <f t="shared" si="26"/>
        <v>861.80447811595059</v>
      </c>
      <c r="P175" s="27">
        <f t="shared" si="27"/>
        <v>448591.74730391323</v>
      </c>
    </row>
    <row r="176" spans="2:16" x14ac:dyDescent="0.25">
      <c r="B176" s="30">
        <v>160</v>
      </c>
      <c r="C176" s="31">
        <f t="shared" si="28"/>
        <v>50063</v>
      </c>
      <c r="D176" s="27">
        <f t="shared" si="20"/>
        <v>7514.9128616125881</v>
      </c>
      <c r="E176" s="27"/>
      <c r="F176" s="27">
        <f t="shared" si="21"/>
        <v>4158.366325521004</v>
      </c>
      <c r="G176" s="27">
        <f t="shared" si="22"/>
        <v>3356.5465360915841</v>
      </c>
      <c r="H176" s="27">
        <f t="shared" si="23"/>
        <v>412480.08601600881</v>
      </c>
      <c r="J176" s="30">
        <v>160</v>
      </c>
      <c r="K176" s="31">
        <f t="shared" si="29"/>
        <v>49943</v>
      </c>
      <c r="L176" s="27">
        <f t="shared" si="24"/>
        <v>4607.2507429661937</v>
      </c>
      <c r="M176" s="27"/>
      <c r="N176" s="27">
        <f t="shared" si="25"/>
        <v>3738.2645608659436</v>
      </c>
      <c r="O176" s="27">
        <f t="shared" si="26"/>
        <v>868.98618210025006</v>
      </c>
      <c r="P176" s="27">
        <f t="shared" si="27"/>
        <v>447722.76112181298</v>
      </c>
    </row>
    <row r="177" spans="2:16" x14ac:dyDescent="0.25">
      <c r="B177" s="30">
        <v>161</v>
      </c>
      <c r="C177" s="31">
        <f t="shared" si="28"/>
        <v>50094</v>
      </c>
      <c r="D177" s="27">
        <f t="shared" si="20"/>
        <v>7514.9128616125881</v>
      </c>
      <c r="E177" s="27"/>
      <c r="F177" s="27">
        <f t="shared" si="21"/>
        <v>4124.8008601600877</v>
      </c>
      <c r="G177" s="27">
        <f t="shared" si="22"/>
        <v>3390.1120014525004</v>
      </c>
      <c r="H177" s="27">
        <f t="shared" si="23"/>
        <v>409089.97401455633</v>
      </c>
      <c r="J177" s="30">
        <v>161</v>
      </c>
      <c r="K177" s="31">
        <f t="shared" si="29"/>
        <v>49973</v>
      </c>
      <c r="L177" s="27">
        <f t="shared" si="24"/>
        <v>4607.2507429661937</v>
      </c>
      <c r="M177" s="27"/>
      <c r="N177" s="27">
        <f t="shared" si="25"/>
        <v>3731.0230093484415</v>
      </c>
      <c r="O177" s="27">
        <f t="shared" si="26"/>
        <v>876.22773361775216</v>
      </c>
      <c r="P177" s="27">
        <f t="shared" si="27"/>
        <v>446846.53338819521</v>
      </c>
    </row>
    <row r="178" spans="2:16" x14ac:dyDescent="0.25">
      <c r="B178" s="30">
        <v>162</v>
      </c>
      <c r="C178" s="31">
        <f t="shared" si="28"/>
        <v>50122</v>
      </c>
      <c r="D178" s="27">
        <f t="shared" si="20"/>
        <v>7514.9128616125881</v>
      </c>
      <c r="E178" s="27"/>
      <c r="F178" s="27">
        <f t="shared" si="21"/>
        <v>4090.8997401455636</v>
      </c>
      <c r="G178" s="27">
        <f t="shared" si="22"/>
        <v>3424.0131214670246</v>
      </c>
      <c r="H178" s="27">
        <f t="shared" si="23"/>
        <v>405665.9608930893</v>
      </c>
      <c r="J178" s="30">
        <v>162</v>
      </c>
      <c r="K178" s="31">
        <f t="shared" si="29"/>
        <v>50004</v>
      </c>
      <c r="L178" s="27">
        <f t="shared" si="24"/>
        <v>4607.2507429661937</v>
      </c>
      <c r="M178" s="27"/>
      <c r="N178" s="27">
        <f t="shared" si="25"/>
        <v>3723.7211115682935</v>
      </c>
      <c r="O178" s="27">
        <f t="shared" si="26"/>
        <v>883.52963139790018</v>
      </c>
      <c r="P178" s="27">
        <f t="shared" si="27"/>
        <v>445963.00375679729</v>
      </c>
    </row>
    <row r="179" spans="2:16" x14ac:dyDescent="0.25">
      <c r="B179" s="30">
        <v>163</v>
      </c>
      <c r="C179" s="31">
        <f t="shared" si="28"/>
        <v>50153</v>
      </c>
      <c r="D179" s="27">
        <f t="shared" si="20"/>
        <v>7514.9128616125881</v>
      </c>
      <c r="E179" s="27"/>
      <c r="F179" s="27">
        <f t="shared" si="21"/>
        <v>4056.6596089308932</v>
      </c>
      <c r="G179" s="27">
        <f t="shared" si="22"/>
        <v>3458.2532526816949</v>
      </c>
      <c r="H179" s="27">
        <f t="shared" si="23"/>
        <v>402207.70764040761</v>
      </c>
      <c r="J179" s="30">
        <v>163</v>
      </c>
      <c r="K179" s="31">
        <f t="shared" si="29"/>
        <v>50034</v>
      </c>
      <c r="L179" s="27">
        <f t="shared" si="24"/>
        <v>4607.2507429661937</v>
      </c>
      <c r="M179" s="27"/>
      <c r="N179" s="27">
        <f t="shared" si="25"/>
        <v>3716.3583646399775</v>
      </c>
      <c r="O179" s="27">
        <f t="shared" si="26"/>
        <v>890.8923783262162</v>
      </c>
      <c r="P179" s="27">
        <f t="shared" si="27"/>
        <v>445072.11137847108</v>
      </c>
    </row>
    <row r="180" spans="2:16" x14ac:dyDescent="0.25">
      <c r="B180" s="30">
        <v>164</v>
      </c>
      <c r="C180" s="31">
        <f t="shared" si="28"/>
        <v>50183</v>
      </c>
      <c r="D180" s="27">
        <f t="shared" si="20"/>
        <v>7514.9128616125881</v>
      </c>
      <c r="E180" s="27"/>
      <c r="F180" s="27">
        <f t="shared" si="21"/>
        <v>4022.0770764040763</v>
      </c>
      <c r="G180" s="27">
        <f t="shared" si="22"/>
        <v>3492.8357852085119</v>
      </c>
      <c r="H180" s="27">
        <f t="shared" si="23"/>
        <v>398714.8718551991</v>
      </c>
      <c r="J180" s="30">
        <v>164</v>
      </c>
      <c r="K180" s="31">
        <f t="shared" si="29"/>
        <v>50065</v>
      </c>
      <c r="L180" s="27">
        <f t="shared" si="24"/>
        <v>4607.2507429661937</v>
      </c>
      <c r="M180" s="27"/>
      <c r="N180" s="27">
        <f t="shared" si="25"/>
        <v>3708.9342614872589</v>
      </c>
      <c r="O180" s="27">
        <f t="shared" si="26"/>
        <v>898.31648147893475</v>
      </c>
      <c r="P180" s="27">
        <f t="shared" si="27"/>
        <v>444173.79489699216</v>
      </c>
    </row>
    <row r="181" spans="2:16" x14ac:dyDescent="0.25">
      <c r="B181" s="30">
        <v>165</v>
      </c>
      <c r="C181" s="31">
        <f t="shared" si="28"/>
        <v>50214</v>
      </c>
      <c r="D181" s="27">
        <f t="shared" si="20"/>
        <v>7514.9128616125881</v>
      </c>
      <c r="E181" s="27"/>
      <c r="F181" s="27">
        <f t="shared" si="21"/>
        <v>3987.1487185519914</v>
      </c>
      <c r="G181" s="27">
        <f t="shared" si="22"/>
        <v>3527.7641430605968</v>
      </c>
      <c r="H181" s="27">
        <f t="shared" si="23"/>
        <v>395187.1077121385</v>
      </c>
      <c r="J181" s="30">
        <v>165</v>
      </c>
      <c r="K181" s="31">
        <f t="shared" si="29"/>
        <v>50096</v>
      </c>
      <c r="L181" s="27">
        <f t="shared" si="24"/>
        <v>4607.2507429661937</v>
      </c>
      <c r="M181" s="27"/>
      <c r="N181" s="27">
        <f t="shared" si="25"/>
        <v>3701.4482908082678</v>
      </c>
      <c r="O181" s="27">
        <f t="shared" si="26"/>
        <v>905.80245215792593</v>
      </c>
      <c r="P181" s="27">
        <f t="shared" si="27"/>
        <v>443267.99244483421</v>
      </c>
    </row>
    <row r="182" spans="2:16" x14ac:dyDescent="0.25">
      <c r="B182" s="30">
        <v>166</v>
      </c>
      <c r="C182" s="31">
        <f t="shared" si="28"/>
        <v>50244</v>
      </c>
      <c r="D182" s="27">
        <f t="shared" si="20"/>
        <v>7514.9128616125881</v>
      </c>
      <c r="E182" s="27"/>
      <c r="F182" s="27">
        <f t="shared" si="21"/>
        <v>3951.871077121385</v>
      </c>
      <c r="G182" s="27">
        <f t="shared" si="22"/>
        <v>3563.0417844912031</v>
      </c>
      <c r="H182" s="27">
        <f t="shared" si="23"/>
        <v>391624.06592764729</v>
      </c>
      <c r="J182" s="30">
        <v>166</v>
      </c>
      <c r="K182" s="31">
        <f t="shared" si="29"/>
        <v>50124</v>
      </c>
      <c r="L182" s="27">
        <f t="shared" si="24"/>
        <v>4607.2507429661937</v>
      </c>
      <c r="M182" s="27"/>
      <c r="N182" s="27">
        <f t="shared" si="25"/>
        <v>3693.8999370402848</v>
      </c>
      <c r="O182" s="27">
        <f t="shared" si="26"/>
        <v>913.35080592590884</v>
      </c>
      <c r="P182" s="27">
        <f t="shared" si="27"/>
        <v>442354.6416389083</v>
      </c>
    </row>
    <row r="183" spans="2:16" x14ac:dyDescent="0.25">
      <c r="B183" s="30">
        <v>167</v>
      </c>
      <c r="C183" s="31">
        <f t="shared" si="28"/>
        <v>50275</v>
      </c>
      <c r="D183" s="27">
        <f t="shared" si="20"/>
        <v>7514.9128616125881</v>
      </c>
      <c r="E183" s="27"/>
      <c r="F183" s="27">
        <f t="shared" si="21"/>
        <v>3916.2406592764728</v>
      </c>
      <c r="G183" s="27">
        <f t="shared" si="22"/>
        <v>3598.6722023361153</v>
      </c>
      <c r="H183" s="27">
        <f t="shared" si="23"/>
        <v>388025.39372531115</v>
      </c>
      <c r="J183" s="30">
        <v>167</v>
      </c>
      <c r="K183" s="31">
        <f t="shared" si="29"/>
        <v>50155</v>
      </c>
      <c r="L183" s="27">
        <f t="shared" si="24"/>
        <v>4607.2507429661937</v>
      </c>
      <c r="M183" s="27"/>
      <c r="N183" s="27">
        <f t="shared" si="25"/>
        <v>3686.2886803242359</v>
      </c>
      <c r="O183" s="27">
        <f t="shared" si="26"/>
        <v>920.9620626419578</v>
      </c>
      <c r="P183" s="27">
        <f t="shared" si="27"/>
        <v>441433.67957626632</v>
      </c>
    </row>
    <row r="184" spans="2:16" x14ac:dyDescent="0.25">
      <c r="B184" s="30">
        <v>168</v>
      </c>
      <c r="C184" s="31">
        <f t="shared" si="28"/>
        <v>50306</v>
      </c>
      <c r="D184" s="27">
        <f t="shared" si="20"/>
        <v>7514.9128616125881</v>
      </c>
      <c r="E184" s="27"/>
      <c r="F184" s="27">
        <f t="shared" si="21"/>
        <v>3880.2539372531114</v>
      </c>
      <c r="G184" s="27">
        <f t="shared" si="22"/>
        <v>3634.6589243594767</v>
      </c>
      <c r="H184" s="27">
        <f t="shared" si="23"/>
        <v>384390.73480095167</v>
      </c>
      <c r="J184" s="30">
        <v>168</v>
      </c>
      <c r="K184" s="31">
        <f t="shared" si="29"/>
        <v>50185</v>
      </c>
      <c r="L184" s="27">
        <f t="shared" si="24"/>
        <v>4607.2507429661937</v>
      </c>
      <c r="M184" s="27"/>
      <c r="N184" s="27">
        <f t="shared" si="25"/>
        <v>3678.6139964688859</v>
      </c>
      <c r="O184" s="27">
        <f t="shared" si="26"/>
        <v>928.63674649730774</v>
      </c>
      <c r="P184" s="27">
        <f t="shared" si="27"/>
        <v>440505.04282976902</v>
      </c>
    </row>
    <row r="185" spans="2:16" x14ac:dyDescent="0.25">
      <c r="B185" s="30">
        <v>169</v>
      </c>
      <c r="C185" s="31">
        <f t="shared" si="28"/>
        <v>50336</v>
      </c>
      <c r="D185" s="27">
        <f t="shared" si="20"/>
        <v>7514.9128616125881</v>
      </c>
      <c r="E185" s="27"/>
      <c r="F185" s="27">
        <f t="shared" si="21"/>
        <v>3843.9073480095167</v>
      </c>
      <c r="G185" s="27">
        <f t="shared" si="22"/>
        <v>3671.0055136030714</v>
      </c>
      <c r="H185" s="27">
        <f t="shared" si="23"/>
        <v>380719.72928734857</v>
      </c>
      <c r="J185" s="30">
        <v>169</v>
      </c>
      <c r="K185" s="31">
        <f t="shared" si="29"/>
        <v>50216</v>
      </c>
      <c r="L185" s="27">
        <f t="shared" si="24"/>
        <v>4607.2507429661937</v>
      </c>
      <c r="M185" s="27"/>
      <c r="N185" s="27">
        <f t="shared" si="25"/>
        <v>3670.8753569147416</v>
      </c>
      <c r="O185" s="27">
        <f t="shared" si="26"/>
        <v>936.3753860514521</v>
      </c>
      <c r="P185" s="27">
        <f t="shared" si="27"/>
        <v>439568.6674437176</v>
      </c>
    </row>
    <row r="186" spans="2:16" x14ac:dyDescent="0.25">
      <c r="B186" s="30">
        <v>170</v>
      </c>
      <c r="C186" s="31">
        <f t="shared" si="28"/>
        <v>50367</v>
      </c>
      <c r="D186" s="27">
        <f t="shared" si="20"/>
        <v>7514.9128616125881</v>
      </c>
      <c r="E186" s="27"/>
      <c r="F186" s="27">
        <f t="shared" si="21"/>
        <v>3807.1972928734858</v>
      </c>
      <c r="G186" s="27">
        <f t="shared" si="22"/>
        <v>3707.7155687391023</v>
      </c>
      <c r="H186" s="27">
        <f t="shared" si="23"/>
        <v>377012.01371860947</v>
      </c>
      <c r="J186" s="30">
        <v>170</v>
      </c>
      <c r="K186" s="31">
        <f t="shared" si="29"/>
        <v>50246</v>
      </c>
      <c r="L186" s="27">
        <f t="shared" si="24"/>
        <v>4607.2507429661937</v>
      </c>
      <c r="M186" s="27"/>
      <c r="N186" s="27">
        <f t="shared" si="25"/>
        <v>3663.0722286976466</v>
      </c>
      <c r="O186" s="27">
        <f t="shared" si="26"/>
        <v>944.17851426854713</v>
      </c>
      <c r="P186" s="27">
        <f t="shared" si="27"/>
        <v>438624.48892944906</v>
      </c>
    </row>
    <row r="187" spans="2:16" x14ac:dyDescent="0.25">
      <c r="B187" s="30">
        <v>171</v>
      </c>
      <c r="C187" s="31">
        <f t="shared" si="28"/>
        <v>50397</v>
      </c>
      <c r="D187" s="27">
        <f t="shared" si="20"/>
        <v>7514.9128616125881</v>
      </c>
      <c r="E187" s="27"/>
      <c r="F187" s="27">
        <f t="shared" si="21"/>
        <v>3770.1201371860948</v>
      </c>
      <c r="G187" s="27">
        <f t="shared" si="22"/>
        <v>3744.7927244264934</v>
      </c>
      <c r="H187" s="27">
        <f t="shared" si="23"/>
        <v>373267.22099418298</v>
      </c>
      <c r="J187" s="30">
        <v>171</v>
      </c>
      <c r="K187" s="31">
        <f t="shared" si="29"/>
        <v>50277</v>
      </c>
      <c r="L187" s="27">
        <f t="shared" si="24"/>
        <v>4607.2507429661937</v>
      </c>
      <c r="M187" s="27"/>
      <c r="N187" s="27">
        <f t="shared" si="25"/>
        <v>3655.2040744120754</v>
      </c>
      <c r="O187" s="27">
        <f t="shared" si="26"/>
        <v>952.04666855411824</v>
      </c>
      <c r="P187" s="27">
        <f t="shared" si="27"/>
        <v>437672.44226089492</v>
      </c>
    </row>
    <row r="188" spans="2:16" x14ac:dyDescent="0.25">
      <c r="B188" s="30">
        <v>172</v>
      </c>
      <c r="C188" s="31">
        <f t="shared" si="28"/>
        <v>50428</v>
      </c>
      <c r="D188" s="27">
        <f t="shared" si="20"/>
        <v>7514.9128616125881</v>
      </c>
      <c r="E188" s="27"/>
      <c r="F188" s="27">
        <f t="shared" si="21"/>
        <v>3732.6722099418298</v>
      </c>
      <c r="G188" s="27">
        <f t="shared" si="22"/>
        <v>3782.2406516707583</v>
      </c>
      <c r="H188" s="27">
        <f t="shared" si="23"/>
        <v>369484.98034251219</v>
      </c>
      <c r="J188" s="30">
        <v>172</v>
      </c>
      <c r="K188" s="31">
        <f t="shared" si="29"/>
        <v>50308</v>
      </c>
      <c r="L188" s="27">
        <f t="shared" si="24"/>
        <v>4607.2507429661937</v>
      </c>
      <c r="M188" s="27"/>
      <c r="N188" s="27">
        <f t="shared" si="25"/>
        <v>3647.2703521741241</v>
      </c>
      <c r="O188" s="27">
        <f t="shared" si="26"/>
        <v>959.98039079206956</v>
      </c>
      <c r="P188" s="27">
        <f t="shared" si="27"/>
        <v>436712.46187010285</v>
      </c>
    </row>
    <row r="189" spans="2:16" x14ac:dyDescent="0.25">
      <c r="B189" s="30">
        <v>173</v>
      </c>
      <c r="C189" s="31">
        <f t="shared" si="28"/>
        <v>50459</v>
      </c>
      <c r="D189" s="27">
        <f t="shared" si="20"/>
        <v>7514.9128616125881</v>
      </c>
      <c r="E189" s="27"/>
      <c r="F189" s="27">
        <f t="shared" si="21"/>
        <v>3694.849803425122</v>
      </c>
      <c r="G189" s="27">
        <f t="shared" si="22"/>
        <v>3820.0630581874661</v>
      </c>
      <c r="H189" s="27">
        <f t="shared" si="23"/>
        <v>365664.91728432471</v>
      </c>
      <c r="J189" s="30">
        <v>173</v>
      </c>
      <c r="K189" s="31">
        <f t="shared" si="29"/>
        <v>50338</v>
      </c>
      <c r="L189" s="27">
        <f t="shared" si="24"/>
        <v>4607.2507429661937</v>
      </c>
      <c r="M189" s="27"/>
      <c r="N189" s="27">
        <f t="shared" si="25"/>
        <v>3639.2705155841904</v>
      </c>
      <c r="O189" s="27">
        <f t="shared" si="26"/>
        <v>967.98022738200325</v>
      </c>
      <c r="P189" s="27">
        <f t="shared" si="27"/>
        <v>435744.48164272087</v>
      </c>
    </row>
    <row r="190" spans="2:16" x14ac:dyDescent="0.25">
      <c r="B190" s="30">
        <v>174</v>
      </c>
      <c r="C190" s="31">
        <f t="shared" si="28"/>
        <v>50487</v>
      </c>
      <c r="D190" s="27">
        <f t="shared" si="20"/>
        <v>7514.9128616125881</v>
      </c>
      <c r="E190" s="27"/>
      <c r="F190" s="27">
        <f t="shared" si="21"/>
        <v>3656.649172843247</v>
      </c>
      <c r="G190" s="27">
        <f t="shared" si="22"/>
        <v>3858.2636887693411</v>
      </c>
      <c r="H190" s="27">
        <f t="shared" si="23"/>
        <v>361806.65359555534</v>
      </c>
      <c r="J190" s="30">
        <v>174</v>
      </c>
      <c r="K190" s="31">
        <f t="shared" si="29"/>
        <v>50369</v>
      </c>
      <c r="L190" s="27">
        <f t="shared" si="24"/>
        <v>4607.2507429661937</v>
      </c>
      <c r="M190" s="27"/>
      <c r="N190" s="27">
        <f t="shared" si="25"/>
        <v>3631.2040136893406</v>
      </c>
      <c r="O190" s="27">
        <f t="shared" si="26"/>
        <v>976.04672927685306</v>
      </c>
      <c r="P190" s="27">
        <f t="shared" si="27"/>
        <v>434768.43491344404</v>
      </c>
    </row>
    <row r="191" spans="2:16" x14ac:dyDescent="0.25">
      <c r="B191" s="30">
        <v>175</v>
      </c>
      <c r="C191" s="31">
        <f t="shared" si="28"/>
        <v>50518</v>
      </c>
      <c r="D191" s="27">
        <f t="shared" si="20"/>
        <v>7514.9128616125881</v>
      </c>
      <c r="E191" s="27"/>
      <c r="F191" s="27">
        <f t="shared" si="21"/>
        <v>3618.0665359555533</v>
      </c>
      <c r="G191" s="27">
        <f t="shared" si="22"/>
        <v>3896.8463256570349</v>
      </c>
      <c r="H191" s="27">
        <f t="shared" si="23"/>
        <v>357909.8072698983</v>
      </c>
      <c r="J191" s="30">
        <v>175</v>
      </c>
      <c r="K191" s="31">
        <f t="shared" si="29"/>
        <v>50399</v>
      </c>
      <c r="L191" s="27">
        <f t="shared" si="24"/>
        <v>4607.2507429661937</v>
      </c>
      <c r="M191" s="27"/>
      <c r="N191" s="27">
        <f t="shared" si="25"/>
        <v>3623.0702909453671</v>
      </c>
      <c r="O191" s="27">
        <f t="shared" si="26"/>
        <v>984.18045202082658</v>
      </c>
      <c r="P191" s="27">
        <f t="shared" si="27"/>
        <v>433784.2544614232</v>
      </c>
    </row>
    <row r="192" spans="2:16" x14ac:dyDescent="0.25">
      <c r="B192" s="30">
        <v>176</v>
      </c>
      <c r="C192" s="31">
        <f t="shared" si="28"/>
        <v>50548</v>
      </c>
      <c r="D192" s="27">
        <f t="shared" si="20"/>
        <v>7514.9128616125881</v>
      </c>
      <c r="E192" s="27"/>
      <c r="F192" s="27">
        <f t="shared" si="21"/>
        <v>3579.0980726989833</v>
      </c>
      <c r="G192" s="27">
        <f t="shared" si="22"/>
        <v>3935.8147889136048</v>
      </c>
      <c r="H192" s="27">
        <f t="shared" si="23"/>
        <v>353973.99248098471</v>
      </c>
      <c r="J192" s="30">
        <v>176</v>
      </c>
      <c r="K192" s="31">
        <f t="shared" si="29"/>
        <v>50430</v>
      </c>
      <c r="L192" s="27">
        <f t="shared" si="24"/>
        <v>4607.2507429661937</v>
      </c>
      <c r="M192" s="27"/>
      <c r="N192" s="27">
        <f t="shared" si="25"/>
        <v>3614.8687871785264</v>
      </c>
      <c r="O192" s="27">
        <f t="shared" si="26"/>
        <v>992.38195578766727</v>
      </c>
      <c r="P192" s="27">
        <f t="shared" si="27"/>
        <v>432791.87250563555</v>
      </c>
    </row>
    <row r="193" spans="2:16" x14ac:dyDescent="0.25">
      <c r="B193" s="30">
        <v>177</v>
      </c>
      <c r="C193" s="31">
        <f t="shared" si="28"/>
        <v>50579</v>
      </c>
      <c r="D193" s="27">
        <f t="shared" si="20"/>
        <v>7514.9128616125881</v>
      </c>
      <c r="E193" s="27"/>
      <c r="F193" s="27">
        <f t="shared" si="21"/>
        <v>3539.7399248098473</v>
      </c>
      <c r="G193" s="27">
        <f t="shared" si="22"/>
        <v>3975.1729368027409</v>
      </c>
      <c r="H193" s="27">
        <f t="shared" si="23"/>
        <v>349998.81954418198</v>
      </c>
      <c r="J193" s="30">
        <v>177</v>
      </c>
      <c r="K193" s="31">
        <f t="shared" si="29"/>
        <v>50461</v>
      </c>
      <c r="L193" s="27">
        <f t="shared" si="24"/>
        <v>4607.2507429661937</v>
      </c>
      <c r="M193" s="27"/>
      <c r="N193" s="27">
        <f t="shared" si="25"/>
        <v>3606.598937546963</v>
      </c>
      <c r="O193" s="27">
        <f t="shared" si="26"/>
        <v>1000.6518054192306</v>
      </c>
      <c r="P193" s="27">
        <f t="shared" si="27"/>
        <v>431791.2207002163</v>
      </c>
    </row>
    <row r="194" spans="2:16" x14ac:dyDescent="0.25">
      <c r="B194" s="30">
        <v>178</v>
      </c>
      <c r="C194" s="31">
        <f t="shared" si="28"/>
        <v>50609</v>
      </c>
      <c r="D194" s="27">
        <f t="shared" si="20"/>
        <v>7514.9128616125881</v>
      </c>
      <c r="E194" s="27"/>
      <c r="F194" s="27">
        <f t="shared" si="21"/>
        <v>3499.9881954418197</v>
      </c>
      <c r="G194" s="27">
        <f t="shared" si="22"/>
        <v>4014.9246661707684</v>
      </c>
      <c r="H194" s="27">
        <f t="shared" si="23"/>
        <v>345983.8948780112</v>
      </c>
      <c r="J194" s="30">
        <v>178</v>
      </c>
      <c r="K194" s="31">
        <f t="shared" si="29"/>
        <v>50489</v>
      </c>
      <c r="L194" s="27">
        <f t="shared" si="24"/>
        <v>4607.2507429661937</v>
      </c>
      <c r="M194" s="27"/>
      <c r="N194" s="27">
        <f t="shared" si="25"/>
        <v>3598.2601725018026</v>
      </c>
      <c r="O194" s="27">
        <f t="shared" si="26"/>
        <v>1008.9905704643911</v>
      </c>
      <c r="P194" s="27">
        <f t="shared" si="27"/>
        <v>430782.2301297519</v>
      </c>
    </row>
    <row r="195" spans="2:16" x14ac:dyDescent="0.25">
      <c r="B195" s="30">
        <v>179</v>
      </c>
      <c r="C195" s="31">
        <f t="shared" si="28"/>
        <v>50640</v>
      </c>
      <c r="D195" s="27">
        <f t="shared" si="20"/>
        <v>7514.9128616125881</v>
      </c>
      <c r="E195" s="27"/>
      <c r="F195" s="27">
        <f t="shared" si="21"/>
        <v>3459.8389487801119</v>
      </c>
      <c r="G195" s="27">
        <f t="shared" si="22"/>
        <v>4055.0739128324763</v>
      </c>
      <c r="H195" s="27">
        <f t="shared" si="23"/>
        <v>341928.82096517872</v>
      </c>
      <c r="J195" s="30">
        <v>179</v>
      </c>
      <c r="K195" s="31">
        <f t="shared" si="29"/>
        <v>50520</v>
      </c>
      <c r="L195" s="27">
        <f t="shared" si="24"/>
        <v>4607.2507429661937</v>
      </c>
      <c r="M195" s="27"/>
      <c r="N195" s="27">
        <f t="shared" si="25"/>
        <v>3589.8519177479325</v>
      </c>
      <c r="O195" s="27">
        <f t="shared" si="26"/>
        <v>1017.3988252182612</v>
      </c>
      <c r="P195" s="27">
        <f t="shared" si="27"/>
        <v>429764.83130453364</v>
      </c>
    </row>
    <row r="196" spans="2:16" x14ac:dyDescent="0.25">
      <c r="B196" s="30">
        <v>180</v>
      </c>
      <c r="C196" s="31">
        <f t="shared" si="28"/>
        <v>50671</v>
      </c>
      <c r="D196" s="27">
        <f t="shared" si="20"/>
        <v>7514.9128616125881</v>
      </c>
      <c r="E196" s="27"/>
      <c r="F196" s="27">
        <f t="shared" si="21"/>
        <v>3419.2882096517874</v>
      </c>
      <c r="G196" s="27">
        <f t="shared" si="22"/>
        <v>4095.6246519608007</v>
      </c>
      <c r="H196" s="27">
        <f t="shared" si="23"/>
        <v>337833.19631321792</v>
      </c>
      <c r="J196" s="30">
        <v>180</v>
      </c>
      <c r="K196" s="31">
        <f t="shared" si="29"/>
        <v>50550</v>
      </c>
      <c r="L196" s="27">
        <f t="shared" si="24"/>
        <v>4607.2507429661937</v>
      </c>
      <c r="M196" s="27"/>
      <c r="N196" s="27">
        <f t="shared" si="25"/>
        <v>3581.3735942044468</v>
      </c>
      <c r="O196" s="27">
        <f t="shared" si="26"/>
        <v>1025.8771487617469</v>
      </c>
      <c r="P196" s="27">
        <f t="shared" si="27"/>
        <v>428738.95415577188</v>
      </c>
    </row>
    <row r="197" spans="2:16" x14ac:dyDescent="0.25">
      <c r="B197" s="30">
        <v>181</v>
      </c>
      <c r="C197" s="31">
        <f t="shared" si="28"/>
        <v>50701</v>
      </c>
      <c r="D197" s="27">
        <f t="shared" si="20"/>
        <v>7514.9128616125881</v>
      </c>
      <c r="E197" s="27"/>
      <c r="F197" s="27">
        <f t="shared" si="21"/>
        <v>3378.3319631321792</v>
      </c>
      <c r="G197" s="27">
        <f t="shared" si="22"/>
        <v>4136.5808984804089</v>
      </c>
      <c r="H197" s="27">
        <f t="shared" si="23"/>
        <v>333696.61541473749</v>
      </c>
      <c r="J197" s="30">
        <v>181</v>
      </c>
      <c r="K197" s="31">
        <f t="shared" si="29"/>
        <v>50581</v>
      </c>
      <c r="L197" s="27">
        <f t="shared" si="24"/>
        <v>4607.2507429661937</v>
      </c>
      <c r="M197" s="27"/>
      <c r="N197" s="27">
        <f t="shared" si="25"/>
        <v>3572.8246179647654</v>
      </c>
      <c r="O197" s="27">
        <f t="shared" si="26"/>
        <v>1034.4261250014283</v>
      </c>
      <c r="P197" s="27">
        <f t="shared" si="27"/>
        <v>427704.52803077042</v>
      </c>
    </row>
    <row r="198" spans="2:16" x14ac:dyDescent="0.25">
      <c r="B198" s="30">
        <v>182</v>
      </c>
      <c r="C198" s="31">
        <f t="shared" si="28"/>
        <v>50732</v>
      </c>
      <c r="D198" s="27">
        <f t="shared" si="20"/>
        <v>7514.9128616125881</v>
      </c>
      <c r="E198" s="27"/>
      <c r="F198" s="27">
        <f t="shared" si="21"/>
        <v>3336.9661541473752</v>
      </c>
      <c r="G198" s="27">
        <f t="shared" si="22"/>
        <v>4177.946707465213</v>
      </c>
      <c r="H198" s="27">
        <f t="shared" si="23"/>
        <v>329518.66870727227</v>
      </c>
      <c r="J198" s="30">
        <v>182</v>
      </c>
      <c r="K198" s="31">
        <f t="shared" si="29"/>
        <v>50611</v>
      </c>
      <c r="L198" s="27">
        <f t="shared" si="24"/>
        <v>4607.2507429661937</v>
      </c>
      <c r="M198" s="27"/>
      <c r="N198" s="27">
        <f t="shared" si="25"/>
        <v>3564.2044002564203</v>
      </c>
      <c r="O198" s="27">
        <f t="shared" si="26"/>
        <v>1043.0463427097734</v>
      </c>
      <c r="P198" s="27">
        <f t="shared" si="27"/>
        <v>426661.48168806062</v>
      </c>
    </row>
    <row r="199" spans="2:16" x14ac:dyDescent="0.25">
      <c r="B199" s="30">
        <v>183</v>
      </c>
      <c r="C199" s="31">
        <f t="shared" si="28"/>
        <v>50762</v>
      </c>
      <c r="D199" s="27">
        <f t="shared" si="20"/>
        <v>7514.9128616125881</v>
      </c>
      <c r="E199" s="27"/>
      <c r="F199" s="27">
        <f t="shared" si="21"/>
        <v>3295.1866870727226</v>
      </c>
      <c r="G199" s="27">
        <f t="shared" si="22"/>
        <v>4219.7261745398655</v>
      </c>
      <c r="H199" s="27">
        <f t="shared" si="23"/>
        <v>325298.94253273238</v>
      </c>
      <c r="J199" s="30">
        <v>183</v>
      </c>
      <c r="K199" s="31">
        <f t="shared" si="29"/>
        <v>50642</v>
      </c>
      <c r="L199" s="27">
        <f t="shared" si="24"/>
        <v>4607.2507429661937</v>
      </c>
      <c r="M199" s="27"/>
      <c r="N199" s="27">
        <f t="shared" si="25"/>
        <v>3555.512347400505</v>
      </c>
      <c r="O199" s="27">
        <f t="shared" si="26"/>
        <v>1051.7383955656887</v>
      </c>
      <c r="P199" s="27">
        <f t="shared" si="27"/>
        <v>425609.74329249491</v>
      </c>
    </row>
    <row r="200" spans="2:16" x14ac:dyDescent="0.25">
      <c r="B200" s="30">
        <v>184</v>
      </c>
      <c r="C200" s="31">
        <f t="shared" si="28"/>
        <v>50793</v>
      </c>
      <c r="D200" s="27">
        <f t="shared" si="20"/>
        <v>7514.9128616125881</v>
      </c>
      <c r="E200" s="27"/>
      <c r="F200" s="27">
        <f t="shared" si="21"/>
        <v>3252.9894253273237</v>
      </c>
      <c r="G200" s="27">
        <f t="shared" si="22"/>
        <v>4261.923436285264</v>
      </c>
      <c r="H200" s="27">
        <f t="shared" si="23"/>
        <v>321037.0190964471</v>
      </c>
      <c r="J200" s="30">
        <v>184</v>
      </c>
      <c r="K200" s="31">
        <f t="shared" si="29"/>
        <v>50673</v>
      </c>
      <c r="L200" s="27">
        <f t="shared" si="24"/>
        <v>4607.2507429661937</v>
      </c>
      <c r="M200" s="27"/>
      <c r="N200" s="27">
        <f t="shared" si="25"/>
        <v>3546.7478607707908</v>
      </c>
      <c r="O200" s="27">
        <f t="shared" si="26"/>
        <v>1060.5028821954029</v>
      </c>
      <c r="P200" s="27">
        <f t="shared" si="27"/>
        <v>424549.24041029951</v>
      </c>
    </row>
    <row r="201" spans="2:16" x14ac:dyDescent="0.25">
      <c r="B201" s="30">
        <v>185</v>
      </c>
      <c r="C201" s="31">
        <f t="shared" si="28"/>
        <v>50824</v>
      </c>
      <c r="D201" s="27">
        <f t="shared" si="20"/>
        <v>7514.9128616125881</v>
      </c>
      <c r="E201" s="27"/>
      <c r="F201" s="27">
        <f t="shared" si="21"/>
        <v>3210.370190964471</v>
      </c>
      <c r="G201" s="27">
        <f t="shared" si="22"/>
        <v>4304.5426706481176</v>
      </c>
      <c r="H201" s="27">
        <f t="shared" si="23"/>
        <v>316732.47642579896</v>
      </c>
      <c r="J201" s="30">
        <v>185</v>
      </c>
      <c r="K201" s="31">
        <f t="shared" si="29"/>
        <v>50703</v>
      </c>
      <c r="L201" s="27">
        <f t="shared" si="24"/>
        <v>4607.2507429661937</v>
      </c>
      <c r="M201" s="27"/>
      <c r="N201" s="27">
        <f t="shared" si="25"/>
        <v>3537.9103367524958</v>
      </c>
      <c r="O201" s="27">
        <f t="shared" si="26"/>
        <v>1069.3404062136979</v>
      </c>
      <c r="P201" s="27">
        <f t="shared" si="27"/>
        <v>423479.90000408579</v>
      </c>
    </row>
    <row r="202" spans="2:16" x14ac:dyDescent="0.25">
      <c r="B202" s="30">
        <v>186</v>
      </c>
      <c r="C202" s="31">
        <f t="shared" si="28"/>
        <v>50852</v>
      </c>
      <c r="D202" s="27">
        <f t="shared" si="20"/>
        <v>7514.9128616125881</v>
      </c>
      <c r="E202" s="27"/>
      <c r="F202" s="27">
        <f t="shared" si="21"/>
        <v>3167.3247642579895</v>
      </c>
      <c r="G202" s="27">
        <f t="shared" si="22"/>
        <v>4347.5880973545991</v>
      </c>
      <c r="H202" s="27">
        <f t="shared" si="23"/>
        <v>312384.88832844439</v>
      </c>
      <c r="J202" s="30">
        <v>186</v>
      </c>
      <c r="K202" s="31">
        <f t="shared" si="29"/>
        <v>50734</v>
      </c>
      <c r="L202" s="27">
        <f t="shared" si="24"/>
        <v>4607.2507429661937</v>
      </c>
      <c r="M202" s="27"/>
      <c r="N202" s="27">
        <f t="shared" si="25"/>
        <v>3528.9991667007148</v>
      </c>
      <c r="O202" s="27">
        <f t="shared" si="26"/>
        <v>1078.2515762654789</v>
      </c>
      <c r="P202" s="27">
        <f t="shared" si="27"/>
        <v>422401.6484278203</v>
      </c>
    </row>
    <row r="203" spans="2:16" x14ac:dyDescent="0.25">
      <c r="B203" s="30">
        <v>187</v>
      </c>
      <c r="C203" s="31">
        <f t="shared" si="28"/>
        <v>50883</v>
      </c>
      <c r="D203" s="27">
        <f t="shared" si="20"/>
        <v>7514.9128616125881</v>
      </c>
      <c r="E203" s="27"/>
      <c r="F203" s="27">
        <f t="shared" si="21"/>
        <v>3123.8488832844441</v>
      </c>
      <c r="G203" s="27">
        <f t="shared" si="22"/>
        <v>4391.063978328144</v>
      </c>
      <c r="H203" s="27">
        <f t="shared" si="23"/>
        <v>307993.82435011625</v>
      </c>
      <c r="J203" s="30">
        <v>187</v>
      </c>
      <c r="K203" s="31">
        <f t="shared" si="29"/>
        <v>50764</v>
      </c>
      <c r="L203" s="27">
        <f t="shared" si="24"/>
        <v>4607.2507429661937</v>
      </c>
      <c r="M203" s="27"/>
      <c r="N203" s="27">
        <f t="shared" si="25"/>
        <v>3520.0137368985024</v>
      </c>
      <c r="O203" s="27">
        <f t="shared" si="26"/>
        <v>1087.2370060676913</v>
      </c>
      <c r="P203" s="27">
        <f t="shared" si="27"/>
        <v>421314.41142175259</v>
      </c>
    </row>
    <row r="204" spans="2:16" x14ac:dyDescent="0.25">
      <c r="B204" s="30">
        <v>188</v>
      </c>
      <c r="C204" s="31">
        <f t="shared" si="28"/>
        <v>50913</v>
      </c>
      <c r="D204" s="27">
        <f t="shared" si="20"/>
        <v>7514.9128616125881</v>
      </c>
      <c r="E204" s="27"/>
      <c r="F204" s="27">
        <f t="shared" si="21"/>
        <v>3079.9382435011626</v>
      </c>
      <c r="G204" s="27">
        <f t="shared" si="22"/>
        <v>4434.974618111426</v>
      </c>
      <c r="H204" s="27">
        <f t="shared" si="23"/>
        <v>303558.8497320048</v>
      </c>
      <c r="J204" s="30">
        <v>188</v>
      </c>
      <c r="K204" s="31">
        <f t="shared" si="29"/>
        <v>50795</v>
      </c>
      <c r="L204" s="27">
        <f t="shared" si="24"/>
        <v>4607.2507429661937</v>
      </c>
      <c r="M204" s="27"/>
      <c r="N204" s="27">
        <f t="shared" si="25"/>
        <v>3510.9534285146051</v>
      </c>
      <c r="O204" s="27">
        <f t="shared" si="26"/>
        <v>1096.2973144515886</v>
      </c>
      <c r="P204" s="27">
        <f t="shared" si="27"/>
        <v>420218.11410730099</v>
      </c>
    </row>
    <row r="205" spans="2:16" x14ac:dyDescent="0.25">
      <c r="B205" s="30">
        <v>189</v>
      </c>
      <c r="C205" s="31">
        <f t="shared" si="28"/>
        <v>50944</v>
      </c>
      <c r="D205" s="27">
        <f t="shared" si="20"/>
        <v>7514.9128616125881</v>
      </c>
      <c r="E205" s="27"/>
      <c r="F205" s="27">
        <f t="shared" si="21"/>
        <v>3035.5884973200482</v>
      </c>
      <c r="G205" s="27">
        <f t="shared" si="22"/>
        <v>4479.3243642925399</v>
      </c>
      <c r="H205" s="27">
        <f t="shared" si="23"/>
        <v>299079.52536771225</v>
      </c>
      <c r="J205" s="30">
        <v>189</v>
      </c>
      <c r="K205" s="31">
        <f t="shared" si="29"/>
        <v>50826</v>
      </c>
      <c r="L205" s="27">
        <f t="shared" si="24"/>
        <v>4607.2507429661937</v>
      </c>
      <c r="M205" s="27"/>
      <c r="N205" s="27">
        <f t="shared" si="25"/>
        <v>3501.8176175608414</v>
      </c>
      <c r="O205" s="27">
        <f t="shared" si="26"/>
        <v>1105.4331254053523</v>
      </c>
      <c r="P205" s="27">
        <f t="shared" si="27"/>
        <v>419112.68098189565</v>
      </c>
    </row>
    <row r="206" spans="2:16" x14ac:dyDescent="0.25">
      <c r="B206" s="30">
        <v>190</v>
      </c>
      <c r="C206" s="31">
        <f t="shared" si="28"/>
        <v>50974</v>
      </c>
      <c r="D206" s="27">
        <f t="shared" si="20"/>
        <v>7514.9128616125881</v>
      </c>
      <c r="E206" s="27"/>
      <c r="F206" s="27">
        <f t="shared" si="21"/>
        <v>2990.7952536771227</v>
      </c>
      <c r="G206" s="27">
        <f t="shared" si="22"/>
        <v>4524.1176079354655</v>
      </c>
      <c r="H206" s="27">
        <f t="shared" si="23"/>
        <v>294555.4077597768</v>
      </c>
      <c r="J206" s="30">
        <v>190</v>
      </c>
      <c r="K206" s="31">
        <f t="shared" si="29"/>
        <v>50854</v>
      </c>
      <c r="L206" s="27">
        <f t="shared" si="24"/>
        <v>4607.2507429661937</v>
      </c>
      <c r="M206" s="27"/>
      <c r="N206" s="27">
        <f t="shared" si="25"/>
        <v>3492.6056748491305</v>
      </c>
      <c r="O206" s="27">
        <f t="shared" si="26"/>
        <v>1114.6450681170631</v>
      </c>
      <c r="P206" s="27">
        <f t="shared" si="27"/>
        <v>417998.03591377859</v>
      </c>
    </row>
    <row r="207" spans="2:16" x14ac:dyDescent="0.25">
      <c r="B207" s="30">
        <v>191</v>
      </c>
      <c r="C207" s="31">
        <f t="shared" si="28"/>
        <v>51005</v>
      </c>
      <c r="D207" s="27">
        <f t="shared" si="20"/>
        <v>7514.9128616125881</v>
      </c>
      <c r="E207" s="27"/>
      <c r="F207" s="27">
        <f t="shared" si="21"/>
        <v>2945.5540775977679</v>
      </c>
      <c r="G207" s="27">
        <f t="shared" si="22"/>
        <v>4569.3587840148202</v>
      </c>
      <c r="H207" s="27">
        <f t="shared" si="23"/>
        <v>289986.04897576198</v>
      </c>
      <c r="J207" s="30">
        <v>191</v>
      </c>
      <c r="K207" s="31">
        <f t="shared" si="29"/>
        <v>50885</v>
      </c>
      <c r="L207" s="27">
        <f t="shared" si="24"/>
        <v>4607.2507429661937</v>
      </c>
      <c r="M207" s="27"/>
      <c r="N207" s="27">
        <f t="shared" si="25"/>
        <v>3483.316965948155</v>
      </c>
      <c r="O207" s="27">
        <f t="shared" si="26"/>
        <v>1123.9337770180387</v>
      </c>
      <c r="P207" s="27">
        <f t="shared" si="27"/>
        <v>416874.10213676054</v>
      </c>
    </row>
    <row r="208" spans="2:16" x14ac:dyDescent="0.25">
      <c r="B208" s="30">
        <v>192</v>
      </c>
      <c r="C208" s="31">
        <f t="shared" si="28"/>
        <v>51036</v>
      </c>
      <c r="D208" s="27">
        <f t="shared" si="20"/>
        <v>7514.9128616125881</v>
      </c>
      <c r="E208" s="27"/>
      <c r="F208" s="27">
        <f t="shared" si="21"/>
        <v>2899.8604897576197</v>
      </c>
      <c r="G208" s="27">
        <f t="shared" si="22"/>
        <v>4615.0523718549684</v>
      </c>
      <c r="H208" s="27">
        <f t="shared" si="23"/>
        <v>285370.99660390703</v>
      </c>
      <c r="J208" s="30">
        <v>192</v>
      </c>
      <c r="K208" s="31">
        <f t="shared" si="29"/>
        <v>50915</v>
      </c>
      <c r="L208" s="27">
        <f t="shared" si="24"/>
        <v>4607.2507429661937</v>
      </c>
      <c r="M208" s="27"/>
      <c r="N208" s="27">
        <f t="shared" si="25"/>
        <v>3473.9508511396712</v>
      </c>
      <c r="O208" s="27">
        <f t="shared" si="26"/>
        <v>1133.2998918265225</v>
      </c>
      <c r="P208" s="27">
        <f t="shared" si="27"/>
        <v>415740.80224493402</v>
      </c>
    </row>
    <row r="209" spans="2:16" x14ac:dyDescent="0.25">
      <c r="B209" s="30">
        <v>193</v>
      </c>
      <c r="C209" s="31">
        <f t="shared" si="28"/>
        <v>51066</v>
      </c>
      <c r="D209" s="27">
        <f t="shared" si="20"/>
        <v>7514.9128616125881</v>
      </c>
      <c r="E209" s="27"/>
      <c r="F209" s="27">
        <f t="shared" si="21"/>
        <v>2853.7099660390704</v>
      </c>
      <c r="G209" s="27">
        <f t="shared" si="22"/>
        <v>4661.2028955735177</v>
      </c>
      <c r="H209" s="27">
        <f t="shared" si="23"/>
        <v>280709.79370833351</v>
      </c>
      <c r="J209" s="30">
        <v>193</v>
      </c>
      <c r="K209" s="31">
        <f t="shared" si="29"/>
        <v>50946</v>
      </c>
      <c r="L209" s="27">
        <f t="shared" si="24"/>
        <v>4607.2507429661937</v>
      </c>
      <c r="M209" s="27"/>
      <c r="N209" s="27">
        <f t="shared" si="25"/>
        <v>3464.5066853744502</v>
      </c>
      <c r="O209" s="27">
        <f t="shared" si="26"/>
        <v>1142.7440575917435</v>
      </c>
      <c r="P209" s="27">
        <f t="shared" si="27"/>
        <v>414598.05818734225</v>
      </c>
    </row>
    <row r="210" spans="2:16" x14ac:dyDescent="0.25">
      <c r="B210" s="30">
        <v>194</v>
      </c>
      <c r="C210" s="31">
        <f t="shared" si="28"/>
        <v>51097</v>
      </c>
      <c r="D210" s="27">
        <f t="shared" ref="D210:D257" si="30">IF(H209+F210&lt;$D$13,H209+F210,$D$13)</f>
        <v>7514.9128616125881</v>
      </c>
      <c r="E210" s="27"/>
      <c r="F210" s="27">
        <f t="shared" ref="F210:F257" si="31">H209*$H$5</f>
        <v>2807.0979370833352</v>
      </c>
      <c r="G210" s="27">
        <f t="shared" ref="G210:G257" si="32">D210-F210+E210</f>
        <v>4707.8149245292534</v>
      </c>
      <c r="H210" s="27">
        <f t="shared" ref="H210:H257" si="33">H209-G210</f>
        <v>276001.97878380428</v>
      </c>
      <c r="J210" s="30">
        <v>194</v>
      </c>
      <c r="K210" s="31">
        <f t="shared" si="29"/>
        <v>50976</v>
      </c>
      <c r="L210" s="27">
        <f t="shared" ref="L210:L273" si="34">IF(P209+N210&lt;$L$13,P209+N210,$L$13)</f>
        <v>4607.2507429661937</v>
      </c>
      <c r="M210" s="27"/>
      <c r="N210" s="27">
        <f t="shared" ref="N210:N273" si="35">P209*$P$5</f>
        <v>3454.9838182278522</v>
      </c>
      <c r="O210" s="27">
        <f t="shared" ref="O210:O273" si="36">L210-N210+M210</f>
        <v>1152.2669247383415</v>
      </c>
      <c r="P210" s="27">
        <f t="shared" ref="P210:P273" si="37">P209-O210</f>
        <v>413445.79126260389</v>
      </c>
    </row>
    <row r="211" spans="2:16" x14ac:dyDescent="0.25">
      <c r="B211" s="30">
        <v>195</v>
      </c>
      <c r="C211" s="31">
        <f t="shared" ref="C211:C257" si="38">IF(H210&lt;=0,"",EDATE(C210,IF($D$8="Monthly",1,12)))</f>
        <v>51127</v>
      </c>
      <c r="D211" s="27">
        <f t="shared" si="30"/>
        <v>7514.9128616125881</v>
      </c>
      <c r="E211" s="27"/>
      <c r="F211" s="27">
        <f t="shared" si="31"/>
        <v>2760.0197878380427</v>
      </c>
      <c r="G211" s="27">
        <f t="shared" si="32"/>
        <v>4754.893073774545</v>
      </c>
      <c r="H211" s="27">
        <f t="shared" si="33"/>
        <v>271247.08571002976</v>
      </c>
      <c r="J211" s="30">
        <v>195</v>
      </c>
      <c r="K211" s="31">
        <f t="shared" ref="K211:K274" si="39">IF(P210&lt;=0,"",EDATE(K210,IF($L$8="Monthly",1,12)))</f>
        <v>51007</v>
      </c>
      <c r="L211" s="27">
        <f t="shared" si="34"/>
        <v>4607.2507429661937</v>
      </c>
      <c r="M211" s="27"/>
      <c r="N211" s="27">
        <f t="shared" si="35"/>
        <v>3445.3815938550324</v>
      </c>
      <c r="O211" s="27">
        <f t="shared" si="36"/>
        <v>1161.8691491111613</v>
      </c>
      <c r="P211" s="27">
        <f t="shared" si="37"/>
        <v>412283.92211349274</v>
      </c>
    </row>
    <row r="212" spans="2:16" x14ac:dyDescent="0.25">
      <c r="B212" s="30">
        <v>196</v>
      </c>
      <c r="C212" s="31">
        <f t="shared" si="38"/>
        <v>51158</v>
      </c>
      <c r="D212" s="27">
        <f t="shared" si="30"/>
        <v>7514.9128616125881</v>
      </c>
      <c r="E212" s="27"/>
      <c r="F212" s="27">
        <f t="shared" si="31"/>
        <v>2712.4708571002975</v>
      </c>
      <c r="G212" s="27">
        <f t="shared" si="32"/>
        <v>4802.4420045122906</v>
      </c>
      <c r="H212" s="27">
        <f t="shared" si="33"/>
        <v>266444.64370551746</v>
      </c>
      <c r="J212" s="30">
        <v>196</v>
      </c>
      <c r="K212" s="31">
        <f t="shared" si="39"/>
        <v>51038</v>
      </c>
      <c r="L212" s="27">
        <f t="shared" si="34"/>
        <v>4607.2507429661937</v>
      </c>
      <c r="M212" s="27"/>
      <c r="N212" s="27">
        <f t="shared" si="35"/>
        <v>3435.6993509457729</v>
      </c>
      <c r="O212" s="27">
        <f t="shared" si="36"/>
        <v>1171.5513920204207</v>
      </c>
      <c r="P212" s="27">
        <f t="shared" si="37"/>
        <v>411112.37072147231</v>
      </c>
    </row>
    <row r="213" spans="2:16" x14ac:dyDescent="0.25">
      <c r="B213" s="30">
        <v>197</v>
      </c>
      <c r="C213" s="31">
        <f t="shared" si="38"/>
        <v>51189</v>
      </c>
      <c r="D213" s="27">
        <f t="shared" si="30"/>
        <v>7514.9128616125881</v>
      </c>
      <c r="E213" s="27"/>
      <c r="F213" s="27">
        <f t="shared" si="31"/>
        <v>2664.4464370551746</v>
      </c>
      <c r="G213" s="27">
        <f t="shared" si="32"/>
        <v>4850.4664245574131</v>
      </c>
      <c r="H213" s="27">
        <f t="shared" si="33"/>
        <v>261594.17728096005</v>
      </c>
      <c r="J213" s="30">
        <v>197</v>
      </c>
      <c r="K213" s="31">
        <f t="shared" si="39"/>
        <v>51068</v>
      </c>
      <c r="L213" s="27">
        <f t="shared" si="34"/>
        <v>4607.2507429661937</v>
      </c>
      <c r="M213" s="27"/>
      <c r="N213" s="27">
        <f t="shared" si="35"/>
        <v>3425.9364226789357</v>
      </c>
      <c r="O213" s="27">
        <f t="shared" si="36"/>
        <v>1181.3143202872579</v>
      </c>
      <c r="P213" s="27">
        <f t="shared" si="37"/>
        <v>409931.05640118505</v>
      </c>
    </row>
    <row r="214" spans="2:16" x14ac:dyDescent="0.25">
      <c r="B214" s="30">
        <v>198</v>
      </c>
      <c r="C214" s="31">
        <f t="shared" si="38"/>
        <v>51218</v>
      </c>
      <c r="D214" s="27">
        <f t="shared" si="30"/>
        <v>7514.9128616125881</v>
      </c>
      <c r="E214" s="27"/>
      <c r="F214" s="27">
        <f t="shared" si="31"/>
        <v>2615.9417728096005</v>
      </c>
      <c r="G214" s="27">
        <f t="shared" si="32"/>
        <v>4898.9710888029877</v>
      </c>
      <c r="H214" s="27">
        <f t="shared" si="33"/>
        <v>256695.20619215706</v>
      </c>
      <c r="J214" s="30">
        <v>198</v>
      </c>
      <c r="K214" s="31">
        <f t="shared" si="39"/>
        <v>51099</v>
      </c>
      <c r="L214" s="27">
        <f t="shared" si="34"/>
        <v>4607.2507429661937</v>
      </c>
      <c r="M214" s="27"/>
      <c r="N214" s="27">
        <f t="shared" si="35"/>
        <v>3416.0921366765419</v>
      </c>
      <c r="O214" s="27">
        <f t="shared" si="36"/>
        <v>1191.1586062896517</v>
      </c>
      <c r="P214" s="27">
        <f t="shared" si="37"/>
        <v>408739.8977948954</v>
      </c>
    </row>
    <row r="215" spans="2:16" x14ac:dyDescent="0.25">
      <c r="B215" s="30">
        <v>199</v>
      </c>
      <c r="C215" s="31">
        <f t="shared" si="38"/>
        <v>51249</v>
      </c>
      <c r="D215" s="27">
        <f t="shared" si="30"/>
        <v>7514.9128616125881</v>
      </c>
      <c r="E215" s="27"/>
      <c r="F215" s="27">
        <f t="shared" si="31"/>
        <v>2566.9520619215705</v>
      </c>
      <c r="G215" s="27">
        <f t="shared" si="32"/>
        <v>4947.9607996910181</v>
      </c>
      <c r="H215" s="27">
        <f t="shared" si="33"/>
        <v>251747.24539246605</v>
      </c>
      <c r="J215" s="30">
        <v>199</v>
      </c>
      <c r="K215" s="31">
        <f t="shared" si="39"/>
        <v>51129</v>
      </c>
      <c r="L215" s="27">
        <f t="shared" si="34"/>
        <v>4607.2507429661937</v>
      </c>
      <c r="M215" s="27"/>
      <c r="N215" s="27">
        <f t="shared" si="35"/>
        <v>3406.1658149574614</v>
      </c>
      <c r="O215" s="27">
        <f t="shared" si="36"/>
        <v>1201.0849280087323</v>
      </c>
      <c r="P215" s="27">
        <f t="shared" si="37"/>
        <v>407538.81286688667</v>
      </c>
    </row>
    <row r="216" spans="2:16" x14ac:dyDescent="0.25">
      <c r="B216" s="30">
        <v>200</v>
      </c>
      <c r="C216" s="31">
        <f t="shared" si="38"/>
        <v>51279</v>
      </c>
      <c r="D216" s="27">
        <f t="shared" si="30"/>
        <v>7514.9128616125881</v>
      </c>
      <c r="E216" s="27"/>
      <c r="F216" s="27">
        <f t="shared" si="31"/>
        <v>2517.4724539246604</v>
      </c>
      <c r="G216" s="27">
        <f t="shared" si="32"/>
        <v>4997.4404076879273</v>
      </c>
      <c r="H216" s="27">
        <f t="shared" si="33"/>
        <v>246749.80498477814</v>
      </c>
      <c r="J216" s="30">
        <v>200</v>
      </c>
      <c r="K216" s="31">
        <f t="shared" si="39"/>
        <v>51160</v>
      </c>
      <c r="L216" s="27">
        <f t="shared" si="34"/>
        <v>4607.2507429661937</v>
      </c>
      <c r="M216" s="27"/>
      <c r="N216" s="27">
        <f t="shared" si="35"/>
        <v>3396.156773890722</v>
      </c>
      <c r="O216" s="27">
        <f t="shared" si="36"/>
        <v>1211.0939690754717</v>
      </c>
      <c r="P216" s="27">
        <f t="shared" si="37"/>
        <v>406327.7188978112</v>
      </c>
    </row>
    <row r="217" spans="2:16" x14ac:dyDescent="0.25">
      <c r="B217" s="30">
        <v>201</v>
      </c>
      <c r="C217" s="31">
        <f t="shared" si="38"/>
        <v>51310</v>
      </c>
      <c r="D217" s="27">
        <f t="shared" si="30"/>
        <v>7514.9128616125881</v>
      </c>
      <c r="E217" s="27"/>
      <c r="F217" s="27">
        <f t="shared" si="31"/>
        <v>2467.4980498477812</v>
      </c>
      <c r="G217" s="27">
        <f t="shared" si="32"/>
        <v>5047.4148117648074</v>
      </c>
      <c r="H217" s="27">
        <f t="shared" si="33"/>
        <v>241702.39017301332</v>
      </c>
      <c r="J217" s="30">
        <v>201</v>
      </c>
      <c r="K217" s="31">
        <f t="shared" si="39"/>
        <v>51191</v>
      </c>
      <c r="L217" s="27">
        <f t="shared" si="34"/>
        <v>4607.2507429661937</v>
      </c>
      <c r="M217" s="27"/>
      <c r="N217" s="27">
        <f t="shared" si="35"/>
        <v>3386.0643241484267</v>
      </c>
      <c r="O217" s="27">
        <f t="shared" si="36"/>
        <v>1221.1864188177669</v>
      </c>
      <c r="P217" s="27">
        <f t="shared" si="37"/>
        <v>405106.53247899341</v>
      </c>
    </row>
    <row r="218" spans="2:16" x14ac:dyDescent="0.25">
      <c r="B218" s="30">
        <v>202</v>
      </c>
      <c r="C218" s="31">
        <f t="shared" si="38"/>
        <v>51340</v>
      </c>
      <c r="D218" s="27">
        <f t="shared" si="30"/>
        <v>7514.9128616125881</v>
      </c>
      <c r="E218" s="27"/>
      <c r="F218" s="27">
        <f t="shared" si="31"/>
        <v>2417.0239017301333</v>
      </c>
      <c r="G218" s="27">
        <f t="shared" si="32"/>
        <v>5097.8889598824553</v>
      </c>
      <c r="H218" s="27">
        <f t="shared" si="33"/>
        <v>236604.50121313086</v>
      </c>
      <c r="J218" s="30">
        <v>202</v>
      </c>
      <c r="K218" s="31">
        <f t="shared" si="39"/>
        <v>51220</v>
      </c>
      <c r="L218" s="27">
        <f t="shared" si="34"/>
        <v>4607.2507429661937</v>
      </c>
      <c r="M218" s="27"/>
      <c r="N218" s="27">
        <f t="shared" si="35"/>
        <v>3375.8877706582784</v>
      </c>
      <c r="O218" s="27">
        <f t="shared" si="36"/>
        <v>1231.3629723079152</v>
      </c>
      <c r="P218" s="27">
        <f t="shared" si="37"/>
        <v>403875.16950668552</v>
      </c>
    </row>
    <row r="219" spans="2:16" x14ac:dyDescent="0.25">
      <c r="B219" s="30">
        <v>203</v>
      </c>
      <c r="C219" s="31">
        <f t="shared" si="38"/>
        <v>51371</v>
      </c>
      <c r="D219" s="27">
        <f t="shared" si="30"/>
        <v>7514.9128616125881</v>
      </c>
      <c r="E219" s="27"/>
      <c r="F219" s="27">
        <f t="shared" si="31"/>
        <v>2366.0450121313088</v>
      </c>
      <c r="G219" s="27">
        <f t="shared" si="32"/>
        <v>5148.8678494812793</v>
      </c>
      <c r="H219" s="27">
        <f t="shared" si="33"/>
        <v>231455.63336364957</v>
      </c>
      <c r="J219" s="30">
        <v>203</v>
      </c>
      <c r="K219" s="31">
        <f t="shared" si="39"/>
        <v>51251</v>
      </c>
      <c r="L219" s="27">
        <f t="shared" si="34"/>
        <v>4607.2507429661937</v>
      </c>
      <c r="M219" s="27"/>
      <c r="N219" s="27">
        <f t="shared" si="35"/>
        <v>3365.6264125557127</v>
      </c>
      <c r="O219" s="27">
        <f t="shared" si="36"/>
        <v>1241.624330410481</v>
      </c>
      <c r="P219" s="27">
        <f t="shared" si="37"/>
        <v>402633.54517627502</v>
      </c>
    </row>
    <row r="220" spans="2:16" x14ac:dyDescent="0.25">
      <c r="B220" s="30">
        <v>204</v>
      </c>
      <c r="C220" s="31">
        <f t="shared" si="38"/>
        <v>51402</v>
      </c>
      <c r="D220" s="27">
        <f t="shared" si="30"/>
        <v>7514.9128616125881</v>
      </c>
      <c r="E220" s="27"/>
      <c r="F220" s="27">
        <f t="shared" si="31"/>
        <v>2314.5563336364958</v>
      </c>
      <c r="G220" s="27">
        <f t="shared" si="32"/>
        <v>5200.3565279760924</v>
      </c>
      <c r="H220" s="27">
        <f t="shared" si="33"/>
        <v>226255.27683567349</v>
      </c>
      <c r="J220" s="30">
        <v>204</v>
      </c>
      <c r="K220" s="31">
        <f t="shared" si="39"/>
        <v>51281</v>
      </c>
      <c r="L220" s="27">
        <f t="shared" si="34"/>
        <v>4607.2507429661937</v>
      </c>
      <c r="M220" s="27"/>
      <c r="N220" s="27">
        <f t="shared" si="35"/>
        <v>3355.2795431356249</v>
      </c>
      <c r="O220" s="27">
        <f t="shared" si="36"/>
        <v>1251.9711998305688</v>
      </c>
      <c r="P220" s="27">
        <f t="shared" si="37"/>
        <v>401381.57397644443</v>
      </c>
    </row>
    <row r="221" spans="2:16" x14ac:dyDescent="0.25">
      <c r="B221" s="30">
        <v>205</v>
      </c>
      <c r="C221" s="31">
        <f t="shared" si="38"/>
        <v>51432</v>
      </c>
      <c r="D221" s="27">
        <f t="shared" si="30"/>
        <v>7514.9128616125881</v>
      </c>
      <c r="E221" s="27"/>
      <c r="F221" s="27">
        <f t="shared" si="31"/>
        <v>2262.5527683567348</v>
      </c>
      <c r="G221" s="27">
        <f t="shared" si="32"/>
        <v>5252.3600932558529</v>
      </c>
      <c r="H221" s="27">
        <f t="shared" si="33"/>
        <v>221002.91674241764</v>
      </c>
      <c r="J221" s="30">
        <v>205</v>
      </c>
      <c r="K221" s="31">
        <f t="shared" si="39"/>
        <v>51312</v>
      </c>
      <c r="L221" s="27">
        <f t="shared" si="34"/>
        <v>4607.2507429661937</v>
      </c>
      <c r="M221" s="27"/>
      <c r="N221" s="27">
        <f t="shared" si="35"/>
        <v>3344.8464498037033</v>
      </c>
      <c r="O221" s="27">
        <f t="shared" si="36"/>
        <v>1262.4042931624904</v>
      </c>
      <c r="P221" s="27">
        <f t="shared" si="37"/>
        <v>400119.16968328191</v>
      </c>
    </row>
    <row r="222" spans="2:16" x14ac:dyDescent="0.25">
      <c r="B222" s="30">
        <v>206</v>
      </c>
      <c r="C222" s="31">
        <f t="shared" si="38"/>
        <v>51463</v>
      </c>
      <c r="D222" s="27">
        <f t="shared" si="30"/>
        <v>7514.9128616125881</v>
      </c>
      <c r="E222" s="27"/>
      <c r="F222" s="27">
        <f t="shared" si="31"/>
        <v>2210.0291674241766</v>
      </c>
      <c r="G222" s="27">
        <f t="shared" si="32"/>
        <v>5304.883694188411</v>
      </c>
      <c r="H222" s="27">
        <f t="shared" si="33"/>
        <v>215698.03304822923</v>
      </c>
      <c r="J222" s="30">
        <v>206</v>
      </c>
      <c r="K222" s="31">
        <f t="shared" si="39"/>
        <v>51342</v>
      </c>
      <c r="L222" s="27">
        <f t="shared" si="34"/>
        <v>4607.2507429661937</v>
      </c>
      <c r="M222" s="27"/>
      <c r="N222" s="27">
        <f t="shared" si="35"/>
        <v>3334.3264140273491</v>
      </c>
      <c r="O222" s="27">
        <f t="shared" si="36"/>
        <v>1272.9243289388446</v>
      </c>
      <c r="P222" s="27">
        <f t="shared" si="37"/>
        <v>398846.24535434309</v>
      </c>
    </row>
    <row r="223" spans="2:16" x14ac:dyDescent="0.25">
      <c r="B223" s="30">
        <v>207</v>
      </c>
      <c r="C223" s="31">
        <f t="shared" si="38"/>
        <v>51493</v>
      </c>
      <c r="D223" s="27">
        <f t="shared" si="30"/>
        <v>7514.9128616125881</v>
      </c>
      <c r="E223" s="27"/>
      <c r="F223" s="27">
        <f t="shared" si="31"/>
        <v>2156.9803304822922</v>
      </c>
      <c r="G223" s="27">
        <f t="shared" si="32"/>
        <v>5357.9325311302964</v>
      </c>
      <c r="H223" s="27">
        <f t="shared" si="33"/>
        <v>210340.10051709894</v>
      </c>
      <c r="J223" s="30">
        <v>207</v>
      </c>
      <c r="K223" s="31">
        <f t="shared" si="39"/>
        <v>51373</v>
      </c>
      <c r="L223" s="27">
        <f t="shared" si="34"/>
        <v>4607.2507429661937</v>
      </c>
      <c r="M223" s="27"/>
      <c r="N223" s="27">
        <f t="shared" si="35"/>
        <v>3323.7187112861925</v>
      </c>
      <c r="O223" s="27">
        <f t="shared" si="36"/>
        <v>1283.5320316800012</v>
      </c>
      <c r="P223" s="27">
        <f t="shared" si="37"/>
        <v>397562.7133226631</v>
      </c>
    </row>
    <row r="224" spans="2:16" x14ac:dyDescent="0.25">
      <c r="B224" s="30">
        <v>208</v>
      </c>
      <c r="C224" s="31">
        <f t="shared" si="38"/>
        <v>51524</v>
      </c>
      <c r="D224" s="27">
        <f t="shared" si="30"/>
        <v>7514.9128616125881</v>
      </c>
      <c r="E224" s="27"/>
      <c r="F224" s="27">
        <f t="shared" si="31"/>
        <v>2103.4010051709893</v>
      </c>
      <c r="G224" s="27">
        <f t="shared" si="32"/>
        <v>5411.5118564415989</v>
      </c>
      <c r="H224" s="27">
        <f t="shared" si="33"/>
        <v>204928.58866065735</v>
      </c>
      <c r="J224" s="30">
        <v>208</v>
      </c>
      <c r="K224" s="31">
        <f t="shared" si="39"/>
        <v>51404</v>
      </c>
      <c r="L224" s="27">
        <f t="shared" si="34"/>
        <v>4607.2507429661937</v>
      </c>
      <c r="M224" s="27"/>
      <c r="N224" s="27">
        <f t="shared" si="35"/>
        <v>3313.0226110221925</v>
      </c>
      <c r="O224" s="27">
        <f t="shared" si="36"/>
        <v>1294.2281319440012</v>
      </c>
      <c r="P224" s="27">
        <f t="shared" si="37"/>
        <v>396268.48519071908</v>
      </c>
    </row>
    <row r="225" spans="2:16" x14ac:dyDescent="0.25">
      <c r="B225" s="30">
        <v>209</v>
      </c>
      <c r="C225" s="31">
        <f t="shared" si="38"/>
        <v>51555</v>
      </c>
      <c r="D225" s="27">
        <f t="shared" si="30"/>
        <v>7514.9128616125881</v>
      </c>
      <c r="E225" s="27"/>
      <c r="F225" s="27">
        <f t="shared" si="31"/>
        <v>2049.2858866065735</v>
      </c>
      <c r="G225" s="27">
        <f t="shared" si="32"/>
        <v>5465.6269750060146</v>
      </c>
      <c r="H225" s="27">
        <f t="shared" si="33"/>
        <v>199462.96168565133</v>
      </c>
      <c r="J225" s="30">
        <v>209</v>
      </c>
      <c r="K225" s="31">
        <f t="shared" si="39"/>
        <v>51434</v>
      </c>
      <c r="L225" s="27">
        <f t="shared" si="34"/>
        <v>4607.2507429661937</v>
      </c>
      <c r="M225" s="27"/>
      <c r="N225" s="27">
        <f t="shared" si="35"/>
        <v>3302.2373765893258</v>
      </c>
      <c r="O225" s="27">
        <f t="shared" si="36"/>
        <v>1305.0133663768679</v>
      </c>
      <c r="P225" s="27">
        <f t="shared" si="37"/>
        <v>394963.47182434221</v>
      </c>
    </row>
    <row r="226" spans="2:16" x14ac:dyDescent="0.25">
      <c r="B226" s="30">
        <v>210</v>
      </c>
      <c r="C226" s="31">
        <f t="shared" si="38"/>
        <v>51583</v>
      </c>
      <c r="D226" s="27">
        <f t="shared" si="30"/>
        <v>7514.9128616125881</v>
      </c>
      <c r="E226" s="27"/>
      <c r="F226" s="27">
        <f t="shared" si="31"/>
        <v>1994.6296168565134</v>
      </c>
      <c r="G226" s="27">
        <f t="shared" si="32"/>
        <v>5520.283244756075</v>
      </c>
      <c r="H226" s="27">
        <f t="shared" si="33"/>
        <v>193942.67844089525</v>
      </c>
      <c r="J226" s="30">
        <v>210</v>
      </c>
      <c r="K226" s="31">
        <f t="shared" si="39"/>
        <v>51465</v>
      </c>
      <c r="L226" s="27">
        <f t="shared" si="34"/>
        <v>4607.2507429661937</v>
      </c>
      <c r="M226" s="27"/>
      <c r="N226" s="27">
        <f t="shared" si="35"/>
        <v>3291.3622652028516</v>
      </c>
      <c r="O226" s="27">
        <f t="shared" si="36"/>
        <v>1315.8884777633421</v>
      </c>
      <c r="P226" s="27">
        <f t="shared" si="37"/>
        <v>393647.58334657887</v>
      </c>
    </row>
    <row r="227" spans="2:16" x14ac:dyDescent="0.25">
      <c r="B227" s="30">
        <v>211</v>
      </c>
      <c r="C227" s="31">
        <f t="shared" si="38"/>
        <v>51614</v>
      </c>
      <c r="D227" s="27">
        <f t="shared" si="30"/>
        <v>7514.9128616125881</v>
      </c>
      <c r="E227" s="27"/>
      <c r="F227" s="27">
        <f t="shared" si="31"/>
        <v>1939.4267844089525</v>
      </c>
      <c r="G227" s="27">
        <f t="shared" si="32"/>
        <v>5575.4860772036354</v>
      </c>
      <c r="H227" s="27">
        <f t="shared" si="33"/>
        <v>188367.1923636916</v>
      </c>
      <c r="J227" s="30">
        <v>211</v>
      </c>
      <c r="K227" s="31">
        <f t="shared" si="39"/>
        <v>51495</v>
      </c>
      <c r="L227" s="27">
        <f t="shared" si="34"/>
        <v>4607.2507429661937</v>
      </c>
      <c r="M227" s="27"/>
      <c r="N227" s="27">
        <f t="shared" si="35"/>
        <v>3280.3965278881574</v>
      </c>
      <c r="O227" s="27">
        <f t="shared" si="36"/>
        <v>1326.8542150780363</v>
      </c>
      <c r="P227" s="27">
        <f t="shared" si="37"/>
        <v>392320.72913150082</v>
      </c>
    </row>
    <row r="228" spans="2:16" x14ac:dyDescent="0.25">
      <c r="B228" s="30">
        <v>212</v>
      </c>
      <c r="C228" s="31">
        <f t="shared" si="38"/>
        <v>51644</v>
      </c>
      <c r="D228" s="27">
        <f t="shared" si="30"/>
        <v>7514.9128616125881</v>
      </c>
      <c r="E228" s="27"/>
      <c r="F228" s="27">
        <f t="shared" si="31"/>
        <v>1883.6719236369161</v>
      </c>
      <c r="G228" s="27">
        <f t="shared" si="32"/>
        <v>5631.2409379756718</v>
      </c>
      <c r="H228" s="27">
        <f t="shared" si="33"/>
        <v>182735.95142571593</v>
      </c>
      <c r="J228" s="30">
        <v>212</v>
      </c>
      <c r="K228" s="31">
        <f t="shared" si="39"/>
        <v>51526</v>
      </c>
      <c r="L228" s="27">
        <f t="shared" si="34"/>
        <v>4607.2507429661937</v>
      </c>
      <c r="M228" s="27"/>
      <c r="N228" s="27">
        <f t="shared" si="35"/>
        <v>3269.3394094291734</v>
      </c>
      <c r="O228" s="27">
        <f t="shared" si="36"/>
        <v>1337.9113335370203</v>
      </c>
      <c r="P228" s="27">
        <f t="shared" si="37"/>
        <v>390982.8177979638</v>
      </c>
    </row>
    <row r="229" spans="2:16" x14ac:dyDescent="0.25">
      <c r="B229" s="30">
        <v>213</v>
      </c>
      <c r="C229" s="31">
        <f t="shared" si="38"/>
        <v>51675</v>
      </c>
      <c r="D229" s="27">
        <f t="shared" si="30"/>
        <v>7514.9128616125881</v>
      </c>
      <c r="E229" s="27"/>
      <c r="F229" s="27">
        <f t="shared" si="31"/>
        <v>1827.3595142571594</v>
      </c>
      <c r="G229" s="27">
        <f t="shared" si="32"/>
        <v>5687.5533473554287</v>
      </c>
      <c r="H229" s="27">
        <f t="shared" si="33"/>
        <v>177048.39807836051</v>
      </c>
      <c r="J229" s="30">
        <v>213</v>
      </c>
      <c r="K229" s="31">
        <f t="shared" si="39"/>
        <v>51557</v>
      </c>
      <c r="L229" s="27">
        <f t="shared" si="34"/>
        <v>4607.2507429661937</v>
      </c>
      <c r="M229" s="27"/>
      <c r="N229" s="27">
        <f t="shared" si="35"/>
        <v>3258.1901483163651</v>
      </c>
      <c r="O229" s="27">
        <f t="shared" si="36"/>
        <v>1349.0605946498285</v>
      </c>
      <c r="P229" s="27">
        <f t="shared" si="37"/>
        <v>389633.75720331399</v>
      </c>
    </row>
    <row r="230" spans="2:16" x14ac:dyDescent="0.25">
      <c r="B230" s="30">
        <v>214</v>
      </c>
      <c r="C230" s="31">
        <f t="shared" si="38"/>
        <v>51705</v>
      </c>
      <c r="D230" s="27">
        <f t="shared" si="30"/>
        <v>7514.9128616125881</v>
      </c>
      <c r="E230" s="27"/>
      <c r="F230" s="27">
        <f t="shared" si="31"/>
        <v>1770.4839807836051</v>
      </c>
      <c r="G230" s="27">
        <f t="shared" si="32"/>
        <v>5744.428880828983</v>
      </c>
      <c r="H230" s="27">
        <f t="shared" si="33"/>
        <v>171303.96919753152</v>
      </c>
      <c r="J230" s="30">
        <v>214</v>
      </c>
      <c r="K230" s="31">
        <f t="shared" si="39"/>
        <v>51585</v>
      </c>
      <c r="L230" s="27">
        <f t="shared" si="34"/>
        <v>4607.2507429661937</v>
      </c>
      <c r="M230" s="27"/>
      <c r="N230" s="27">
        <f t="shared" si="35"/>
        <v>3246.9479766942832</v>
      </c>
      <c r="O230" s="27">
        <f t="shared" si="36"/>
        <v>1360.3027662719105</v>
      </c>
      <c r="P230" s="27">
        <f t="shared" si="37"/>
        <v>388273.45443704206</v>
      </c>
    </row>
    <row r="231" spans="2:16" x14ac:dyDescent="0.25">
      <c r="B231" s="30">
        <v>215</v>
      </c>
      <c r="C231" s="31">
        <f t="shared" si="38"/>
        <v>51736</v>
      </c>
      <c r="D231" s="27">
        <f t="shared" si="30"/>
        <v>7514.9128616125881</v>
      </c>
      <c r="E231" s="27"/>
      <c r="F231" s="27">
        <f t="shared" si="31"/>
        <v>1713.0396919753152</v>
      </c>
      <c r="G231" s="27">
        <f t="shared" si="32"/>
        <v>5801.8731696372724</v>
      </c>
      <c r="H231" s="27">
        <f t="shared" si="33"/>
        <v>165502.09602789424</v>
      </c>
      <c r="J231" s="30">
        <v>215</v>
      </c>
      <c r="K231" s="31">
        <f t="shared" si="39"/>
        <v>51616</v>
      </c>
      <c r="L231" s="27">
        <f t="shared" si="34"/>
        <v>4607.2507429661937</v>
      </c>
      <c r="M231" s="27"/>
      <c r="N231" s="27">
        <f t="shared" si="35"/>
        <v>3235.6121203086836</v>
      </c>
      <c r="O231" s="27">
        <f t="shared" si="36"/>
        <v>1371.63862265751</v>
      </c>
      <c r="P231" s="27">
        <f t="shared" si="37"/>
        <v>386901.81581438455</v>
      </c>
    </row>
    <row r="232" spans="2:16" x14ac:dyDescent="0.25">
      <c r="B232" s="30">
        <v>216</v>
      </c>
      <c r="C232" s="31">
        <f t="shared" si="38"/>
        <v>51767</v>
      </c>
      <c r="D232" s="27">
        <f t="shared" si="30"/>
        <v>7514.9128616125881</v>
      </c>
      <c r="E232" s="27"/>
      <c r="F232" s="27">
        <f t="shared" si="31"/>
        <v>1655.0209602789423</v>
      </c>
      <c r="G232" s="27">
        <f t="shared" si="32"/>
        <v>5859.8919013336454</v>
      </c>
      <c r="H232" s="27">
        <f t="shared" si="33"/>
        <v>159642.20412656059</v>
      </c>
      <c r="J232" s="30">
        <v>216</v>
      </c>
      <c r="K232" s="31">
        <f t="shared" si="39"/>
        <v>51646</v>
      </c>
      <c r="L232" s="27">
        <f t="shared" si="34"/>
        <v>4607.2507429661937</v>
      </c>
      <c r="M232" s="27"/>
      <c r="N232" s="27">
        <f t="shared" si="35"/>
        <v>3224.1817984532045</v>
      </c>
      <c r="O232" s="27">
        <f t="shared" si="36"/>
        <v>1383.0689445129892</v>
      </c>
      <c r="P232" s="27">
        <f t="shared" si="37"/>
        <v>385518.74686987157</v>
      </c>
    </row>
    <row r="233" spans="2:16" x14ac:dyDescent="0.25">
      <c r="B233" s="30">
        <v>217</v>
      </c>
      <c r="C233" s="31">
        <f t="shared" si="38"/>
        <v>51797</v>
      </c>
      <c r="D233" s="27">
        <f t="shared" si="30"/>
        <v>7514.9128616125881</v>
      </c>
      <c r="E233" s="27"/>
      <c r="F233" s="27">
        <f t="shared" si="31"/>
        <v>1596.4220412656059</v>
      </c>
      <c r="G233" s="27">
        <f t="shared" si="32"/>
        <v>5918.4908203469822</v>
      </c>
      <c r="H233" s="27">
        <f t="shared" si="33"/>
        <v>153723.71330621361</v>
      </c>
      <c r="J233" s="30">
        <v>217</v>
      </c>
      <c r="K233" s="31">
        <f t="shared" si="39"/>
        <v>51677</v>
      </c>
      <c r="L233" s="27">
        <f t="shared" si="34"/>
        <v>4607.2507429661937</v>
      </c>
      <c r="M233" s="27"/>
      <c r="N233" s="27">
        <f t="shared" si="35"/>
        <v>3212.6562239155965</v>
      </c>
      <c r="O233" s="27">
        <f t="shared" si="36"/>
        <v>1394.5945190505972</v>
      </c>
      <c r="P233" s="27">
        <f t="shared" si="37"/>
        <v>384124.15235082095</v>
      </c>
    </row>
    <row r="234" spans="2:16" x14ac:dyDescent="0.25">
      <c r="B234" s="30">
        <v>218</v>
      </c>
      <c r="C234" s="31">
        <f t="shared" si="38"/>
        <v>51828</v>
      </c>
      <c r="D234" s="27">
        <f t="shared" si="30"/>
        <v>7514.9128616125881</v>
      </c>
      <c r="E234" s="27"/>
      <c r="F234" s="27">
        <f t="shared" si="31"/>
        <v>1537.2371330621361</v>
      </c>
      <c r="G234" s="27">
        <f t="shared" si="32"/>
        <v>5977.6757285504518</v>
      </c>
      <c r="H234" s="27">
        <f t="shared" si="33"/>
        <v>147746.03757766317</v>
      </c>
      <c r="J234" s="30">
        <v>218</v>
      </c>
      <c r="K234" s="31">
        <f t="shared" si="39"/>
        <v>51707</v>
      </c>
      <c r="L234" s="27">
        <f t="shared" si="34"/>
        <v>4607.2507429661937</v>
      </c>
      <c r="M234" s="27"/>
      <c r="N234" s="27">
        <f t="shared" si="35"/>
        <v>3201.0346029235079</v>
      </c>
      <c r="O234" s="27">
        <f t="shared" si="36"/>
        <v>1406.2161400426858</v>
      </c>
      <c r="P234" s="27">
        <f t="shared" si="37"/>
        <v>382717.93621077825</v>
      </c>
    </row>
    <row r="235" spans="2:16" x14ac:dyDescent="0.25">
      <c r="B235" s="30">
        <v>219</v>
      </c>
      <c r="C235" s="31">
        <f t="shared" si="38"/>
        <v>51858</v>
      </c>
      <c r="D235" s="27">
        <f t="shared" si="30"/>
        <v>7514.9128616125881</v>
      </c>
      <c r="E235" s="27"/>
      <c r="F235" s="27">
        <f t="shared" si="31"/>
        <v>1477.4603757766317</v>
      </c>
      <c r="G235" s="27">
        <f t="shared" si="32"/>
        <v>6037.4524858359564</v>
      </c>
      <c r="H235" s="27">
        <f t="shared" si="33"/>
        <v>141708.5850918272</v>
      </c>
      <c r="J235" s="30">
        <v>219</v>
      </c>
      <c r="K235" s="31">
        <f t="shared" si="39"/>
        <v>51738</v>
      </c>
      <c r="L235" s="27">
        <f t="shared" si="34"/>
        <v>4607.2507429661937</v>
      </c>
      <c r="M235" s="27"/>
      <c r="N235" s="27">
        <f t="shared" si="35"/>
        <v>3189.3161350898185</v>
      </c>
      <c r="O235" s="27">
        <f t="shared" si="36"/>
        <v>1417.9346078763751</v>
      </c>
      <c r="P235" s="27">
        <f t="shared" si="37"/>
        <v>381300.0016029019</v>
      </c>
    </row>
    <row r="236" spans="2:16" x14ac:dyDescent="0.25">
      <c r="B236" s="30">
        <v>220</v>
      </c>
      <c r="C236" s="31">
        <f t="shared" si="38"/>
        <v>51889</v>
      </c>
      <c r="D236" s="27">
        <f t="shared" si="30"/>
        <v>7514.9128616125881</v>
      </c>
      <c r="E236" s="27"/>
      <c r="F236" s="27">
        <f t="shared" si="31"/>
        <v>1417.0858509182722</v>
      </c>
      <c r="G236" s="27">
        <f t="shared" si="32"/>
        <v>6097.8270106943164</v>
      </c>
      <c r="H236" s="27">
        <f t="shared" si="33"/>
        <v>135610.7580811329</v>
      </c>
      <c r="J236" s="30">
        <v>220</v>
      </c>
      <c r="K236" s="31">
        <f t="shared" si="39"/>
        <v>51769</v>
      </c>
      <c r="L236" s="27">
        <f t="shared" si="34"/>
        <v>4607.2507429661937</v>
      </c>
      <c r="M236" s="27"/>
      <c r="N236" s="27">
        <f t="shared" si="35"/>
        <v>3177.5000133575159</v>
      </c>
      <c r="O236" s="27">
        <f t="shared" si="36"/>
        <v>1429.7507296086778</v>
      </c>
      <c r="P236" s="27">
        <f t="shared" si="37"/>
        <v>379870.2508732932</v>
      </c>
    </row>
    <row r="237" spans="2:16" x14ac:dyDescent="0.25">
      <c r="B237" s="30">
        <v>221</v>
      </c>
      <c r="C237" s="31">
        <f t="shared" si="38"/>
        <v>51920</v>
      </c>
      <c r="D237" s="27">
        <f t="shared" si="30"/>
        <v>7514.9128616125881</v>
      </c>
      <c r="E237" s="27"/>
      <c r="F237" s="27">
        <f t="shared" si="31"/>
        <v>1356.1075808113289</v>
      </c>
      <c r="G237" s="27">
        <f t="shared" si="32"/>
        <v>6158.805280801259</v>
      </c>
      <c r="H237" s="27">
        <f t="shared" si="33"/>
        <v>129451.95280033164</v>
      </c>
      <c r="J237" s="30">
        <v>221</v>
      </c>
      <c r="K237" s="31">
        <f t="shared" si="39"/>
        <v>51799</v>
      </c>
      <c r="L237" s="27">
        <f t="shared" si="34"/>
        <v>4607.2507429661937</v>
      </c>
      <c r="M237" s="27"/>
      <c r="N237" s="27">
        <f t="shared" si="35"/>
        <v>3165.5854239441101</v>
      </c>
      <c r="O237" s="27">
        <f t="shared" si="36"/>
        <v>1441.6653190220836</v>
      </c>
      <c r="P237" s="27">
        <f t="shared" si="37"/>
        <v>378428.58555427112</v>
      </c>
    </row>
    <row r="238" spans="2:16" x14ac:dyDescent="0.25">
      <c r="B238" s="30">
        <v>222</v>
      </c>
      <c r="C238" s="31">
        <f t="shared" si="38"/>
        <v>51948</v>
      </c>
      <c r="D238" s="27">
        <f t="shared" si="30"/>
        <v>7514.9128616125881</v>
      </c>
      <c r="E238" s="27"/>
      <c r="F238" s="27">
        <f t="shared" si="31"/>
        <v>1294.5195280033165</v>
      </c>
      <c r="G238" s="27">
        <f t="shared" si="32"/>
        <v>6220.3933336092714</v>
      </c>
      <c r="H238" s="27">
        <f t="shared" si="33"/>
        <v>123231.55946672236</v>
      </c>
      <c r="J238" s="30">
        <v>222</v>
      </c>
      <c r="K238" s="31">
        <f t="shared" si="39"/>
        <v>51830</v>
      </c>
      <c r="L238" s="27">
        <f t="shared" si="34"/>
        <v>4607.2507429661937</v>
      </c>
      <c r="M238" s="27"/>
      <c r="N238" s="27">
        <f t="shared" si="35"/>
        <v>3153.5715462855928</v>
      </c>
      <c r="O238" s="27">
        <f t="shared" si="36"/>
        <v>1453.6791966806009</v>
      </c>
      <c r="P238" s="27">
        <f t="shared" si="37"/>
        <v>376974.90635759052</v>
      </c>
    </row>
    <row r="239" spans="2:16" x14ac:dyDescent="0.25">
      <c r="B239" s="30">
        <v>223</v>
      </c>
      <c r="C239" s="31">
        <f t="shared" si="38"/>
        <v>51979</v>
      </c>
      <c r="D239" s="27">
        <f t="shared" si="30"/>
        <v>7514.9128616125881</v>
      </c>
      <c r="E239" s="27"/>
      <c r="F239" s="27">
        <f t="shared" si="31"/>
        <v>1232.3155946672236</v>
      </c>
      <c r="G239" s="27">
        <f t="shared" si="32"/>
        <v>6282.597266945364</v>
      </c>
      <c r="H239" s="27">
        <f t="shared" si="33"/>
        <v>116948.962199777</v>
      </c>
      <c r="J239" s="30">
        <v>223</v>
      </c>
      <c r="K239" s="31">
        <f t="shared" si="39"/>
        <v>51860</v>
      </c>
      <c r="L239" s="27">
        <f t="shared" si="34"/>
        <v>4607.2507429661937</v>
      </c>
      <c r="M239" s="27"/>
      <c r="N239" s="27">
        <f t="shared" si="35"/>
        <v>3141.4575529799208</v>
      </c>
      <c r="O239" s="27">
        <f t="shared" si="36"/>
        <v>1465.7931899862729</v>
      </c>
      <c r="P239" s="27">
        <f t="shared" si="37"/>
        <v>375509.11316760426</v>
      </c>
    </row>
    <row r="240" spans="2:16" x14ac:dyDescent="0.25">
      <c r="B240" s="30">
        <v>224</v>
      </c>
      <c r="C240" s="31">
        <f t="shared" si="38"/>
        <v>52009</v>
      </c>
      <c r="D240" s="27">
        <f t="shared" si="30"/>
        <v>7514.9128616125881</v>
      </c>
      <c r="E240" s="27"/>
      <c r="F240" s="27">
        <f t="shared" si="31"/>
        <v>1169.48962199777</v>
      </c>
      <c r="G240" s="27">
        <f t="shared" si="32"/>
        <v>6345.4232396148182</v>
      </c>
      <c r="H240" s="27">
        <f t="shared" si="33"/>
        <v>110603.53896016219</v>
      </c>
      <c r="J240" s="30">
        <v>224</v>
      </c>
      <c r="K240" s="31">
        <f t="shared" si="39"/>
        <v>51891</v>
      </c>
      <c r="L240" s="27">
        <f t="shared" si="34"/>
        <v>4607.2507429661937</v>
      </c>
      <c r="M240" s="27"/>
      <c r="N240" s="27">
        <f t="shared" si="35"/>
        <v>3129.2426097300354</v>
      </c>
      <c r="O240" s="27">
        <f t="shared" si="36"/>
        <v>1478.0081332361583</v>
      </c>
      <c r="P240" s="27">
        <f t="shared" si="37"/>
        <v>374031.10503436811</v>
      </c>
    </row>
    <row r="241" spans="2:16" x14ac:dyDescent="0.25">
      <c r="B241" s="30">
        <v>225</v>
      </c>
      <c r="C241" s="31">
        <f t="shared" si="38"/>
        <v>52040</v>
      </c>
      <c r="D241" s="27">
        <f t="shared" si="30"/>
        <v>7514.9128616125881</v>
      </c>
      <c r="E241" s="27"/>
      <c r="F241" s="27">
        <f t="shared" si="31"/>
        <v>1106.035389601622</v>
      </c>
      <c r="G241" s="27">
        <f t="shared" si="32"/>
        <v>6408.8774720109659</v>
      </c>
      <c r="H241" s="27">
        <f t="shared" si="33"/>
        <v>104194.66148815122</v>
      </c>
      <c r="J241" s="30">
        <v>225</v>
      </c>
      <c r="K241" s="31">
        <f t="shared" si="39"/>
        <v>51922</v>
      </c>
      <c r="L241" s="27">
        <f t="shared" si="34"/>
        <v>4607.2507429661937</v>
      </c>
      <c r="M241" s="27"/>
      <c r="N241" s="27">
        <f t="shared" si="35"/>
        <v>3116.9258752864007</v>
      </c>
      <c r="O241" s="27">
        <f t="shared" si="36"/>
        <v>1490.324867679793</v>
      </c>
      <c r="P241" s="27">
        <f t="shared" si="37"/>
        <v>372540.78016668832</v>
      </c>
    </row>
    <row r="242" spans="2:16" x14ac:dyDescent="0.25">
      <c r="B242" s="30">
        <v>226</v>
      </c>
      <c r="C242" s="31">
        <f t="shared" si="38"/>
        <v>52070</v>
      </c>
      <c r="D242" s="27">
        <f t="shared" si="30"/>
        <v>7514.9128616125881</v>
      </c>
      <c r="E242" s="27"/>
      <c r="F242" s="27">
        <f t="shared" si="31"/>
        <v>1041.9466148815122</v>
      </c>
      <c r="G242" s="27">
        <f t="shared" si="32"/>
        <v>6472.9662467310754</v>
      </c>
      <c r="H242" s="27">
        <f t="shared" si="33"/>
        <v>97721.695241420151</v>
      </c>
      <c r="J242" s="30">
        <v>226</v>
      </c>
      <c r="K242" s="31">
        <f t="shared" si="39"/>
        <v>51950</v>
      </c>
      <c r="L242" s="27">
        <f t="shared" si="34"/>
        <v>4607.2507429661937</v>
      </c>
      <c r="M242" s="27"/>
      <c r="N242" s="27">
        <f t="shared" si="35"/>
        <v>3104.5065013890694</v>
      </c>
      <c r="O242" s="27">
        <f t="shared" si="36"/>
        <v>1502.7442415771243</v>
      </c>
      <c r="P242" s="27">
        <f t="shared" si="37"/>
        <v>371038.03592511121</v>
      </c>
    </row>
    <row r="243" spans="2:16" x14ac:dyDescent="0.25">
      <c r="B243" s="30">
        <v>227</v>
      </c>
      <c r="C243" s="31">
        <f t="shared" si="38"/>
        <v>52101</v>
      </c>
      <c r="D243" s="27">
        <f t="shared" si="30"/>
        <v>7514.9128616125881</v>
      </c>
      <c r="E243" s="27"/>
      <c r="F243" s="27">
        <f t="shared" si="31"/>
        <v>977.2169524142015</v>
      </c>
      <c r="G243" s="27">
        <f t="shared" si="32"/>
        <v>6537.6959091983863</v>
      </c>
      <c r="H243" s="27">
        <f t="shared" si="33"/>
        <v>91183.999332221763</v>
      </c>
      <c r="J243" s="30">
        <v>227</v>
      </c>
      <c r="K243" s="31">
        <f t="shared" si="39"/>
        <v>51981</v>
      </c>
      <c r="L243" s="27">
        <f t="shared" si="34"/>
        <v>4607.2507429661937</v>
      </c>
      <c r="M243" s="27"/>
      <c r="N243" s="27">
        <f t="shared" si="35"/>
        <v>3091.9836327092598</v>
      </c>
      <c r="O243" s="27">
        <f t="shared" si="36"/>
        <v>1515.2671102569338</v>
      </c>
      <c r="P243" s="27">
        <f t="shared" si="37"/>
        <v>369522.76881485427</v>
      </c>
    </row>
    <row r="244" spans="2:16" x14ac:dyDescent="0.25">
      <c r="B244" s="30">
        <v>228</v>
      </c>
      <c r="C244" s="31">
        <f t="shared" si="38"/>
        <v>52132</v>
      </c>
      <c r="D244" s="27">
        <f t="shared" si="30"/>
        <v>7514.9128616125881</v>
      </c>
      <c r="E244" s="27"/>
      <c r="F244" s="27">
        <f t="shared" si="31"/>
        <v>911.83999332221765</v>
      </c>
      <c r="G244" s="27">
        <f t="shared" si="32"/>
        <v>6603.07286829037</v>
      </c>
      <c r="H244" s="27">
        <f t="shared" si="33"/>
        <v>84580.926463931391</v>
      </c>
      <c r="J244" s="30">
        <v>228</v>
      </c>
      <c r="K244" s="31">
        <f t="shared" si="39"/>
        <v>52011</v>
      </c>
      <c r="L244" s="27">
        <f t="shared" si="34"/>
        <v>4607.2507429661937</v>
      </c>
      <c r="M244" s="27"/>
      <c r="N244" s="27">
        <f t="shared" si="35"/>
        <v>3079.3564067904522</v>
      </c>
      <c r="O244" s="27">
        <f t="shared" si="36"/>
        <v>1527.8943361757415</v>
      </c>
      <c r="P244" s="27">
        <f t="shared" si="37"/>
        <v>367994.87447867851</v>
      </c>
    </row>
    <row r="245" spans="2:16" x14ac:dyDescent="0.25">
      <c r="B245" s="30">
        <v>229</v>
      </c>
      <c r="C245" s="31">
        <f t="shared" si="38"/>
        <v>52162</v>
      </c>
      <c r="D245" s="27">
        <f t="shared" si="30"/>
        <v>7514.9128616125881</v>
      </c>
      <c r="E245" s="27"/>
      <c r="F245" s="27">
        <f t="shared" si="31"/>
        <v>845.80926463931394</v>
      </c>
      <c r="G245" s="27">
        <f t="shared" si="32"/>
        <v>6669.1035969732739</v>
      </c>
      <c r="H245" s="27">
        <f t="shared" si="33"/>
        <v>77911.822866958115</v>
      </c>
      <c r="J245" s="30">
        <v>229</v>
      </c>
      <c r="K245" s="31">
        <f t="shared" si="39"/>
        <v>52042</v>
      </c>
      <c r="L245" s="27">
        <f t="shared" si="34"/>
        <v>4607.2507429661937</v>
      </c>
      <c r="M245" s="27"/>
      <c r="N245" s="27">
        <f t="shared" si="35"/>
        <v>3066.6239539889875</v>
      </c>
      <c r="O245" s="27">
        <f t="shared" si="36"/>
        <v>1540.6267889772062</v>
      </c>
      <c r="P245" s="27">
        <f t="shared" si="37"/>
        <v>366454.24768970133</v>
      </c>
    </row>
    <row r="246" spans="2:16" x14ac:dyDescent="0.25">
      <c r="B246" s="30">
        <v>230</v>
      </c>
      <c r="C246" s="31">
        <f t="shared" si="38"/>
        <v>52193</v>
      </c>
      <c r="D246" s="27">
        <f t="shared" si="30"/>
        <v>7514.9128616125881</v>
      </c>
      <c r="E246" s="27"/>
      <c r="F246" s="27">
        <f t="shared" si="31"/>
        <v>779.11822866958119</v>
      </c>
      <c r="G246" s="27">
        <f t="shared" si="32"/>
        <v>6735.7946329430069</v>
      </c>
      <c r="H246" s="27">
        <f t="shared" si="33"/>
        <v>71176.028234015102</v>
      </c>
      <c r="J246" s="30">
        <v>230</v>
      </c>
      <c r="K246" s="31">
        <f t="shared" si="39"/>
        <v>52072</v>
      </c>
      <c r="L246" s="27">
        <f t="shared" si="34"/>
        <v>4607.2507429661937</v>
      </c>
      <c r="M246" s="27"/>
      <c r="N246" s="27">
        <f t="shared" si="35"/>
        <v>3053.7853974141776</v>
      </c>
      <c r="O246" s="27">
        <f t="shared" si="36"/>
        <v>1553.4653455520161</v>
      </c>
      <c r="P246" s="27">
        <f t="shared" si="37"/>
        <v>364900.78234414931</v>
      </c>
    </row>
    <row r="247" spans="2:16" x14ac:dyDescent="0.25">
      <c r="B247" s="30">
        <v>231</v>
      </c>
      <c r="C247" s="31">
        <f t="shared" si="38"/>
        <v>52223</v>
      </c>
      <c r="D247" s="27">
        <f t="shared" si="30"/>
        <v>7514.9128616125881</v>
      </c>
      <c r="E247" s="27"/>
      <c r="F247" s="27">
        <f t="shared" si="31"/>
        <v>711.76028234015109</v>
      </c>
      <c r="G247" s="27">
        <f t="shared" si="32"/>
        <v>6803.1525792724369</v>
      </c>
      <c r="H247" s="27">
        <f t="shared" si="33"/>
        <v>64372.875654742667</v>
      </c>
      <c r="J247" s="30">
        <v>231</v>
      </c>
      <c r="K247" s="31">
        <f t="shared" si="39"/>
        <v>52103</v>
      </c>
      <c r="L247" s="27">
        <f t="shared" si="34"/>
        <v>4607.2507429661937</v>
      </c>
      <c r="M247" s="27"/>
      <c r="N247" s="27">
        <f t="shared" si="35"/>
        <v>3040.8398528679108</v>
      </c>
      <c r="O247" s="27">
        <f t="shared" si="36"/>
        <v>1566.4108900982828</v>
      </c>
      <c r="P247" s="27">
        <f t="shared" si="37"/>
        <v>363334.371454051</v>
      </c>
    </row>
    <row r="248" spans="2:16" x14ac:dyDescent="0.25">
      <c r="B248" s="30">
        <v>232</v>
      </c>
      <c r="C248" s="31">
        <f t="shared" si="38"/>
        <v>52254</v>
      </c>
      <c r="D248" s="27">
        <f t="shared" si="30"/>
        <v>7514.9128616125881</v>
      </c>
      <c r="E248" s="27"/>
      <c r="F248" s="27">
        <f t="shared" si="31"/>
        <v>643.72875654742666</v>
      </c>
      <c r="G248" s="27">
        <f t="shared" si="32"/>
        <v>6871.1841050651619</v>
      </c>
      <c r="H248" s="27">
        <f t="shared" si="33"/>
        <v>57501.691549677504</v>
      </c>
      <c r="J248" s="30">
        <v>232</v>
      </c>
      <c r="K248" s="31">
        <f t="shared" si="39"/>
        <v>52134</v>
      </c>
      <c r="L248" s="27">
        <f t="shared" si="34"/>
        <v>4607.2507429661937</v>
      </c>
      <c r="M248" s="27"/>
      <c r="N248" s="27">
        <f t="shared" si="35"/>
        <v>3027.7864287837583</v>
      </c>
      <c r="O248" s="27">
        <f t="shared" si="36"/>
        <v>1579.4643141824354</v>
      </c>
      <c r="P248" s="27">
        <f t="shared" si="37"/>
        <v>361754.90713986853</v>
      </c>
    </row>
    <row r="249" spans="2:16" x14ac:dyDescent="0.25">
      <c r="B249" s="30">
        <v>233</v>
      </c>
      <c r="C249" s="31">
        <f t="shared" si="38"/>
        <v>52285</v>
      </c>
      <c r="D249" s="27">
        <f t="shared" si="30"/>
        <v>7514.9128616125881</v>
      </c>
      <c r="E249" s="27"/>
      <c r="F249" s="27">
        <f t="shared" si="31"/>
        <v>575.01691549677503</v>
      </c>
      <c r="G249" s="27">
        <f t="shared" si="32"/>
        <v>6939.8959461158129</v>
      </c>
      <c r="H249" s="27">
        <f t="shared" si="33"/>
        <v>50561.795603561688</v>
      </c>
      <c r="J249" s="30">
        <v>233</v>
      </c>
      <c r="K249" s="31">
        <f t="shared" si="39"/>
        <v>52164</v>
      </c>
      <c r="L249" s="27">
        <f t="shared" si="34"/>
        <v>4607.2507429661937</v>
      </c>
      <c r="M249" s="27"/>
      <c r="N249" s="27">
        <f t="shared" si="35"/>
        <v>3014.6242261655711</v>
      </c>
      <c r="O249" s="27">
        <f t="shared" si="36"/>
        <v>1592.6265168006225</v>
      </c>
      <c r="P249" s="27">
        <f t="shared" si="37"/>
        <v>360162.28062306793</v>
      </c>
    </row>
    <row r="250" spans="2:16" x14ac:dyDescent="0.25">
      <c r="B250" s="30">
        <v>234</v>
      </c>
      <c r="C250" s="31">
        <f t="shared" si="38"/>
        <v>52313</v>
      </c>
      <c r="D250" s="27">
        <f t="shared" si="30"/>
        <v>7514.9128616125881</v>
      </c>
      <c r="E250" s="27"/>
      <c r="F250" s="27">
        <f t="shared" si="31"/>
        <v>505.61795603561688</v>
      </c>
      <c r="G250" s="27">
        <f t="shared" si="32"/>
        <v>7009.2949055769714</v>
      </c>
      <c r="H250" s="27">
        <f t="shared" si="33"/>
        <v>43552.500697984717</v>
      </c>
      <c r="J250" s="30">
        <v>234</v>
      </c>
      <c r="K250" s="31">
        <f t="shared" si="39"/>
        <v>52195</v>
      </c>
      <c r="L250" s="27">
        <f t="shared" si="34"/>
        <v>4607.2507429661937</v>
      </c>
      <c r="M250" s="27"/>
      <c r="N250" s="27">
        <f t="shared" si="35"/>
        <v>3001.3523385255662</v>
      </c>
      <c r="O250" s="27">
        <f t="shared" si="36"/>
        <v>1605.8984044406275</v>
      </c>
      <c r="P250" s="27">
        <f t="shared" si="37"/>
        <v>358556.38221862732</v>
      </c>
    </row>
    <row r="251" spans="2:16" x14ac:dyDescent="0.25">
      <c r="B251" s="30">
        <v>235</v>
      </c>
      <c r="C251" s="31">
        <f t="shared" si="38"/>
        <v>52344</v>
      </c>
      <c r="D251" s="27">
        <f t="shared" si="30"/>
        <v>7514.9128616125881</v>
      </c>
      <c r="E251" s="27"/>
      <c r="F251" s="27">
        <f t="shared" si="31"/>
        <v>435.52500697984715</v>
      </c>
      <c r="G251" s="27">
        <f t="shared" si="32"/>
        <v>7079.3878546327414</v>
      </c>
      <c r="H251" s="27">
        <f t="shared" si="33"/>
        <v>36473.112843351977</v>
      </c>
      <c r="J251" s="30">
        <v>235</v>
      </c>
      <c r="K251" s="31">
        <f t="shared" si="39"/>
        <v>52225</v>
      </c>
      <c r="L251" s="27">
        <f t="shared" si="34"/>
        <v>4607.2507429661937</v>
      </c>
      <c r="M251" s="27"/>
      <c r="N251" s="27">
        <f t="shared" si="35"/>
        <v>2987.9698518218943</v>
      </c>
      <c r="O251" s="27">
        <f t="shared" si="36"/>
        <v>1619.2808911442994</v>
      </c>
      <c r="P251" s="27">
        <f t="shared" si="37"/>
        <v>356937.10132748302</v>
      </c>
    </row>
    <row r="252" spans="2:16" x14ac:dyDescent="0.25">
      <c r="B252" s="30">
        <v>236</v>
      </c>
      <c r="C252" s="31">
        <f t="shared" si="38"/>
        <v>52374</v>
      </c>
      <c r="D252" s="27">
        <f t="shared" si="30"/>
        <v>7514.9128616125881</v>
      </c>
      <c r="E252" s="27"/>
      <c r="F252" s="27">
        <f t="shared" si="31"/>
        <v>364.73112843351976</v>
      </c>
      <c r="G252" s="27">
        <f t="shared" si="32"/>
        <v>7150.181733179068</v>
      </c>
      <c r="H252" s="27">
        <f t="shared" si="33"/>
        <v>29322.931110172911</v>
      </c>
      <c r="J252" s="30">
        <v>236</v>
      </c>
      <c r="K252" s="31">
        <f t="shared" si="39"/>
        <v>52256</v>
      </c>
      <c r="L252" s="27">
        <f t="shared" si="34"/>
        <v>4607.2507429661937</v>
      </c>
      <c r="M252" s="27"/>
      <c r="N252" s="27">
        <f t="shared" si="35"/>
        <v>2974.4758443956916</v>
      </c>
      <c r="O252" s="27">
        <f t="shared" si="36"/>
        <v>1632.774898570502</v>
      </c>
      <c r="P252" s="27">
        <f t="shared" si="37"/>
        <v>355304.32642891252</v>
      </c>
    </row>
    <row r="253" spans="2:16" x14ac:dyDescent="0.25">
      <c r="B253" s="30">
        <v>237</v>
      </c>
      <c r="C253" s="31">
        <f t="shared" si="38"/>
        <v>52405</v>
      </c>
      <c r="D253" s="27">
        <f t="shared" si="30"/>
        <v>7514.9128616125881</v>
      </c>
      <c r="E253" s="27"/>
      <c r="F253" s="27">
        <f t="shared" si="31"/>
        <v>293.22931110172914</v>
      </c>
      <c r="G253" s="27">
        <f t="shared" si="32"/>
        <v>7221.6835505108593</v>
      </c>
      <c r="H253" s="27">
        <f t="shared" si="33"/>
        <v>22101.24755966205</v>
      </c>
      <c r="J253" s="30">
        <v>237</v>
      </c>
      <c r="K253" s="31">
        <f t="shared" si="39"/>
        <v>52287</v>
      </c>
      <c r="L253" s="27">
        <f t="shared" si="34"/>
        <v>4607.2507429661937</v>
      </c>
      <c r="M253" s="27"/>
      <c r="N253" s="27">
        <f t="shared" si="35"/>
        <v>2960.8693869076042</v>
      </c>
      <c r="O253" s="27">
        <f t="shared" si="36"/>
        <v>1646.3813560585895</v>
      </c>
      <c r="P253" s="27">
        <f t="shared" si="37"/>
        <v>353657.94507285394</v>
      </c>
    </row>
    <row r="254" spans="2:16" x14ac:dyDescent="0.25">
      <c r="B254" s="30">
        <v>238</v>
      </c>
      <c r="C254" s="31">
        <f t="shared" si="38"/>
        <v>52435</v>
      </c>
      <c r="D254" s="27">
        <f t="shared" si="30"/>
        <v>7514.9128616125881</v>
      </c>
      <c r="E254" s="27"/>
      <c r="F254" s="27">
        <f t="shared" si="31"/>
        <v>221.0124755966205</v>
      </c>
      <c r="G254" s="27">
        <f t="shared" si="32"/>
        <v>7293.9003860159673</v>
      </c>
      <c r="H254" s="27">
        <f t="shared" si="33"/>
        <v>14807.347173646082</v>
      </c>
      <c r="J254" s="30">
        <v>238</v>
      </c>
      <c r="K254" s="31">
        <f t="shared" si="39"/>
        <v>52315</v>
      </c>
      <c r="L254" s="27">
        <f t="shared" si="34"/>
        <v>4607.2507429661937</v>
      </c>
      <c r="M254" s="27"/>
      <c r="N254" s="27">
        <f t="shared" si="35"/>
        <v>2947.1495422737826</v>
      </c>
      <c r="O254" s="27">
        <f t="shared" si="36"/>
        <v>1660.1012006924111</v>
      </c>
      <c r="P254" s="27">
        <f t="shared" si="37"/>
        <v>351997.84387216152</v>
      </c>
    </row>
    <row r="255" spans="2:16" x14ac:dyDescent="0.25">
      <c r="B255" s="30">
        <v>239</v>
      </c>
      <c r="C255" s="31">
        <f t="shared" si="38"/>
        <v>52466</v>
      </c>
      <c r="D255" s="27">
        <f t="shared" si="30"/>
        <v>7514.9128616125881</v>
      </c>
      <c r="E255" s="27"/>
      <c r="F255" s="27">
        <f t="shared" si="31"/>
        <v>148.07347173646082</v>
      </c>
      <c r="G255" s="27">
        <f t="shared" si="32"/>
        <v>7366.8393898761269</v>
      </c>
      <c r="H255" s="27">
        <f t="shared" si="33"/>
        <v>7440.5077837699546</v>
      </c>
      <c r="J255" s="30">
        <v>239</v>
      </c>
      <c r="K255" s="31">
        <f t="shared" si="39"/>
        <v>52346</v>
      </c>
      <c r="L255" s="27">
        <f t="shared" si="34"/>
        <v>4607.2507429661937</v>
      </c>
      <c r="M255" s="27"/>
      <c r="N255" s="27">
        <f t="shared" si="35"/>
        <v>2933.315365601346</v>
      </c>
      <c r="O255" s="27">
        <f t="shared" si="36"/>
        <v>1673.9353773648477</v>
      </c>
      <c r="P255" s="27">
        <f t="shared" si="37"/>
        <v>350323.90849479666</v>
      </c>
    </row>
    <row r="256" spans="2:16" x14ac:dyDescent="0.25">
      <c r="B256" s="30">
        <v>240</v>
      </c>
      <c r="C256" s="31">
        <f t="shared" si="38"/>
        <v>52497</v>
      </c>
      <c r="D256" s="27">
        <f t="shared" si="30"/>
        <v>7514.9128616076541</v>
      </c>
      <c r="E256" s="27"/>
      <c r="F256" s="27">
        <f t="shared" si="31"/>
        <v>74.405077837699551</v>
      </c>
      <c r="G256" s="27">
        <f t="shared" si="32"/>
        <v>7440.5077837699546</v>
      </c>
      <c r="H256" s="27">
        <f t="shared" si="33"/>
        <v>0</v>
      </c>
      <c r="J256" s="30">
        <v>240</v>
      </c>
      <c r="K256" s="31">
        <f t="shared" si="39"/>
        <v>52376</v>
      </c>
      <c r="L256" s="27">
        <f t="shared" si="34"/>
        <v>4607.2507429661937</v>
      </c>
      <c r="M256" s="27"/>
      <c r="N256" s="27">
        <f t="shared" si="35"/>
        <v>2919.3659041233054</v>
      </c>
      <c r="O256" s="27">
        <f t="shared" si="36"/>
        <v>1687.8848388428883</v>
      </c>
      <c r="P256" s="27">
        <f t="shared" si="37"/>
        <v>348636.02365595376</v>
      </c>
    </row>
    <row r="257" spans="2:16" x14ac:dyDescent="0.25">
      <c r="B257" s="30">
        <v>241</v>
      </c>
      <c r="C257" s="31" t="str">
        <f t="shared" si="38"/>
        <v/>
      </c>
      <c r="D257" s="27">
        <f t="shared" si="30"/>
        <v>0</v>
      </c>
      <c r="E257" s="27"/>
      <c r="F257" s="27">
        <f t="shared" si="31"/>
        <v>0</v>
      </c>
      <c r="G257" s="27">
        <f t="shared" si="32"/>
        <v>0</v>
      </c>
      <c r="H257" s="27">
        <f t="shared" si="33"/>
        <v>0</v>
      </c>
      <c r="J257" s="30">
        <v>241</v>
      </c>
      <c r="K257" s="31">
        <f t="shared" si="39"/>
        <v>52407</v>
      </c>
      <c r="L257" s="27">
        <f t="shared" si="34"/>
        <v>4607.2507429661937</v>
      </c>
      <c r="M257" s="27"/>
      <c r="N257" s="27">
        <f t="shared" si="35"/>
        <v>2905.3001971329481</v>
      </c>
      <c r="O257" s="27">
        <f t="shared" si="36"/>
        <v>1701.9505458332455</v>
      </c>
      <c r="P257" s="27">
        <f t="shared" si="37"/>
        <v>346934.07311012049</v>
      </c>
    </row>
    <row r="258" spans="2:16" x14ac:dyDescent="0.25">
      <c r="B258" s="30">
        <v>242</v>
      </c>
      <c r="J258" s="30">
        <v>242</v>
      </c>
      <c r="K258" s="31">
        <f t="shared" si="39"/>
        <v>52437</v>
      </c>
      <c r="L258" s="27">
        <f t="shared" si="34"/>
        <v>4607.2507429661937</v>
      </c>
      <c r="M258" s="27"/>
      <c r="N258" s="27">
        <f t="shared" si="35"/>
        <v>2891.1172759176707</v>
      </c>
      <c r="O258" s="27">
        <f t="shared" si="36"/>
        <v>1716.133467048523</v>
      </c>
      <c r="P258" s="27">
        <f t="shared" si="37"/>
        <v>345217.93964307196</v>
      </c>
    </row>
    <row r="259" spans="2:16" x14ac:dyDescent="0.25">
      <c r="B259" s="30">
        <v>243</v>
      </c>
      <c r="J259" s="30">
        <v>243</v>
      </c>
      <c r="K259" s="31">
        <f t="shared" si="39"/>
        <v>52468</v>
      </c>
      <c r="L259" s="27">
        <f t="shared" si="34"/>
        <v>4607.2507429661937</v>
      </c>
      <c r="M259" s="27"/>
      <c r="N259" s="27">
        <f t="shared" si="35"/>
        <v>2876.8161636922664</v>
      </c>
      <c r="O259" s="27">
        <f t="shared" si="36"/>
        <v>1730.4345792739273</v>
      </c>
      <c r="P259" s="27">
        <f t="shared" si="37"/>
        <v>343487.50506379805</v>
      </c>
    </row>
    <row r="260" spans="2:16" x14ac:dyDescent="0.25">
      <c r="B260" s="30">
        <v>244</v>
      </c>
      <c r="J260" s="30">
        <v>244</v>
      </c>
      <c r="K260" s="31">
        <f t="shared" si="39"/>
        <v>52499</v>
      </c>
      <c r="L260" s="27">
        <f t="shared" si="34"/>
        <v>4607.2507429661937</v>
      </c>
      <c r="M260" s="27"/>
      <c r="N260" s="27">
        <f t="shared" si="35"/>
        <v>2862.3958755316503</v>
      </c>
      <c r="O260" s="27">
        <f t="shared" si="36"/>
        <v>1744.8548674345434</v>
      </c>
      <c r="P260" s="27">
        <f t="shared" si="37"/>
        <v>341742.65019636351</v>
      </c>
    </row>
    <row r="261" spans="2:16" x14ac:dyDescent="0.25">
      <c r="B261" s="30">
        <v>245</v>
      </c>
      <c r="J261" s="30">
        <v>245</v>
      </c>
      <c r="K261" s="31">
        <f t="shared" si="39"/>
        <v>52529</v>
      </c>
      <c r="L261" s="27">
        <f t="shared" si="34"/>
        <v>4607.2507429661937</v>
      </c>
      <c r="M261" s="27"/>
      <c r="N261" s="27">
        <f t="shared" si="35"/>
        <v>2847.8554183030292</v>
      </c>
      <c r="O261" s="27">
        <f t="shared" si="36"/>
        <v>1759.3953246631645</v>
      </c>
      <c r="P261" s="27">
        <f t="shared" si="37"/>
        <v>339983.25487170037</v>
      </c>
    </row>
    <row r="262" spans="2:16" x14ac:dyDescent="0.25">
      <c r="B262" s="30">
        <v>246</v>
      </c>
      <c r="J262" s="30">
        <v>246</v>
      </c>
      <c r="K262" s="31">
        <f t="shared" si="39"/>
        <v>52560</v>
      </c>
      <c r="L262" s="27">
        <f t="shared" si="34"/>
        <v>4607.2507429661937</v>
      </c>
      <c r="M262" s="27"/>
      <c r="N262" s="27">
        <f t="shared" si="35"/>
        <v>2833.1937905975028</v>
      </c>
      <c r="O262" s="27">
        <f t="shared" si="36"/>
        <v>1774.0569523686909</v>
      </c>
      <c r="P262" s="27">
        <f t="shared" si="37"/>
        <v>338209.19791933167</v>
      </c>
    </row>
    <row r="263" spans="2:16" x14ac:dyDescent="0.25">
      <c r="B263" s="30">
        <v>247</v>
      </c>
      <c r="J263" s="30">
        <v>247</v>
      </c>
      <c r="K263" s="31">
        <f t="shared" si="39"/>
        <v>52590</v>
      </c>
      <c r="L263" s="27">
        <f t="shared" si="34"/>
        <v>4607.2507429661937</v>
      </c>
      <c r="M263" s="27"/>
      <c r="N263" s="27">
        <f t="shared" si="35"/>
        <v>2818.4099826610973</v>
      </c>
      <c r="O263" s="27">
        <f t="shared" si="36"/>
        <v>1788.8407603050964</v>
      </c>
      <c r="P263" s="27">
        <f t="shared" si="37"/>
        <v>336420.35715902655</v>
      </c>
    </row>
    <row r="264" spans="2:16" x14ac:dyDescent="0.25">
      <c r="B264" s="30">
        <v>248</v>
      </c>
      <c r="J264" s="30">
        <v>248</v>
      </c>
      <c r="K264" s="31">
        <f t="shared" si="39"/>
        <v>52621</v>
      </c>
      <c r="L264" s="27">
        <f t="shared" si="34"/>
        <v>4607.2507429661937</v>
      </c>
      <c r="M264" s="27"/>
      <c r="N264" s="27">
        <f t="shared" si="35"/>
        <v>2803.5029763252214</v>
      </c>
      <c r="O264" s="27">
        <f t="shared" si="36"/>
        <v>1803.7477666409723</v>
      </c>
      <c r="P264" s="27">
        <f t="shared" si="37"/>
        <v>334616.60939238558</v>
      </c>
    </row>
    <row r="265" spans="2:16" x14ac:dyDescent="0.25">
      <c r="B265" s="30">
        <v>249</v>
      </c>
      <c r="J265" s="30">
        <v>249</v>
      </c>
      <c r="K265" s="31">
        <f t="shared" si="39"/>
        <v>52652</v>
      </c>
      <c r="L265" s="27">
        <f t="shared" si="34"/>
        <v>4607.2507429661937</v>
      </c>
      <c r="M265" s="27"/>
      <c r="N265" s="27">
        <f t="shared" si="35"/>
        <v>2788.4717449365467</v>
      </c>
      <c r="O265" s="27">
        <f t="shared" si="36"/>
        <v>1818.778998029647</v>
      </c>
      <c r="P265" s="27">
        <f t="shared" si="37"/>
        <v>332797.83039435593</v>
      </c>
    </row>
    <row r="266" spans="2:16" x14ac:dyDescent="0.25">
      <c r="B266" s="30">
        <v>250</v>
      </c>
      <c r="J266" s="30">
        <v>250</v>
      </c>
      <c r="K266" s="31">
        <f t="shared" si="39"/>
        <v>52681</v>
      </c>
      <c r="L266" s="27">
        <f t="shared" si="34"/>
        <v>4607.2507429661937</v>
      </c>
      <c r="M266" s="27"/>
      <c r="N266" s="27">
        <f t="shared" si="35"/>
        <v>2773.3152532862996</v>
      </c>
      <c r="O266" s="27">
        <f t="shared" si="36"/>
        <v>1833.9354896798941</v>
      </c>
      <c r="P266" s="27">
        <f t="shared" si="37"/>
        <v>330963.89490467601</v>
      </c>
    </row>
    <row r="267" spans="2:16" x14ac:dyDescent="0.25">
      <c r="B267" s="30">
        <v>251</v>
      </c>
      <c r="J267" s="30">
        <v>251</v>
      </c>
      <c r="K267" s="31">
        <f t="shared" si="39"/>
        <v>52712</v>
      </c>
      <c r="L267" s="27">
        <f t="shared" si="34"/>
        <v>4607.2507429661937</v>
      </c>
      <c r="M267" s="27"/>
      <c r="N267" s="27">
        <f t="shared" si="35"/>
        <v>2758.0324575389668</v>
      </c>
      <c r="O267" s="27">
        <f t="shared" si="36"/>
        <v>1849.2182854272269</v>
      </c>
      <c r="P267" s="27">
        <f t="shared" si="37"/>
        <v>329114.67661924876</v>
      </c>
    </row>
    <row r="268" spans="2:16" x14ac:dyDescent="0.25">
      <c r="B268" s="30">
        <v>252</v>
      </c>
      <c r="J268" s="30">
        <v>252</v>
      </c>
      <c r="K268" s="31">
        <f t="shared" si="39"/>
        <v>52742</v>
      </c>
      <c r="L268" s="27">
        <f t="shared" si="34"/>
        <v>4607.2507429661937</v>
      </c>
      <c r="M268" s="27"/>
      <c r="N268" s="27">
        <f t="shared" si="35"/>
        <v>2742.6223051604061</v>
      </c>
      <c r="O268" s="27">
        <f t="shared" si="36"/>
        <v>1864.6284378057876</v>
      </c>
      <c r="P268" s="27">
        <f t="shared" si="37"/>
        <v>327250.04818144295</v>
      </c>
    </row>
    <row r="269" spans="2:16" x14ac:dyDescent="0.25">
      <c r="B269" s="30">
        <v>253</v>
      </c>
      <c r="J269" s="30">
        <v>253</v>
      </c>
      <c r="K269" s="31">
        <f t="shared" si="39"/>
        <v>52773</v>
      </c>
      <c r="L269" s="27">
        <f t="shared" si="34"/>
        <v>4607.2507429661937</v>
      </c>
      <c r="M269" s="27"/>
      <c r="N269" s="27">
        <f t="shared" si="35"/>
        <v>2727.0837348453579</v>
      </c>
      <c r="O269" s="27">
        <f t="shared" si="36"/>
        <v>1880.1670081208358</v>
      </c>
      <c r="P269" s="27">
        <f t="shared" si="37"/>
        <v>325369.88117332209</v>
      </c>
    </row>
    <row r="270" spans="2:16" x14ac:dyDescent="0.25">
      <c r="B270" s="30">
        <v>254</v>
      </c>
      <c r="J270" s="30">
        <v>254</v>
      </c>
      <c r="K270" s="31">
        <f t="shared" si="39"/>
        <v>52803</v>
      </c>
      <c r="L270" s="27">
        <f t="shared" si="34"/>
        <v>4607.2507429661937</v>
      </c>
      <c r="M270" s="27"/>
      <c r="N270" s="27">
        <f t="shared" si="35"/>
        <v>2711.4156764443505</v>
      </c>
      <c r="O270" s="27">
        <f t="shared" si="36"/>
        <v>1895.8350665218431</v>
      </c>
      <c r="P270" s="27">
        <f t="shared" si="37"/>
        <v>323474.04610680026</v>
      </c>
    </row>
    <row r="271" spans="2:16" x14ac:dyDescent="0.25">
      <c r="B271" s="30">
        <v>255</v>
      </c>
      <c r="J271" s="30">
        <v>255</v>
      </c>
      <c r="K271" s="31">
        <f t="shared" si="39"/>
        <v>52834</v>
      </c>
      <c r="L271" s="27">
        <f t="shared" si="34"/>
        <v>4607.2507429661937</v>
      </c>
      <c r="M271" s="27"/>
      <c r="N271" s="27">
        <f t="shared" si="35"/>
        <v>2695.6170508900022</v>
      </c>
      <c r="O271" s="27">
        <f t="shared" si="36"/>
        <v>1911.6336920761914</v>
      </c>
      <c r="P271" s="27">
        <f t="shared" si="37"/>
        <v>321562.41241472407</v>
      </c>
    </row>
    <row r="272" spans="2:16" x14ac:dyDescent="0.25">
      <c r="B272" s="30">
        <v>256</v>
      </c>
      <c r="J272" s="30">
        <v>256</v>
      </c>
      <c r="K272" s="31">
        <f t="shared" si="39"/>
        <v>52865</v>
      </c>
      <c r="L272" s="27">
        <f t="shared" si="34"/>
        <v>4607.2507429661937</v>
      </c>
      <c r="M272" s="27"/>
      <c r="N272" s="27">
        <f t="shared" si="35"/>
        <v>2679.6867701227006</v>
      </c>
      <c r="O272" s="27">
        <f t="shared" si="36"/>
        <v>1927.563972843493</v>
      </c>
      <c r="P272" s="27">
        <f t="shared" si="37"/>
        <v>319634.84844188055</v>
      </c>
    </row>
    <row r="273" spans="2:16" x14ac:dyDescent="0.25">
      <c r="B273" s="30">
        <v>257</v>
      </c>
      <c r="J273" s="30">
        <v>257</v>
      </c>
      <c r="K273" s="31">
        <f t="shared" si="39"/>
        <v>52895</v>
      </c>
      <c r="L273" s="27">
        <f t="shared" si="34"/>
        <v>4607.2507429661937</v>
      </c>
      <c r="M273" s="27"/>
      <c r="N273" s="27">
        <f t="shared" si="35"/>
        <v>2663.6237370156714</v>
      </c>
      <c r="O273" s="27">
        <f t="shared" si="36"/>
        <v>1943.6270059505223</v>
      </c>
      <c r="P273" s="27">
        <f t="shared" si="37"/>
        <v>317691.22143593</v>
      </c>
    </row>
    <row r="274" spans="2:16" x14ac:dyDescent="0.25">
      <c r="B274" s="30">
        <v>258</v>
      </c>
      <c r="J274" s="30">
        <v>258</v>
      </c>
      <c r="K274" s="31">
        <f t="shared" si="39"/>
        <v>52926</v>
      </c>
      <c r="L274" s="27">
        <f t="shared" ref="L274:L337" si="40">IF(P273+N274&lt;$L$13,P273+N274,$L$13)</f>
        <v>4607.2507429661937</v>
      </c>
      <c r="M274" s="27"/>
      <c r="N274" s="27">
        <f t="shared" ref="N274:N337" si="41">P273*$P$5</f>
        <v>2647.4268452994165</v>
      </c>
      <c r="O274" s="27">
        <f t="shared" ref="O274:O337" si="42">L274-N274+M274</f>
        <v>1959.8238976667772</v>
      </c>
      <c r="P274" s="27">
        <f t="shared" ref="P274:P337" si="43">P273-O274</f>
        <v>315731.39753826323</v>
      </c>
    </row>
    <row r="275" spans="2:16" x14ac:dyDescent="0.25">
      <c r="B275" s="30">
        <v>259</v>
      </c>
      <c r="J275" s="30">
        <v>259</v>
      </c>
      <c r="K275" s="31">
        <f t="shared" ref="K275:K338" si="44">IF(P274&lt;=0,"",EDATE(K274,IF($L$8="Monthly",1,12)))</f>
        <v>52956</v>
      </c>
      <c r="L275" s="27">
        <f t="shared" si="40"/>
        <v>4607.2507429661937</v>
      </c>
      <c r="M275" s="27"/>
      <c r="N275" s="27">
        <f t="shared" si="41"/>
        <v>2631.0949794855269</v>
      </c>
      <c r="O275" s="27">
        <f t="shared" si="42"/>
        <v>1976.1557634806668</v>
      </c>
      <c r="P275" s="27">
        <f t="shared" si="43"/>
        <v>313755.24177478254</v>
      </c>
    </row>
    <row r="276" spans="2:16" x14ac:dyDescent="0.25">
      <c r="B276" s="30">
        <v>260</v>
      </c>
      <c r="J276" s="30">
        <v>260</v>
      </c>
      <c r="K276" s="31">
        <f t="shared" si="44"/>
        <v>52987</v>
      </c>
      <c r="L276" s="27">
        <f t="shared" si="40"/>
        <v>4607.2507429661937</v>
      </c>
      <c r="M276" s="27"/>
      <c r="N276" s="27">
        <f t="shared" si="41"/>
        <v>2614.6270147898545</v>
      </c>
      <c r="O276" s="27">
        <f t="shared" si="42"/>
        <v>1992.6237281763392</v>
      </c>
      <c r="P276" s="27">
        <f t="shared" si="43"/>
        <v>311762.61804660619</v>
      </c>
    </row>
    <row r="277" spans="2:16" x14ac:dyDescent="0.25">
      <c r="B277" s="30">
        <v>261</v>
      </c>
      <c r="J277" s="30">
        <v>261</v>
      </c>
      <c r="K277" s="31">
        <f t="shared" si="44"/>
        <v>53018</v>
      </c>
      <c r="L277" s="27">
        <f t="shared" si="40"/>
        <v>4607.2507429661937</v>
      </c>
      <c r="M277" s="27"/>
      <c r="N277" s="27">
        <f t="shared" si="41"/>
        <v>2598.0218170550515</v>
      </c>
      <c r="O277" s="27">
        <f t="shared" si="42"/>
        <v>2009.2289259111421</v>
      </c>
      <c r="P277" s="27">
        <f t="shared" si="43"/>
        <v>309753.38912069506</v>
      </c>
    </row>
    <row r="278" spans="2:16" x14ac:dyDescent="0.25">
      <c r="B278" s="30">
        <v>262</v>
      </c>
      <c r="J278" s="30">
        <v>262</v>
      </c>
      <c r="K278" s="31">
        <f t="shared" si="44"/>
        <v>53046</v>
      </c>
      <c r="L278" s="27">
        <f t="shared" si="40"/>
        <v>4607.2507429661937</v>
      </c>
      <c r="M278" s="27"/>
      <c r="N278" s="27">
        <f t="shared" si="41"/>
        <v>2581.2782426724589</v>
      </c>
      <c r="O278" s="27">
        <f t="shared" si="42"/>
        <v>2025.9725002937348</v>
      </c>
      <c r="P278" s="27">
        <f t="shared" si="43"/>
        <v>307727.41662040132</v>
      </c>
    </row>
    <row r="279" spans="2:16" x14ac:dyDescent="0.25">
      <c r="B279" s="30">
        <v>263</v>
      </c>
      <c r="J279" s="30">
        <v>263</v>
      </c>
      <c r="K279" s="31">
        <f t="shared" si="44"/>
        <v>53077</v>
      </c>
      <c r="L279" s="27">
        <f t="shared" si="40"/>
        <v>4607.2507429661937</v>
      </c>
      <c r="M279" s="27"/>
      <c r="N279" s="27">
        <f t="shared" si="41"/>
        <v>2564.3951385033442</v>
      </c>
      <c r="O279" s="27">
        <f t="shared" si="42"/>
        <v>2042.8556044628494</v>
      </c>
      <c r="P279" s="27">
        <f t="shared" si="43"/>
        <v>305684.56101593847</v>
      </c>
    </row>
    <row r="280" spans="2:16" x14ac:dyDescent="0.25">
      <c r="B280" s="30">
        <v>264</v>
      </c>
      <c r="J280" s="30">
        <v>264</v>
      </c>
      <c r="K280" s="31">
        <f t="shared" si="44"/>
        <v>53107</v>
      </c>
      <c r="L280" s="27">
        <f t="shared" si="40"/>
        <v>4607.2507429661937</v>
      </c>
      <c r="M280" s="27"/>
      <c r="N280" s="27">
        <f t="shared" si="41"/>
        <v>2547.3713417994873</v>
      </c>
      <c r="O280" s="27">
        <f t="shared" si="42"/>
        <v>2059.8794011667064</v>
      </c>
      <c r="P280" s="27">
        <f t="shared" si="43"/>
        <v>303624.68161477178</v>
      </c>
    </row>
    <row r="281" spans="2:16" x14ac:dyDescent="0.25">
      <c r="B281" s="30">
        <v>265</v>
      </c>
      <c r="J281" s="30">
        <v>265</v>
      </c>
      <c r="K281" s="31">
        <f t="shared" si="44"/>
        <v>53138</v>
      </c>
      <c r="L281" s="27">
        <f t="shared" si="40"/>
        <v>4607.2507429661937</v>
      </c>
      <c r="M281" s="27"/>
      <c r="N281" s="27">
        <f t="shared" si="41"/>
        <v>2530.2056801230983</v>
      </c>
      <c r="O281" s="27">
        <f t="shared" si="42"/>
        <v>2077.0450628430954</v>
      </c>
      <c r="P281" s="27">
        <f t="shared" si="43"/>
        <v>301547.63655192871</v>
      </c>
    </row>
    <row r="282" spans="2:16" x14ac:dyDescent="0.25">
      <c r="B282" s="30">
        <v>266</v>
      </c>
      <c r="J282" s="30">
        <v>266</v>
      </c>
      <c r="K282" s="31">
        <f t="shared" si="44"/>
        <v>53168</v>
      </c>
      <c r="L282" s="27">
        <f t="shared" si="40"/>
        <v>4607.2507429661937</v>
      </c>
      <c r="M282" s="27"/>
      <c r="N282" s="27">
        <f t="shared" si="41"/>
        <v>2512.8969712660723</v>
      </c>
      <c r="O282" s="27">
        <f t="shared" si="42"/>
        <v>2094.3537717001213</v>
      </c>
      <c r="P282" s="27">
        <f t="shared" si="43"/>
        <v>299453.28278022859</v>
      </c>
    </row>
    <row r="283" spans="2:16" x14ac:dyDescent="0.25">
      <c r="B283" s="30">
        <v>267</v>
      </c>
      <c r="J283" s="30">
        <v>267</v>
      </c>
      <c r="K283" s="31">
        <f t="shared" si="44"/>
        <v>53199</v>
      </c>
      <c r="L283" s="27">
        <f t="shared" si="40"/>
        <v>4607.2507429661937</v>
      </c>
      <c r="M283" s="27"/>
      <c r="N283" s="27">
        <f t="shared" si="41"/>
        <v>2495.4440231685717</v>
      </c>
      <c r="O283" s="27">
        <f t="shared" si="42"/>
        <v>2111.806719797622</v>
      </c>
      <c r="P283" s="27">
        <f t="shared" si="43"/>
        <v>297341.47606043098</v>
      </c>
    </row>
    <row r="284" spans="2:16" x14ac:dyDescent="0.25">
      <c r="B284" s="30">
        <v>268</v>
      </c>
      <c r="J284" s="30">
        <v>268</v>
      </c>
      <c r="K284" s="31">
        <f t="shared" si="44"/>
        <v>53230</v>
      </c>
      <c r="L284" s="27">
        <f t="shared" si="40"/>
        <v>4607.2507429661937</v>
      </c>
      <c r="M284" s="27"/>
      <c r="N284" s="27">
        <f t="shared" si="41"/>
        <v>2477.8456338369247</v>
      </c>
      <c r="O284" s="27">
        <f t="shared" si="42"/>
        <v>2129.405109129269</v>
      </c>
      <c r="P284" s="27">
        <f t="shared" si="43"/>
        <v>295212.07095130172</v>
      </c>
    </row>
    <row r="285" spans="2:16" x14ac:dyDescent="0.25">
      <c r="B285" s="30">
        <v>269</v>
      </c>
      <c r="J285" s="30">
        <v>269</v>
      </c>
      <c r="K285" s="31">
        <f t="shared" si="44"/>
        <v>53260</v>
      </c>
      <c r="L285" s="27">
        <f t="shared" si="40"/>
        <v>4607.2507429661937</v>
      </c>
      <c r="M285" s="27"/>
      <c r="N285" s="27">
        <f t="shared" si="41"/>
        <v>2460.1005912608475</v>
      </c>
      <c r="O285" s="27">
        <f t="shared" si="42"/>
        <v>2147.1501517053462</v>
      </c>
      <c r="P285" s="27">
        <f t="shared" si="43"/>
        <v>293064.92079959635</v>
      </c>
    </row>
    <row r="286" spans="2:16" x14ac:dyDescent="0.25">
      <c r="B286" s="30">
        <v>270</v>
      </c>
      <c r="J286" s="30">
        <v>270</v>
      </c>
      <c r="K286" s="31">
        <f t="shared" si="44"/>
        <v>53291</v>
      </c>
      <c r="L286" s="27">
        <f t="shared" si="40"/>
        <v>4607.2507429661937</v>
      </c>
      <c r="M286" s="27"/>
      <c r="N286" s="27">
        <f t="shared" si="41"/>
        <v>2442.2076733299696</v>
      </c>
      <c r="O286" s="27">
        <f t="shared" si="42"/>
        <v>2165.0430696362241</v>
      </c>
      <c r="P286" s="27">
        <f t="shared" si="43"/>
        <v>290899.87772996014</v>
      </c>
    </row>
    <row r="287" spans="2:16" x14ac:dyDescent="0.25">
      <c r="B287" s="30">
        <v>271</v>
      </c>
      <c r="J287" s="30">
        <v>271</v>
      </c>
      <c r="K287" s="31">
        <f t="shared" si="44"/>
        <v>53321</v>
      </c>
      <c r="L287" s="27">
        <f t="shared" si="40"/>
        <v>4607.2507429661937</v>
      </c>
      <c r="M287" s="27"/>
      <c r="N287" s="27">
        <f t="shared" si="41"/>
        <v>2424.1656477496676</v>
      </c>
      <c r="O287" s="27">
        <f t="shared" si="42"/>
        <v>2183.085095216526</v>
      </c>
      <c r="P287" s="27">
        <f t="shared" si="43"/>
        <v>288716.79263474362</v>
      </c>
    </row>
    <row r="288" spans="2:16" x14ac:dyDescent="0.25">
      <c r="B288" s="30">
        <v>272</v>
      </c>
      <c r="J288" s="30">
        <v>272</v>
      </c>
      <c r="K288" s="31">
        <f t="shared" si="44"/>
        <v>53352</v>
      </c>
      <c r="L288" s="27">
        <f t="shared" si="40"/>
        <v>4607.2507429661937</v>
      </c>
      <c r="M288" s="27"/>
      <c r="N288" s="27">
        <f t="shared" si="41"/>
        <v>2405.9732719561966</v>
      </c>
      <c r="O288" s="27">
        <f t="shared" si="42"/>
        <v>2201.277471009997</v>
      </c>
      <c r="P288" s="27">
        <f t="shared" si="43"/>
        <v>286515.51516373362</v>
      </c>
    </row>
    <row r="289" spans="2:16" x14ac:dyDescent="0.25">
      <c r="B289" s="30">
        <v>273</v>
      </c>
      <c r="J289" s="30">
        <v>273</v>
      </c>
      <c r="K289" s="31">
        <f t="shared" si="44"/>
        <v>53383</v>
      </c>
      <c r="L289" s="27">
        <f t="shared" si="40"/>
        <v>4607.2507429661937</v>
      </c>
      <c r="M289" s="27"/>
      <c r="N289" s="27">
        <f t="shared" si="41"/>
        <v>2387.6292930311133</v>
      </c>
      <c r="O289" s="27">
        <f t="shared" si="42"/>
        <v>2219.6214499350804</v>
      </c>
      <c r="P289" s="27">
        <f t="shared" si="43"/>
        <v>284295.89371379855</v>
      </c>
    </row>
    <row r="290" spans="2:16" x14ac:dyDescent="0.25">
      <c r="B290" s="30">
        <v>274</v>
      </c>
      <c r="J290" s="30">
        <v>274</v>
      </c>
      <c r="K290" s="31">
        <f t="shared" si="44"/>
        <v>53411</v>
      </c>
      <c r="L290" s="27">
        <f t="shared" si="40"/>
        <v>4607.2507429661937</v>
      </c>
      <c r="M290" s="27"/>
      <c r="N290" s="27">
        <f t="shared" si="41"/>
        <v>2369.132447614988</v>
      </c>
      <c r="O290" s="27">
        <f t="shared" si="42"/>
        <v>2238.1182953512057</v>
      </c>
      <c r="P290" s="27">
        <f t="shared" si="43"/>
        <v>282057.77541844733</v>
      </c>
    </row>
    <row r="291" spans="2:16" x14ac:dyDescent="0.25">
      <c r="B291" s="30">
        <v>275</v>
      </c>
      <c r="J291" s="30">
        <v>275</v>
      </c>
      <c r="K291" s="31">
        <f t="shared" si="44"/>
        <v>53442</v>
      </c>
      <c r="L291" s="27">
        <f t="shared" si="40"/>
        <v>4607.2507429661937</v>
      </c>
      <c r="M291" s="27"/>
      <c r="N291" s="27">
        <f t="shared" si="41"/>
        <v>2350.4814618203945</v>
      </c>
      <c r="O291" s="27">
        <f t="shared" si="42"/>
        <v>2256.7692811457991</v>
      </c>
      <c r="P291" s="27">
        <f t="shared" si="43"/>
        <v>279801.00613730151</v>
      </c>
    </row>
    <row r="292" spans="2:16" x14ac:dyDescent="0.25">
      <c r="B292" s="30">
        <v>276</v>
      </c>
      <c r="J292" s="30">
        <v>276</v>
      </c>
      <c r="K292" s="31">
        <f t="shared" si="44"/>
        <v>53472</v>
      </c>
      <c r="L292" s="27">
        <f t="shared" si="40"/>
        <v>4607.2507429661937</v>
      </c>
      <c r="M292" s="27"/>
      <c r="N292" s="27">
        <f t="shared" si="41"/>
        <v>2331.6750511441792</v>
      </c>
      <c r="O292" s="27">
        <f t="shared" si="42"/>
        <v>2275.5756918220145</v>
      </c>
      <c r="P292" s="27">
        <f t="shared" si="43"/>
        <v>277525.43044547946</v>
      </c>
    </row>
    <row r="293" spans="2:16" x14ac:dyDescent="0.25">
      <c r="B293" s="30">
        <v>277</v>
      </c>
      <c r="J293" s="30">
        <v>277</v>
      </c>
      <c r="K293" s="31">
        <f t="shared" si="44"/>
        <v>53503</v>
      </c>
      <c r="L293" s="27">
        <f t="shared" si="40"/>
        <v>4607.2507429661937</v>
      </c>
      <c r="M293" s="27"/>
      <c r="N293" s="27">
        <f t="shared" si="41"/>
        <v>2312.7119203789953</v>
      </c>
      <c r="O293" s="27">
        <f t="shared" si="42"/>
        <v>2294.5388225871984</v>
      </c>
      <c r="P293" s="27">
        <f t="shared" si="43"/>
        <v>275230.89162289229</v>
      </c>
    </row>
    <row r="294" spans="2:16" x14ac:dyDescent="0.25">
      <c r="B294" s="30">
        <v>278</v>
      </c>
      <c r="J294" s="30">
        <v>278</v>
      </c>
      <c r="K294" s="31">
        <f t="shared" si="44"/>
        <v>53533</v>
      </c>
      <c r="L294" s="27">
        <f t="shared" si="40"/>
        <v>4607.2507429661937</v>
      </c>
      <c r="M294" s="27"/>
      <c r="N294" s="27">
        <f t="shared" si="41"/>
        <v>2293.5907635241024</v>
      </c>
      <c r="O294" s="27">
        <f t="shared" si="42"/>
        <v>2313.6599794420913</v>
      </c>
      <c r="P294" s="27">
        <f t="shared" si="43"/>
        <v>272917.23164345021</v>
      </c>
    </row>
    <row r="295" spans="2:16" x14ac:dyDescent="0.25">
      <c r="B295" s="30">
        <v>279</v>
      </c>
      <c r="J295" s="30">
        <v>279</v>
      </c>
      <c r="K295" s="31">
        <f t="shared" si="44"/>
        <v>53564</v>
      </c>
      <c r="L295" s="27">
        <f t="shared" si="40"/>
        <v>4607.2507429661937</v>
      </c>
      <c r="M295" s="27"/>
      <c r="N295" s="27">
        <f t="shared" si="41"/>
        <v>2274.3102636954186</v>
      </c>
      <c r="O295" s="27">
        <f t="shared" si="42"/>
        <v>2332.9404792707751</v>
      </c>
      <c r="P295" s="27">
        <f t="shared" si="43"/>
        <v>270584.29116417945</v>
      </c>
    </row>
    <row r="296" spans="2:16" x14ac:dyDescent="0.25">
      <c r="B296" s="30">
        <v>280</v>
      </c>
      <c r="J296" s="30">
        <v>280</v>
      </c>
      <c r="K296" s="31">
        <f t="shared" si="44"/>
        <v>53595</v>
      </c>
      <c r="L296" s="27">
        <f t="shared" si="40"/>
        <v>4607.2507429661937</v>
      </c>
      <c r="M296" s="27"/>
      <c r="N296" s="27">
        <f t="shared" si="41"/>
        <v>2254.8690930348289</v>
      </c>
      <c r="O296" s="27">
        <f t="shared" si="42"/>
        <v>2352.3816499313648</v>
      </c>
      <c r="P296" s="27">
        <f t="shared" si="43"/>
        <v>268231.90951424808</v>
      </c>
    </row>
    <row r="297" spans="2:16" x14ac:dyDescent="0.25">
      <c r="B297" s="30">
        <v>281</v>
      </c>
      <c r="J297" s="30">
        <v>281</v>
      </c>
      <c r="K297" s="31">
        <f t="shared" si="44"/>
        <v>53625</v>
      </c>
      <c r="L297" s="27">
        <f t="shared" si="40"/>
        <v>4607.2507429661937</v>
      </c>
      <c r="M297" s="27"/>
      <c r="N297" s="27">
        <f t="shared" si="41"/>
        <v>2235.2659126187341</v>
      </c>
      <c r="O297" s="27">
        <f t="shared" si="42"/>
        <v>2371.9848303474596</v>
      </c>
      <c r="P297" s="27">
        <f t="shared" si="43"/>
        <v>265859.92468390061</v>
      </c>
    </row>
    <row r="298" spans="2:16" x14ac:dyDescent="0.25">
      <c r="B298" s="30">
        <v>282</v>
      </c>
      <c r="J298" s="30">
        <v>282</v>
      </c>
      <c r="K298" s="31">
        <f t="shared" si="44"/>
        <v>53656</v>
      </c>
      <c r="L298" s="27">
        <f t="shared" si="40"/>
        <v>4607.2507429661937</v>
      </c>
      <c r="M298" s="27"/>
      <c r="N298" s="27">
        <f t="shared" si="41"/>
        <v>2215.4993723658386</v>
      </c>
      <c r="O298" s="27">
        <f t="shared" si="42"/>
        <v>2391.7513706003551</v>
      </c>
      <c r="P298" s="27">
        <f t="shared" si="43"/>
        <v>263468.17331330024</v>
      </c>
    </row>
    <row r="299" spans="2:16" x14ac:dyDescent="0.25">
      <c r="B299" s="30">
        <v>283</v>
      </c>
      <c r="J299" s="30">
        <v>283</v>
      </c>
      <c r="K299" s="31">
        <f t="shared" si="44"/>
        <v>53686</v>
      </c>
      <c r="L299" s="27">
        <f t="shared" si="40"/>
        <v>4607.2507429661937</v>
      </c>
      <c r="M299" s="27"/>
      <c r="N299" s="27">
        <f t="shared" si="41"/>
        <v>2195.5681109441684</v>
      </c>
      <c r="O299" s="27">
        <f t="shared" si="42"/>
        <v>2411.6826320220252</v>
      </c>
      <c r="P299" s="27">
        <f t="shared" si="43"/>
        <v>261056.49068127823</v>
      </c>
    </row>
    <row r="300" spans="2:16" x14ac:dyDescent="0.25">
      <c r="B300" s="30">
        <v>284</v>
      </c>
      <c r="J300" s="30">
        <v>284</v>
      </c>
      <c r="K300" s="31">
        <f t="shared" si="44"/>
        <v>53717</v>
      </c>
      <c r="L300" s="27">
        <f t="shared" si="40"/>
        <v>4607.2507429661937</v>
      </c>
      <c r="M300" s="27"/>
      <c r="N300" s="27">
        <f t="shared" si="41"/>
        <v>2175.4707556773187</v>
      </c>
      <c r="O300" s="27">
        <f t="shared" si="42"/>
        <v>2431.779987288875</v>
      </c>
      <c r="P300" s="27">
        <f t="shared" si="43"/>
        <v>258624.71069398936</v>
      </c>
    </row>
    <row r="301" spans="2:16" x14ac:dyDescent="0.25">
      <c r="B301" s="30">
        <v>285</v>
      </c>
      <c r="J301" s="30">
        <v>285</v>
      </c>
      <c r="K301" s="31">
        <f t="shared" si="44"/>
        <v>53748</v>
      </c>
      <c r="L301" s="27">
        <f t="shared" si="40"/>
        <v>4607.2507429661937</v>
      </c>
      <c r="M301" s="27"/>
      <c r="N301" s="27">
        <f t="shared" si="41"/>
        <v>2155.2059224499112</v>
      </c>
      <c r="O301" s="27">
        <f t="shared" si="42"/>
        <v>2452.0448205162825</v>
      </c>
      <c r="P301" s="27">
        <f t="shared" si="43"/>
        <v>256172.66587347307</v>
      </c>
    </row>
    <row r="302" spans="2:16" x14ac:dyDescent="0.25">
      <c r="B302" s="30">
        <v>286</v>
      </c>
      <c r="J302" s="30">
        <v>286</v>
      </c>
      <c r="K302" s="31">
        <f t="shared" si="44"/>
        <v>53776</v>
      </c>
      <c r="L302" s="27">
        <f t="shared" si="40"/>
        <v>4607.2507429661937</v>
      </c>
      <c r="M302" s="27"/>
      <c r="N302" s="27">
        <f t="shared" si="41"/>
        <v>2134.7722156122754</v>
      </c>
      <c r="O302" s="27">
        <f t="shared" si="42"/>
        <v>2472.4785273539183</v>
      </c>
      <c r="P302" s="27">
        <f t="shared" si="43"/>
        <v>253700.18734611914</v>
      </c>
    </row>
    <row r="303" spans="2:16" x14ac:dyDescent="0.25">
      <c r="B303" s="30">
        <v>287</v>
      </c>
      <c r="J303" s="30">
        <v>287</v>
      </c>
      <c r="K303" s="31">
        <f t="shared" si="44"/>
        <v>53807</v>
      </c>
      <c r="L303" s="27">
        <f t="shared" si="40"/>
        <v>4607.2507429661937</v>
      </c>
      <c r="M303" s="27"/>
      <c r="N303" s="27">
        <f t="shared" si="41"/>
        <v>2114.1682278843264</v>
      </c>
      <c r="O303" s="27">
        <f t="shared" si="42"/>
        <v>2493.0825150818673</v>
      </c>
      <c r="P303" s="27">
        <f t="shared" si="43"/>
        <v>251207.10483103729</v>
      </c>
    </row>
    <row r="304" spans="2:16" x14ac:dyDescent="0.25">
      <c r="B304" s="30">
        <v>288</v>
      </c>
      <c r="J304" s="30">
        <v>288</v>
      </c>
      <c r="K304" s="31">
        <f t="shared" si="44"/>
        <v>53837</v>
      </c>
      <c r="L304" s="27">
        <f t="shared" si="40"/>
        <v>4607.2507429661937</v>
      </c>
      <c r="M304" s="27"/>
      <c r="N304" s="27">
        <f t="shared" si="41"/>
        <v>2093.3925402586442</v>
      </c>
      <c r="O304" s="27">
        <f t="shared" si="42"/>
        <v>2513.8582027075495</v>
      </c>
      <c r="P304" s="27">
        <f t="shared" si="43"/>
        <v>248693.24662832974</v>
      </c>
    </row>
    <row r="305" spans="2:16" x14ac:dyDescent="0.25">
      <c r="B305" s="30">
        <v>289</v>
      </c>
      <c r="J305" s="30">
        <v>289</v>
      </c>
      <c r="K305" s="31">
        <f t="shared" si="44"/>
        <v>53868</v>
      </c>
      <c r="L305" s="27">
        <f t="shared" si="40"/>
        <v>4607.2507429661937</v>
      </c>
      <c r="M305" s="27"/>
      <c r="N305" s="27">
        <f t="shared" si="41"/>
        <v>2072.4437219027477</v>
      </c>
      <c r="O305" s="27">
        <f t="shared" si="42"/>
        <v>2534.807021063446</v>
      </c>
      <c r="P305" s="27">
        <f t="shared" si="43"/>
        <v>246158.43960726631</v>
      </c>
    </row>
    <row r="306" spans="2:16" x14ac:dyDescent="0.25">
      <c r="B306" s="30">
        <v>290</v>
      </c>
      <c r="J306" s="30">
        <v>290</v>
      </c>
      <c r="K306" s="31">
        <f t="shared" si="44"/>
        <v>53898</v>
      </c>
      <c r="L306" s="27">
        <f t="shared" si="40"/>
        <v>4607.2507429661937</v>
      </c>
      <c r="M306" s="27"/>
      <c r="N306" s="27">
        <f t="shared" si="41"/>
        <v>2051.3203300605524</v>
      </c>
      <c r="O306" s="27">
        <f t="shared" si="42"/>
        <v>2555.9304129056413</v>
      </c>
      <c r="P306" s="27">
        <f t="shared" si="43"/>
        <v>243602.50919436067</v>
      </c>
    </row>
    <row r="307" spans="2:16" x14ac:dyDescent="0.25">
      <c r="B307" s="30">
        <v>291</v>
      </c>
      <c r="J307" s="30">
        <v>291</v>
      </c>
      <c r="K307" s="31">
        <f t="shared" si="44"/>
        <v>53929</v>
      </c>
      <c r="L307" s="27">
        <f t="shared" si="40"/>
        <v>4607.2507429661937</v>
      </c>
      <c r="M307" s="27"/>
      <c r="N307" s="27">
        <f t="shared" si="41"/>
        <v>2030.0209099530055</v>
      </c>
      <c r="O307" s="27">
        <f t="shared" si="42"/>
        <v>2577.229833013188</v>
      </c>
      <c r="P307" s="27">
        <f t="shared" si="43"/>
        <v>241025.27936134749</v>
      </c>
    </row>
    <row r="308" spans="2:16" x14ac:dyDescent="0.25">
      <c r="B308" s="30">
        <v>292</v>
      </c>
      <c r="J308" s="30">
        <v>292</v>
      </c>
      <c r="K308" s="31">
        <f t="shared" si="44"/>
        <v>53960</v>
      </c>
      <c r="L308" s="27">
        <f t="shared" si="40"/>
        <v>4607.2507429661937</v>
      </c>
      <c r="M308" s="27"/>
      <c r="N308" s="27">
        <f t="shared" si="41"/>
        <v>2008.5439946778959</v>
      </c>
      <c r="O308" s="27">
        <f t="shared" si="42"/>
        <v>2598.7067482882976</v>
      </c>
      <c r="P308" s="27">
        <f t="shared" si="43"/>
        <v>238426.57261305919</v>
      </c>
    </row>
    <row r="309" spans="2:16" x14ac:dyDescent="0.25">
      <c r="B309" s="30">
        <v>293</v>
      </c>
      <c r="J309" s="30">
        <v>293</v>
      </c>
      <c r="K309" s="31">
        <f t="shared" si="44"/>
        <v>53990</v>
      </c>
      <c r="L309" s="27">
        <f t="shared" si="40"/>
        <v>4607.2507429661937</v>
      </c>
      <c r="M309" s="27"/>
      <c r="N309" s="27">
        <f t="shared" si="41"/>
        <v>1986.8881051088265</v>
      </c>
      <c r="O309" s="27">
        <f t="shared" si="42"/>
        <v>2620.3626378573672</v>
      </c>
      <c r="P309" s="27">
        <f t="shared" si="43"/>
        <v>235806.20997520184</v>
      </c>
    </row>
    <row r="310" spans="2:16" x14ac:dyDescent="0.25">
      <c r="B310" s="30">
        <v>294</v>
      </c>
      <c r="J310" s="30">
        <v>294</v>
      </c>
      <c r="K310" s="31">
        <f t="shared" si="44"/>
        <v>54021</v>
      </c>
      <c r="L310" s="27">
        <f t="shared" si="40"/>
        <v>4607.2507429661937</v>
      </c>
      <c r="M310" s="27"/>
      <c r="N310" s="27">
        <f t="shared" si="41"/>
        <v>1965.0517497933486</v>
      </c>
      <c r="O310" s="27">
        <f t="shared" si="42"/>
        <v>2642.1989931728449</v>
      </c>
      <c r="P310" s="27">
        <f t="shared" si="43"/>
        <v>233164.01098202899</v>
      </c>
    </row>
    <row r="311" spans="2:16" x14ac:dyDescent="0.25">
      <c r="B311" s="30">
        <v>295</v>
      </c>
      <c r="J311" s="30">
        <v>295</v>
      </c>
      <c r="K311" s="31">
        <f t="shared" si="44"/>
        <v>54051</v>
      </c>
      <c r="L311" s="27">
        <f t="shared" si="40"/>
        <v>4607.2507429661937</v>
      </c>
      <c r="M311" s="27"/>
      <c r="N311" s="27">
        <f t="shared" si="41"/>
        <v>1943.0334248502415</v>
      </c>
      <c r="O311" s="27">
        <f t="shared" si="42"/>
        <v>2664.2173181159524</v>
      </c>
      <c r="P311" s="27">
        <f t="shared" si="43"/>
        <v>230499.79366391303</v>
      </c>
    </row>
    <row r="312" spans="2:16" x14ac:dyDescent="0.25">
      <c r="B312" s="30">
        <v>296</v>
      </c>
      <c r="J312" s="30">
        <v>296</v>
      </c>
      <c r="K312" s="31">
        <f t="shared" si="44"/>
        <v>54082</v>
      </c>
      <c r="L312" s="27">
        <f t="shared" si="40"/>
        <v>4607.2507429661937</v>
      </c>
      <c r="M312" s="27"/>
      <c r="N312" s="27">
        <f t="shared" si="41"/>
        <v>1920.831613865942</v>
      </c>
      <c r="O312" s="27">
        <f t="shared" si="42"/>
        <v>2686.4191291002517</v>
      </c>
      <c r="P312" s="27">
        <f t="shared" si="43"/>
        <v>227813.37453481278</v>
      </c>
    </row>
    <row r="313" spans="2:16" x14ac:dyDescent="0.25">
      <c r="B313" s="30">
        <v>297</v>
      </c>
      <c r="J313" s="30">
        <v>297</v>
      </c>
      <c r="K313" s="31">
        <f t="shared" si="44"/>
        <v>54113</v>
      </c>
      <c r="L313" s="27">
        <f t="shared" si="40"/>
        <v>4607.2507429661937</v>
      </c>
      <c r="M313" s="27"/>
      <c r="N313" s="27">
        <f t="shared" si="41"/>
        <v>1898.4447877901066</v>
      </c>
      <c r="O313" s="27">
        <f t="shared" si="42"/>
        <v>2708.8059551760871</v>
      </c>
      <c r="P313" s="27">
        <f t="shared" si="43"/>
        <v>225104.56857963669</v>
      </c>
    </row>
    <row r="314" spans="2:16" x14ac:dyDescent="0.25">
      <c r="B314" s="30">
        <v>298</v>
      </c>
      <c r="J314" s="30">
        <v>298</v>
      </c>
      <c r="K314" s="31">
        <f t="shared" si="44"/>
        <v>54142</v>
      </c>
      <c r="L314" s="27">
        <f t="shared" si="40"/>
        <v>4607.2507429661937</v>
      </c>
      <c r="M314" s="27"/>
      <c r="N314" s="27">
        <f t="shared" si="41"/>
        <v>1875.8714048303057</v>
      </c>
      <c r="O314" s="27">
        <f t="shared" si="42"/>
        <v>2731.3793381358882</v>
      </c>
      <c r="P314" s="27">
        <f t="shared" si="43"/>
        <v>222373.1892415008</v>
      </c>
    </row>
    <row r="315" spans="2:16" x14ac:dyDescent="0.25">
      <c r="B315" s="30">
        <v>299</v>
      </c>
      <c r="J315" s="30">
        <v>299</v>
      </c>
      <c r="K315" s="31">
        <f t="shared" si="44"/>
        <v>54173</v>
      </c>
      <c r="L315" s="27">
        <f t="shared" si="40"/>
        <v>4607.2507429661937</v>
      </c>
      <c r="M315" s="27"/>
      <c r="N315" s="27">
        <f t="shared" si="41"/>
        <v>1853.10991034584</v>
      </c>
      <c r="O315" s="27">
        <f t="shared" si="42"/>
        <v>2754.1408326203536</v>
      </c>
      <c r="P315" s="27">
        <f t="shared" si="43"/>
        <v>219619.04840888045</v>
      </c>
    </row>
    <row r="316" spans="2:16" x14ac:dyDescent="0.25">
      <c r="B316" s="30">
        <v>300</v>
      </c>
      <c r="J316" s="30">
        <v>300</v>
      </c>
      <c r="K316" s="31">
        <f t="shared" si="44"/>
        <v>54203</v>
      </c>
      <c r="L316" s="27">
        <f t="shared" si="40"/>
        <v>4607.2507429661937</v>
      </c>
      <c r="M316" s="27"/>
      <c r="N316" s="27">
        <f t="shared" si="41"/>
        <v>1830.1587367406703</v>
      </c>
      <c r="O316" s="27">
        <f t="shared" si="42"/>
        <v>2777.0920062255236</v>
      </c>
      <c r="P316" s="27">
        <f t="shared" si="43"/>
        <v>216841.95640265493</v>
      </c>
    </row>
    <row r="317" spans="2:16" x14ac:dyDescent="0.25">
      <c r="B317" s="30">
        <v>301</v>
      </c>
      <c r="J317" s="30">
        <v>301</v>
      </c>
      <c r="K317" s="31">
        <f t="shared" si="44"/>
        <v>54234</v>
      </c>
      <c r="L317" s="27">
        <f t="shared" si="40"/>
        <v>4607.2507429661937</v>
      </c>
      <c r="M317" s="27"/>
      <c r="N317" s="27">
        <f t="shared" si="41"/>
        <v>1807.0163033554577</v>
      </c>
      <c r="O317" s="27">
        <f t="shared" si="42"/>
        <v>2800.234439610736</v>
      </c>
      <c r="P317" s="27">
        <f t="shared" si="43"/>
        <v>214041.7219630442</v>
      </c>
    </row>
    <row r="318" spans="2:16" x14ac:dyDescent="0.25">
      <c r="B318" s="30">
        <v>302</v>
      </c>
      <c r="J318" s="30">
        <v>302</v>
      </c>
      <c r="K318" s="31">
        <f t="shared" si="44"/>
        <v>54264</v>
      </c>
      <c r="L318" s="27">
        <f t="shared" si="40"/>
        <v>4607.2507429661937</v>
      </c>
      <c r="M318" s="27"/>
      <c r="N318" s="27">
        <f t="shared" si="41"/>
        <v>1783.6810163587015</v>
      </c>
      <c r="O318" s="27">
        <f t="shared" si="42"/>
        <v>2823.5697266074922</v>
      </c>
      <c r="P318" s="27">
        <f t="shared" si="43"/>
        <v>211218.1522364367</v>
      </c>
    </row>
    <row r="319" spans="2:16" x14ac:dyDescent="0.25">
      <c r="B319" s="30">
        <v>303</v>
      </c>
      <c r="J319" s="30">
        <v>303</v>
      </c>
      <c r="K319" s="31">
        <f t="shared" si="44"/>
        <v>54295</v>
      </c>
      <c r="L319" s="27">
        <f t="shared" si="40"/>
        <v>4607.2507429661937</v>
      </c>
      <c r="M319" s="27"/>
      <c r="N319" s="27">
        <f t="shared" si="41"/>
        <v>1760.1512686369724</v>
      </c>
      <c r="O319" s="27">
        <f t="shared" si="42"/>
        <v>2847.0994743292213</v>
      </c>
      <c r="P319" s="27">
        <f t="shared" si="43"/>
        <v>208371.05276210749</v>
      </c>
    </row>
    <row r="320" spans="2:16" x14ac:dyDescent="0.25">
      <c r="B320" s="30">
        <v>304</v>
      </c>
      <c r="J320" s="30">
        <v>304</v>
      </c>
      <c r="K320" s="31">
        <f t="shared" si="44"/>
        <v>54326</v>
      </c>
      <c r="L320" s="27">
        <f t="shared" si="40"/>
        <v>4607.2507429661937</v>
      </c>
      <c r="M320" s="27"/>
      <c r="N320" s="27">
        <f t="shared" si="41"/>
        <v>1736.4254396842291</v>
      </c>
      <c r="O320" s="27">
        <f t="shared" si="42"/>
        <v>2870.8253032819648</v>
      </c>
      <c r="P320" s="27">
        <f t="shared" si="43"/>
        <v>205500.22745882551</v>
      </c>
    </row>
    <row r="321" spans="2:16" x14ac:dyDescent="0.25">
      <c r="B321" s="30">
        <v>305</v>
      </c>
      <c r="J321" s="30">
        <v>305</v>
      </c>
      <c r="K321" s="31">
        <f t="shared" si="44"/>
        <v>54356</v>
      </c>
      <c r="L321" s="27">
        <f t="shared" si="40"/>
        <v>4607.2507429661937</v>
      </c>
      <c r="M321" s="27"/>
      <c r="N321" s="27">
        <f t="shared" si="41"/>
        <v>1712.5018954902125</v>
      </c>
      <c r="O321" s="27">
        <f t="shared" si="42"/>
        <v>2894.7488474759812</v>
      </c>
      <c r="P321" s="27">
        <f t="shared" si="43"/>
        <v>202605.47861134954</v>
      </c>
    </row>
    <row r="322" spans="2:16" x14ac:dyDescent="0.25">
      <c r="B322" s="30">
        <v>306</v>
      </c>
      <c r="J322" s="30">
        <v>306</v>
      </c>
      <c r="K322" s="31">
        <f t="shared" si="44"/>
        <v>54387</v>
      </c>
      <c r="L322" s="27">
        <f t="shared" si="40"/>
        <v>4607.2507429661937</v>
      </c>
      <c r="M322" s="27"/>
      <c r="N322" s="27">
        <f t="shared" si="41"/>
        <v>1688.3789884279129</v>
      </c>
      <c r="O322" s="27">
        <f t="shared" si="42"/>
        <v>2918.8717545382806</v>
      </c>
      <c r="P322" s="27">
        <f t="shared" si="43"/>
        <v>199686.60685681127</v>
      </c>
    </row>
    <row r="323" spans="2:16" x14ac:dyDescent="0.25">
      <c r="B323" s="30">
        <v>307</v>
      </c>
      <c r="J323" s="30">
        <v>307</v>
      </c>
      <c r="K323" s="31">
        <f t="shared" si="44"/>
        <v>54417</v>
      </c>
      <c r="L323" s="27">
        <f t="shared" si="40"/>
        <v>4607.2507429661937</v>
      </c>
      <c r="M323" s="27"/>
      <c r="N323" s="27">
        <f t="shared" si="41"/>
        <v>1664.0550571400938</v>
      </c>
      <c r="O323" s="27">
        <f t="shared" si="42"/>
        <v>2943.1956858261001</v>
      </c>
      <c r="P323" s="27">
        <f t="shared" si="43"/>
        <v>196743.41117098517</v>
      </c>
    </row>
    <row r="324" spans="2:16" x14ac:dyDescent="0.25">
      <c r="B324" s="30">
        <v>308</v>
      </c>
      <c r="J324" s="30">
        <v>308</v>
      </c>
      <c r="K324" s="31">
        <f t="shared" si="44"/>
        <v>54448</v>
      </c>
      <c r="L324" s="27">
        <f t="shared" si="40"/>
        <v>4607.2507429661937</v>
      </c>
      <c r="M324" s="27"/>
      <c r="N324" s="27">
        <f t="shared" si="41"/>
        <v>1639.5284264248764</v>
      </c>
      <c r="O324" s="27">
        <f t="shared" si="42"/>
        <v>2967.722316541317</v>
      </c>
      <c r="P324" s="27">
        <f t="shared" si="43"/>
        <v>193775.68885444384</v>
      </c>
    </row>
    <row r="325" spans="2:16" x14ac:dyDescent="0.25">
      <c r="B325" s="30">
        <v>309</v>
      </c>
      <c r="J325" s="30">
        <v>309</v>
      </c>
      <c r="K325" s="31">
        <f t="shared" si="44"/>
        <v>54479</v>
      </c>
      <c r="L325" s="27">
        <f t="shared" si="40"/>
        <v>4607.2507429661937</v>
      </c>
      <c r="M325" s="27"/>
      <c r="N325" s="27">
        <f t="shared" si="41"/>
        <v>1614.7974071203653</v>
      </c>
      <c r="O325" s="27">
        <f t="shared" si="42"/>
        <v>2992.4533358458284</v>
      </c>
      <c r="P325" s="27">
        <f t="shared" si="43"/>
        <v>190783.235518598</v>
      </c>
    </row>
    <row r="326" spans="2:16" x14ac:dyDescent="0.25">
      <c r="B326" s="30">
        <v>310</v>
      </c>
      <c r="J326" s="30">
        <v>310</v>
      </c>
      <c r="K326" s="31">
        <f t="shared" si="44"/>
        <v>54507</v>
      </c>
      <c r="L326" s="27">
        <f t="shared" si="40"/>
        <v>4607.2507429661937</v>
      </c>
      <c r="M326" s="27"/>
      <c r="N326" s="27">
        <f t="shared" si="41"/>
        <v>1589.8602959883167</v>
      </c>
      <c r="O326" s="27">
        <f t="shared" si="42"/>
        <v>3017.3904469778772</v>
      </c>
      <c r="P326" s="27">
        <f t="shared" si="43"/>
        <v>187765.84507162013</v>
      </c>
    </row>
    <row r="327" spans="2:16" x14ac:dyDescent="0.25">
      <c r="B327" s="30">
        <v>311</v>
      </c>
      <c r="J327" s="30">
        <v>311</v>
      </c>
      <c r="K327" s="31">
        <f t="shared" si="44"/>
        <v>54538</v>
      </c>
      <c r="L327" s="27">
        <f t="shared" si="40"/>
        <v>4607.2507429661937</v>
      </c>
      <c r="M327" s="27"/>
      <c r="N327" s="27">
        <f t="shared" si="41"/>
        <v>1564.7153755968345</v>
      </c>
      <c r="O327" s="27">
        <f t="shared" si="42"/>
        <v>3042.5353673693589</v>
      </c>
      <c r="P327" s="27">
        <f t="shared" si="43"/>
        <v>184723.30970425077</v>
      </c>
    </row>
    <row r="328" spans="2:16" x14ac:dyDescent="0.25">
      <c r="B328" s="30">
        <v>312</v>
      </c>
      <c r="J328" s="30">
        <v>312</v>
      </c>
      <c r="K328" s="31">
        <f t="shared" si="44"/>
        <v>54568</v>
      </c>
      <c r="L328" s="27">
        <f t="shared" si="40"/>
        <v>4607.2507429661937</v>
      </c>
      <c r="M328" s="27"/>
      <c r="N328" s="27">
        <f t="shared" si="41"/>
        <v>1539.3609142020898</v>
      </c>
      <c r="O328" s="27">
        <f t="shared" si="42"/>
        <v>3067.8898287641041</v>
      </c>
      <c r="P328" s="27">
        <f t="shared" si="43"/>
        <v>181655.41987548667</v>
      </c>
    </row>
    <row r="329" spans="2:16" x14ac:dyDescent="0.25">
      <c r="B329" s="30">
        <v>313</v>
      </c>
      <c r="J329" s="30">
        <v>313</v>
      </c>
      <c r="K329" s="31">
        <f t="shared" si="44"/>
        <v>54599</v>
      </c>
      <c r="L329" s="27">
        <f t="shared" si="40"/>
        <v>4607.2507429661937</v>
      </c>
      <c r="M329" s="27"/>
      <c r="N329" s="27">
        <f t="shared" si="41"/>
        <v>1513.7951656290556</v>
      </c>
      <c r="O329" s="27">
        <f t="shared" si="42"/>
        <v>3093.455577337138</v>
      </c>
      <c r="P329" s="27">
        <f t="shared" si="43"/>
        <v>178561.96429814954</v>
      </c>
    </row>
    <row r="330" spans="2:16" x14ac:dyDescent="0.25">
      <c r="B330" s="30">
        <v>314</v>
      </c>
      <c r="J330" s="30">
        <v>314</v>
      </c>
      <c r="K330" s="31">
        <f t="shared" si="44"/>
        <v>54629</v>
      </c>
      <c r="L330" s="27">
        <f t="shared" si="40"/>
        <v>4607.2507429661937</v>
      </c>
      <c r="M330" s="27"/>
      <c r="N330" s="27">
        <f t="shared" si="41"/>
        <v>1488.0163691512462</v>
      </c>
      <c r="O330" s="27">
        <f t="shared" si="42"/>
        <v>3119.2343738149475</v>
      </c>
      <c r="P330" s="27">
        <f t="shared" si="43"/>
        <v>175442.72992433459</v>
      </c>
    </row>
    <row r="331" spans="2:16" x14ac:dyDescent="0.25">
      <c r="B331" s="30">
        <v>315</v>
      </c>
      <c r="J331" s="30">
        <v>315</v>
      </c>
      <c r="K331" s="31">
        <f t="shared" si="44"/>
        <v>54660</v>
      </c>
      <c r="L331" s="27">
        <f t="shared" si="40"/>
        <v>4607.2507429661937</v>
      </c>
      <c r="M331" s="27"/>
      <c r="N331" s="27">
        <f t="shared" si="41"/>
        <v>1462.0227493694549</v>
      </c>
      <c r="O331" s="27">
        <f t="shared" si="42"/>
        <v>3145.227993596739</v>
      </c>
      <c r="P331" s="27">
        <f t="shared" si="43"/>
        <v>172297.50193073784</v>
      </c>
    </row>
    <row r="332" spans="2:16" x14ac:dyDescent="0.25">
      <c r="B332" s="30">
        <v>316</v>
      </c>
      <c r="J332" s="30">
        <v>316</v>
      </c>
      <c r="K332" s="31">
        <f t="shared" si="44"/>
        <v>54691</v>
      </c>
      <c r="L332" s="27">
        <f t="shared" si="40"/>
        <v>4607.2507429661937</v>
      </c>
      <c r="M332" s="27"/>
      <c r="N332" s="27">
        <f t="shared" si="41"/>
        <v>1435.812516089482</v>
      </c>
      <c r="O332" s="27">
        <f t="shared" si="42"/>
        <v>3171.4382268767117</v>
      </c>
      <c r="P332" s="27">
        <f t="shared" si="43"/>
        <v>169126.06370386112</v>
      </c>
    </row>
    <row r="333" spans="2:16" x14ac:dyDescent="0.25">
      <c r="B333" s="30">
        <v>317</v>
      </c>
      <c r="J333" s="30">
        <v>317</v>
      </c>
      <c r="K333" s="31">
        <f t="shared" si="44"/>
        <v>54721</v>
      </c>
      <c r="L333" s="27">
        <f t="shared" si="40"/>
        <v>4607.2507429661937</v>
      </c>
      <c r="M333" s="27"/>
      <c r="N333" s="27">
        <f t="shared" si="41"/>
        <v>1409.3838641988427</v>
      </c>
      <c r="O333" s="27">
        <f t="shared" si="42"/>
        <v>3197.866878767351</v>
      </c>
      <c r="P333" s="27">
        <f t="shared" si="43"/>
        <v>165928.19682509376</v>
      </c>
    </row>
    <row r="334" spans="2:16" x14ac:dyDescent="0.25">
      <c r="B334" s="30">
        <v>318</v>
      </c>
      <c r="J334" s="30">
        <v>318</v>
      </c>
      <c r="K334" s="31">
        <f t="shared" si="44"/>
        <v>54752</v>
      </c>
      <c r="L334" s="27">
        <f t="shared" si="40"/>
        <v>4607.2507429661937</v>
      </c>
      <c r="M334" s="27"/>
      <c r="N334" s="27">
        <f t="shared" si="41"/>
        <v>1382.734973542448</v>
      </c>
      <c r="O334" s="27">
        <f t="shared" si="42"/>
        <v>3224.515769423746</v>
      </c>
      <c r="P334" s="27">
        <f t="shared" si="43"/>
        <v>162703.68105567002</v>
      </c>
    </row>
    <row r="335" spans="2:16" x14ac:dyDescent="0.25">
      <c r="B335" s="30">
        <v>319</v>
      </c>
      <c r="J335" s="30">
        <v>319</v>
      </c>
      <c r="K335" s="31">
        <f t="shared" si="44"/>
        <v>54782</v>
      </c>
      <c r="L335" s="27">
        <f t="shared" si="40"/>
        <v>4607.2507429661937</v>
      </c>
      <c r="M335" s="27"/>
      <c r="N335" s="27">
        <f t="shared" si="41"/>
        <v>1355.8640087972501</v>
      </c>
      <c r="O335" s="27">
        <f t="shared" si="42"/>
        <v>3251.3867341689438</v>
      </c>
      <c r="P335" s="27">
        <f t="shared" si="43"/>
        <v>159452.29432150107</v>
      </c>
    </row>
    <row r="336" spans="2:16" x14ac:dyDescent="0.25">
      <c r="B336" s="30">
        <v>320</v>
      </c>
      <c r="J336" s="30">
        <v>320</v>
      </c>
      <c r="K336" s="31">
        <f t="shared" si="44"/>
        <v>54813</v>
      </c>
      <c r="L336" s="27">
        <f t="shared" si="40"/>
        <v>4607.2507429661937</v>
      </c>
      <c r="M336" s="27"/>
      <c r="N336" s="27">
        <f t="shared" si="41"/>
        <v>1328.7691193458422</v>
      </c>
      <c r="O336" s="27">
        <f t="shared" si="42"/>
        <v>3278.4816236203515</v>
      </c>
      <c r="P336" s="27">
        <f t="shared" si="43"/>
        <v>156173.81269788073</v>
      </c>
    </row>
    <row r="337" spans="2:16" x14ac:dyDescent="0.25">
      <c r="B337" s="30">
        <v>321</v>
      </c>
      <c r="J337" s="30">
        <v>321</v>
      </c>
      <c r="K337" s="31">
        <f t="shared" si="44"/>
        <v>54844</v>
      </c>
      <c r="L337" s="27">
        <f t="shared" si="40"/>
        <v>4607.2507429661937</v>
      </c>
      <c r="M337" s="27"/>
      <c r="N337" s="27">
        <f t="shared" si="41"/>
        <v>1301.4484391490059</v>
      </c>
      <c r="O337" s="27">
        <f t="shared" si="42"/>
        <v>3305.8023038171877</v>
      </c>
      <c r="P337" s="27">
        <f t="shared" si="43"/>
        <v>152868.01039406355</v>
      </c>
    </row>
    <row r="338" spans="2:16" x14ac:dyDescent="0.25">
      <c r="B338" s="30">
        <v>322</v>
      </c>
      <c r="J338" s="30">
        <v>322</v>
      </c>
      <c r="K338" s="31">
        <f t="shared" si="44"/>
        <v>54872</v>
      </c>
      <c r="L338" s="27">
        <f t="shared" ref="L338:L376" si="45">IF(P337+N338&lt;$L$13,P337+N338,$L$13)</f>
        <v>4607.2507429661937</v>
      </c>
      <c r="M338" s="27"/>
      <c r="N338" s="27">
        <f t="shared" ref="N338:N376" si="46">P337*$P$5</f>
        <v>1273.9000866171962</v>
      </c>
      <c r="O338" s="27">
        <f t="shared" ref="O338:O376" si="47">L338-N338+M338</f>
        <v>3333.3506563489973</v>
      </c>
      <c r="P338" s="27">
        <f t="shared" ref="P338:P376" si="48">P337-O338</f>
        <v>149534.65973771454</v>
      </c>
    </row>
    <row r="339" spans="2:16" x14ac:dyDescent="0.25">
      <c r="B339" s="30">
        <v>323</v>
      </c>
      <c r="J339" s="30">
        <v>323</v>
      </c>
      <c r="K339" s="31">
        <f t="shared" ref="K339:K376" si="49">IF(P338&lt;=0,"",EDATE(K338,IF($L$8="Monthly",1,12)))</f>
        <v>54903</v>
      </c>
      <c r="L339" s="27">
        <f t="shared" si="45"/>
        <v>4607.2507429661937</v>
      </c>
      <c r="M339" s="27"/>
      <c r="N339" s="27">
        <f t="shared" si="46"/>
        <v>1246.1221644809546</v>
      </c>
      <c r="O339" s="27">
        <f t="shared" si="47"/>
        <v>3361.1285784852389</v>
      </c>
      <c r="P339" s="27">
        <f t="shared" si="48"/>
        <v>146173.53115922929</v>
      </c>
    </row>
    <row r="340" spans="2:16" x14ac:dyDescent="0.25">
      <c r="B340" s="30">
        <v>324</v>
      </c>
      <c r="J340" s="30">
        <v>324</v>
      </c>
      <c r="K340" s="31">
        <f t="shared" si="49"/>
        <v>54933</v>
      </c>
      <c r="L340" s="27">
        <f t="shared" si="45"/>
        <v>4607.2507429661937</v>
      </c>
      <c r="M340" s="27"/>
      <c r="N340" s="27">
        <f t="shared" si="46"/>
        <v>1218.1127596602441</v>
      </c>
      <c r="O340" s="27">
        <f t="shared" si="47"/>
        <v>3389.1379833059495</v>
      </c>
      <c r="P340" s="27">
        <f t="shared" si="48"/>
        <v>142784.39317592332</v>
      </c>
    </row>
    <row r="341" spans="2:16" x14ac:dyDescent="0.25">
      <c r="B341" s="30">
        <v>325</v>
      </c>
      <c r="J341" s="30">
        <v>325</v>
      </c>
      <c r="K341" s="31">
        <f t="shared" si="49"/>
        <v>54964</v>
      </c>
      <c r="L341" s="27">
        <f t="shared" si="45"/>
        <v>4607.2507429661937</v>
      </c>
      <c r="M341" s="27"/>
      <c r="N341" s="27">
        <f t="shared" si="46"/>
        <v>1189.8699431326943</v>
      </c>
      <c r="O341" s="27">
        <f t="shared" si="47"/>
        <v>3417.3807998334996</v>
      </c>
      <c r="P341" s="27">
        <f t="shared" si="48"/>
        <v>139367.01237608981</v>
      </c>
    </row>
    <row r="342" spans="2:16" x14ac:dyDescent="0.25">
      <c r="B342" s="30">
        <v>326</v>
      </c>
      <c r="J342" s="30">
        <v>326</v>
      </c>
      <c r="K342" s="31">
        <f t="shared" si="49"/>
        <v>54994</v>
      </c>
      <c r="L342" s="27">
        <f t="shared" si="45"/>
        <v>4607.2507429661937</v>
      </c>
      <c r="M342" s="27"/>
      <c r="N342" s="27">
        <f t="shared" si="46"/>
        <v>1161.3917698007485</v>
      </c>
      <c r="O342" s="27">
        <f t="shared" si="47"/>
        <v>3445.8589731654451</v>
      </c>
      <c r="P342" s="27">
        <f t="shared" si="48"/>
        <v>135921.15340292436</v>
      </c>
    </row>
    <row r="343" spans="2:16" x14ac:dyDescent="0.25">
      <c r="B343" s="30">
        <v>327</v>
      </c>
      <c r="J343" s="30">
        <v>327</v>
      </c>
      <c r="K343" s="31">
        <f t="shared" si="49"/>
        <v>55025</v>
      </c>
      <c r="L343" s="27">
        <f t="shared" si="45"/>
        <v>4607.2507429661937</v>
      </c>
      <c r="M343" s="27"/>
      <c r="N343" s="27">
        <f t="shared" si="46"/>
        <v>1132.676278357703</v>
      </c>
      <c r="O343" s="27">
        <f t="shared" si="47"/>
        <v>3474.5744646084904</v>
      </c>
      <c r="P343" s="27">
        <f t="shared" si="48"/>
        <v>132446.57893831588</v>
      </c>
    </row>
    <row r="344" spans="2:16" x14ac:dyDescent="0.25">
      <c r="B344" s="30">
        <v>328</v>
      </c>
      <c r="J344" s="30">
        <v>328</v>
      </c>
      <c r="K344" s="31">
        <f t="shared" si="49"/>
        <v>55056</v>
      </c>
      <c r="L344" s="27">
        <f t="shared" si="45"/>
        <v>4607.2507429661937</v>
      </c>
      <c r="M344" s="27"/>
      <c r="N344" s="27">
        <f t="shared" si="46"/>
        <v>1103.7214911526323</v>
      </c>
      <c r="O344" s="27">
        <f t="shared" si="47"/>
        <v>3503.5292518135611</v>
      </c>
      <c r="P344" s="27">
        <f t="shared" si="48"/>
        <v>128943.04968650232</v>
      </c>
    </row>
    <row r="345" spans="2:16" x14ac:dyDescent="0.25">
      <c r="B345" s="30">
        <v>329</v>
      </c>
      <c r="J345" s="30">
        <v>329</v>
      </c>
      <c r="K345" s="31">
        <f t="shared" si="49"/>
        <v>55086</v>
      </c>
      <c r="L345" s="27">
        <f t="shared" si="45"/>
        <v>4607.2507429661937</v>
      </c>
      <c r="M345" s="27"/>
      <c r="N345" s="27">
        <f t="shared" si="46"/>
        <v>1074.5254140541861</v>
      </c>
      <c r="O345" s="27">
        <f t="shared" si="47"/>
        <v>3532.7253289120076</v>
      </c>
      <c r="P345" s="27">
        <f t="shared" si="48"/>
        <v>125410.3243575903</v>
      </c>
    </row>
    <row r="346" spans="2:16" x14ac:dyDescent="0.25">
      <c r="B346" s="30">
        <v>330</v>
      </c>
      <c r="J346" s="30">
        <v>330</v>
      </c>
      <c r="K346" s="31">
        <f t="shared" si="49"/>
        <v>55117</v>
      </c>
      <c r="L346" s="27">
        <f t="shared" si="45"/>
        <v>4607.2507429661937</v>
      </c>
      <c r="M346" s="27"/>
      <c r="N346" s="27">
        <f t="shared" si="46"/>
        <v>1045.0860363132524</v>
      </c>
      <c r="O346" s="27">
        <f t="shared" si="47"/>
        <v>3562.1647066529413</v>
      </c>
      <c r="P346" s="27">
        <f t="shared" si="48"/>
        <v>121848.15965093736</v>
      </c>
    </row>
    <row r="347" spans="2:16" x14ac:dyDescent="0.25">
      <c r="B347" s="30">
        <v>331</v>
      </c>
      <c r="J347" s="30">
        <v>331</v>
      </c>
      <c r="K347" s="31">
        <f t="shared" si="49"/>
        <v>55147</v>
      </c>
      <c r="L347" s="27">
        <f t="shared" si="45"/>
        <v>4607.2507429661937</v>
      </c>
      <c r="M347" s="27"/>
      <c r="N347" s="27">
        <f t="shared" si="46"/>
        <v>1015.401330424478</v>
      </c>
      <c r="O347" s="27">
        <f t="shared" si="47"/>
        <v>3591.8494125417155</v>
      </c>
      <c r="P347" s="27">
        <f t="shared" si="48"/>
        <v>118256.31023839564</v>
      </c>
    </row>
    <row r="348" spans="2:16" x14ac:dyDescent="0.25">
      <c r="B348" s="30">
        <v>332</v>
      </c>
      <c r="J348" s="30">
        <v>332</v>
      </c>
      <c r="K348" s="31">
        <f t="shared" si="49"/>
        <v>55178</v>
      </c>
      <c r="L348" s="27">
        <f t="shared" si="45"/>
        <v>4607.2507429661937</v>
      </c>
      <c r="M348" s="27"/>
      <c r="N348" s="27">
        <f t="shared" si="46"/>
        <v>985.4692519866303</v>
      </c>
      <c r="O348" s="27">
        <f t="shared" si="47"/>
        <v>3621.7814909795634</v>
      </c>
      <c r="P348" s="27">
        <f t="shared" si="48"/>
        <v>114634.52874741607</v>
      </c>
    </row>
    <row r="349" spans="2:16" x14ac:dyDescent="0.25">
      <c r="B349" s="30">
        <v>333</v>
      </c>
      <c r="J349" s="30">
        <v>333</v>
      </c>
      <c r="K349" s="31">
        <f t="shared" si="49"/>
        <v>55209</v>
      </c>
      <c r="L349" s="27">
        <f t="shared" si="45"/>
        <v>4607.2507429661937</v>
      </c>
      <c r="M349" s="27"/>
      <c r="N349" s="27">
        <f t="shared" si="46"/>
        <v>955.28773956180055</v>
      </c>
      <c r="O349" s="27">
        <f t="shared" si="47"/>
        <v>3651.963003404393</v>
      </c>
      <c r="P349" s="27">
        <f t="shared" si="48"/>
        <v>110982.56574401168</v>
      </c>
    </row>
    <row r="350" spans="2:16" x14ac:dyDescent="0.25">
      <c r="B350" s="30">
        <v>334</v>
      </c>
      <c r="J350" s="30">
        <v>334</v>
      </c>
      <c r="K350" s="31">
        <f t="shared" si="49"/>
        <v>55237</v>
      </c>
      <c r="L350" s="27">
        <f t="shared" si="45"/>
        <v>4607.2507429661937</v>
      </c>
      <c r="M350" s="27"/>
      <c r="N350" s="27">
        <f t="shared" si="46"/>
        <v>924.85471453343064</v>
      </c>
      <c r="O350" s="27">
        <f t="shared" si="47"/>
        <v>3682.3960284327632</v>
      </c>
      <c r="P350" s="27">
        <f t="shared" si="48"/>
        <v>107300.16971557892</v>
      </c>
    </row>
    <row r="351" spans="2:16" x14ac:dyDescent="0.25">
      <c r="B351" s="30">
        <v>335</v>
      </c>
      <c r="J351" s="30">
        <v>335</v>
      </c>
      <c r="K351" s="31">
        <f t="shared" si="49"/>
        <v>55268</v>
      </c>
      <c r="L351" s="27">
        <f t="shared" si="45"/>
        <v>4607.2507429661937</v>
      </c>
      <c r="M351" s="27"/>
      <c r="N351" s="27">
        <f t="shared" si="46"/>
        <v>894.16808096315765</v>
      </c>
      <c r="O351" s="27">
        <f t="shared" si="47"/>
        <v>3713.0826620030361</v>
      </c>
      <c r="P351" s="27">
        <f t="shared" si="48"/>
        <v>103587.08705357587</v>
      </c>
    </row>
    <row r="352" spans="2:16" x14ac:dyDescent="0.25">
      <c r="B352" s="30">
        <v>336</v>
      </c>
      <c r="J352" s="30">
        <v>336</v>
      </c>
      <c r="K352" s="31">
        <f t="shared" si="49"/>
        <v>55298</v>
      </c>
      <c r="L352" s="27">
        <f t="shared" si="45"/>
        <v>4607.2507429661937</v>
      </c>
      <c r="M352" s="27"/>
      <c r="N352" s="27">
        <f t="shared" si="46"/>
        <v>863.22572544646562</v>
      </c>
      <c r="O352" s="27">
        <f t="shared" si="47"/>
        <v>3744.025017519728</v>
      </c>
      <c r="P352" s="27">
        <f t="shared" si="48"/>
        <v>99843.062036056144</v>
      </c>
    </row>
    <row r="353" spans="2:16" x14ac:dyDescent="0.25">
      <c r="B353" s="30">
        <v>337</v>
      </c>
      <c r="J353" s="30">
        <v>337</v>
      </c>
      <c r="K353" s="31">
        <f t="shared" si="49"/>
        <v>55329</v>
      </c>
      <c r="L353" s="27">
        <f t="shared" si="45"/>
        <v>4607.2507429661937</v>
      </c>
      <c r="M353" s="27"/>
      <c r="N353" s="27">
        <f t="shared" si="46"/>
        <v>832.02551696713454</v>
      </c>
      <c r="O353" s="27">
        <f t="shared" si="47"/>
        <v>3775.2252259990591</v>
      </c>
      <c r="P353" s="27">
        <f t="shared" si="48"/>
        <v>96067.836810057081</v>
      </c>
    </row>
    <row r="354" spans="2:16" x14ac:dyDescent="0.25">
      <c r="B354" s="30">
        <v>338</v>
      </c>
      <c r="J354" s="30">
        <v>338</v>
      </c>
      <c r="K354" s="31">
        <f t="shared" si="49"/>
        <v>55359</v>
      </c>
      <c r="L354" s="27">
        <f t="shared" si="45"/>
        <v>4607.2507429661937</v>
      </c>
      <c r="M354" s="27"/>
      <c r="N354" s="27">
        <f t="shared" si="46"/>
        <v>800.56530675047566</v>
      </c>
      <c r="O354" s="27">
        <f t="shared" si="47"/>
        <v>3806.6854362157183</v>
      </c>
      <c r="P354" s="27">
        <f t="shared" si="48"/>
        <v>92261.151373841363</v>
      </c>
    </row>
    <row r="355" spans="2:16" x14ac:dyDescent="0.25">
      <c r="B355" s="30">
        <v>339</v>
      </c>
      <c r="J355" s="30">
        <v>339</v>
      </c>
      <c r="K355" s="31">
        <f t="shared" si="49"/>
        <v>55390</v>
      </c>
      <c r="L355" s="27">
        <f t="shared" si="45"/>
        <v>4607.2507429661937</v>
      </c>
      <c r="M355" s="27"/>
      <c r="N355" s="27">
        <f t="shared" si="46"/>
        <v>768.84292811534465</v>
      </c>
      <c r="O355" s="27">
        <f t="shared" si="47"/>
        <v>3838.4078148508488</v>
      </c>
      <c r="P355" s="27">
        <f t="shared" si="48"/>
        <v>88422.743558990507</v>
      </c>
    </row>
    <row r="356" spans="2:16" x14ac:dyDescent="0.25">
      <c r="B356" s="30">
        <v>340</v>
      </c>
      <c r="J356" s="30">
        <v>340</v>
      </c>
      <c r="K356" s="31">
        <f t="shared" si="49"/>
        <v>55421</v>
      </c>
      <c r="L356" s="27">
        <f t="shared" si="45"/>
        <v>4607.2507429661937</v>
      </c>
      <c r="M356" s="27"/>
      <c r="N356" s="27">
        <f t="shared" si="46"/>
        <v>736.85619632492092</v>
      </c>
      <c r="O356" s="27">
        <f t="shared" si="47"/>
        <v>3870.3945466412729</v>
      </c>
      <c r="P356" s="27">
        <f t="shared" si="48"/>
        <v>84552.349012349237</v>
      </c>
    </row>
    <row r="357" spans="2:16" x14ac:dyDescent="0.25">
      <c r="B357" s="30">
        <v>341</v>
      </c>
      <c r="J357" s="30">
        <v>341</v>
      </c>
      <c r="K357" s="31">
        <f t="shared" si="49"/>
        <v>55451</v>
      </c>
      <c r="L357" s="27">
        <f t="shared" si="45"/>
        <v>4607.2507429661937</v>
      </c>
      <c r="M357" s="27"/>
      <c r="N357" s="27">
        <f t="shared" si="46"/>
        <v>704.60290843624364</v>
      </c>
      <c r="O357" s="27">
        <f t="shared" si="47"/>
        <v>3902.6478345299502</v>
      </c>
      <c r="P357" s="27">
        <f t="shared" si="48"/>
        <v>80649.701177819283</v>
      </c>
    </row>
    <row r="358" spans="2:16" x14ac:dyDescent="0.25">
      <c r="B358" s="30">
        <v>342</v>
      </c>
      <c r="J358" s="30">
        <v>342</v>
      </c>
      <c r="K358" s="31">
        <f t="shared" si="49"/>
        <v>55482</v>
      </c>
      <c r="L358" s="27">
        <f t="shared" si="45"/>
        <v>4607.2507429661937</v>
      </c>
      <c r="M358" s="27"/>
      <c r="N358" s="27">
        <f t="shared" si="46"/>
        <v>672.08084314849407</v>
      </c>
      <c r="O358" s="27">
        <f t="shared" si="47"/>
        <v>3935.1698998176998</v>
      </c>
      <c r="P358" s="27">
        <f t="shared" si="48"/>
        <v>76714.531278001581</v>
      </c>
    </row>
    <row r="359" spans="2:16" x14ac:dyDescent="0.25">
      <c r="B359" s="30">
        <v>343</v>
      </c>
      <c r="J359" s="30">
        <v>343</v>
      </c>
      <c r="K359" s="31">
        <f t="shared" si="49"/>
        <v>55512</v>
      </c>
      <c r="L359" s="27">
        <f t="shared" si="45"/>
        <v>4607.2507429661937</v>
      </c>
      <c r="M359" s="27"/>
      <c r="N359" s="27">
        <f t="shared" si="46"/>
        <v>639.28776065001318</v>
      </c>
      <c r="O359" s="27">
        <f t="shared" si="47"/>
        <v>3967.9629823161804</v>
      </c>
      <c r="P359" s="27">
        <f t="shared" si="48"/>
        <v>72746.5682956854</v>
      </c>
    </row>
    <row r="360" spans="2:16" x14ac:dyDescent="0.25">
      <c r="B360" s="30">
        <v>344</v>
      </c>
      <c r="J360" s="30">
        <v>344</v>
      </c>
      <c r="K360" s="31">
        <f t="shared" si="49"/>
        <v>55543</v>
      </c>
      <c r="L360" s="27">
        <f t="shared" si="45"/>
        <v>4607.2507429661937</v>
      </c>
      <c r="M360" s="27"/>
      <c r="N360" s="27">
        <f t="shared" si="46"/>
        <v>606.22140246404501</v>
      </c>
      <c r="O360" s="27">
        <f t="shared" si="47"/>
        <v>4001.0293405021484</v>
      </c>
      <c r="P360" s="27">
        <f t="shared" si="48"/>
        <v>68745.538955183249</v>
      </c>
    </row>
    <row r="361" spans="2:16" x14ac:dyDescent="0.25">
      <c r="B361" s="30">
        <v>345</v>
      </c>
      <c r="J361" s="30">
        <v>345</v>
      </c>
      <c r="K361" s="31">
        <f t="shared" si="49"/>
        <v>55574</v>
      </c>
      <c r="L361" s="27">
        <f t="shared" si="45"/>
        <v>4607.2507429661937</v>
      </c>
      <c r="M361" s="27"/>
      <c r="N361" s="27">
        <f t="shared" si="46"/>
        <v>572.87949129319372</v>
      </c>
      <c r="O361" s="27">
        <f t="shared" si="47"/>
        <v>4034.3712516730002</v>
      </c>
      <c r="P361" s="27">
        <f t="shared" si="48"/>
        <v>64711.167703510248</v>
      </c>
    </row>
    <row r="362" spans="2:16" x14ac:dyDescent="0.25">
      <c r="B362" s="30">
        <v>346</v>
      </c>
      <c r="J362" s="30">
        <v>346</v>
      </c>
      <c r="K362" s="31">
        <f t="shared" si="49"/>
        <v>55603</v>
      </c>
      <c r="L362" s="27">
        <f t="shared" si="45"/>
        <v>4607.2507429661937</v>
      </c>
      <c r="M362" s="27"/>
      <c r="N362" s="27">
        <f t="shared" si="46"/>
        <v>539.25973086258534</v>
      </c>
      <c r="O362" s="27">
        <f t="shared" si="47"/>
        <v>4067.9910121036082</v>
      </c>
      <c r="P362" s="27">
        <f t="shared" si="48"/>
        <v>60643.176691406639</v>
      </c>
    </row>
    <row r="363" spans="2:16" x14ac:dyDescent="0.25">
      <c r="B363" s="30">
        <v>347</v>
      </c>
      <c r="J363" s="30">
        <v>347</v>
      </c>
      <c r="K363" s="31">
        <f t="shared" si="49"/>
        <v>55634</v>
      </c>
      <c r="L363" s="27">
        <f t="shared" si="45"/>
        <v>4607.2507429661937</v>
      </c>
      <c r="M363" s="27"/>
      <c r="N363" s="27">
        <f t="shared" si="46"/>
        <v>505.35980576172199</v>
      </c>
      <c r="O363" s="27">
        <f t="shared" si="47"/>
        <v>4101.8909372044718</v>
      </c>
      <c r="P363" s="27">
        <f t="shared" si="48"/>
        <v>56541.285754202167</v>
      </c>
    </row>
    <row r="364" spans="2:16" x14ac:dyDescent="0.25">
      <c r="B364" s="30">
        <v>348</v>
      </c>
      <c r="J364" s="30">
        <v>348</v>
      </c>
      <c r="K364" s="31">
        <f t="shared" si="49"/>
        <v>55664</v>
      </c>
      <c r="L364" s="27">
        <f t="shared" si="45"/>
        <v>4607.2507429661937</v>
      </c>
      <c r="M364" s="27"/>
      <c r="N364" s="27">
        <f t="shared" si="46"/>
        <v>471.17738128501804</v>
      </c>
      <c r="O364" s="27">
        <f t="shared" si="47"/>
        <v>4136.0733616811758</v>
      </c>
      <c r="P364" s="27">
        <f t="shared" si="48"/>
        <v>52405.212392520989</v>
      </c>
    </row>
    <row r="365" spans="2:16" x14ac:dyDescent="0.25">
      <c r="B365" s="30">
        <v>349</v>
      </c>
      <c r="J365" s="30">
        <v>349</v>
      </c>
      <c r="K365" s="31">
        <f t="shared" si="49"/>
        <v>55695</v>
      </c>
      <c r="L365" s="27">
        <f t="shared" si="45"/>
        <v>4607.2507429661937</v>
      </c>
      <c r="M365" s="27"/>
      <c r="N365" s="27">
        <f t="shared" si="46"/>
        <v>436.71010327100822</v>
      </c>
      <c r="O365" s="27">
        <f t="shared" si="47"/>
        <v>4170.5406396951857</v>
      </c>
      <c r="P365" s="27">
        <f t="shared" si="48"/>
        <v>48234.671752825801</v>
      </c>
    </row>
    <row r="366" spans="2:16" x14ac:dyDescent="0.25">
      <c r="B366" s="30">
        <v>350</v>
      </c>
      <c r="J366" s="30">
        <v>350</v>
      </c>
      <c r="K366" s="31">
        <f t="shared" si="49"/>
        <v>55725</v>
      </c>
      <c r="L366" s="27">
        <f t="shared" si="45"/>
        <v>4607.2507429661937</v>
      </c>
      <c r="M366" s="27"/>
      <c r="N366" s="27">
        <f t="shared" si="46"/>
        <v>401.955597940215</v>
      </c>
      <c r="O366" s="27">
        <f t="shared" si="47"/>
        <v>4205.2951450259789</v>
      </c>
      <c r="P366" s="27">
        <f t="shared" si="48"/>
        <v>44029.376607799823</v>
      </c>
    </row>
    <row r="367" spans="2:16" x14ac:dyDescent="0.25">
      <c r="B367" s="30">
        <v>351</v>
      </c>
      <c r="J367" s="30">
        <v>351</v>
      </c>
      <c r="K367" s="31">
        <f t="shared" si="49"/>
        <v>55756</v>
      </c>
      <c r="L367" s="27">
        <f t="shared" si="45"/>
        <v>4607.2507429661937</v>
      </c>
      <c r="M367" s="27"/>
      <c r="N367" s="27">
        <f t="shared" si="46"/>
        <v>366.91147173166519</v>
      </c>
      <c r="O367" s="27">
        <f t="shared" si="47"/>
        <v>4240.3392712345285</v>
      </c>
      <c r="P367" s="27">
        <f t="shared" si="48"/>
        <v>39789.037336565292</v>
      </c>
    </row>
    <row r="368" spans="2:16" x14ac:dyDescent="0.25">
      <c r="B368" s="30">
        <v>352</v>
      </c>
      <c r="J368" s="30">
        <v>352</v>
      </c>
      <c r="K368" s="31">
        <f t="shared" si="49"/>
        <v>55787</v>
      </c>
      <c r="L368" s="27">
        <f t="shared" si="45"/>
        <v>4607.2507429661937</v>
      </c>
      <c r="M368" s="27"/>
      <c r="N368" s="27">
        <f t="shared" si="46"/>
        <v>331.57531113804407</v>
      </c>
      <c r="O368" s="27">
        <f t="shared" si="47"/>
        <v>4275.6754318281492</v>
      </c>
      <c r="P368" s="27">
        <f t="shared" si="48"/>
        <v>35513.361904737147</v>
      </c>
    </row>
    <row r="369" spans="2:16" x14ac:dyDescent="0.25">
      <c r="B369" s="30">
        <v>353</v>
      </c>
      <c r="J369" s="30">
        <v>353</v>
      </c>
      <c r="K369" s="31">
        <f t="shared" si="49"/>
        <v>55817</v>
      </c>
      <c r="L369" s="27">
        <f t="shared" si="45"/>
        <v>4607.2507429661937</v>
      </c>
      <c r="M369" s="27"/>
      <c r="N369" s="27">
        <f t="shared" si="46"/>
        <v>295.94468253947622</v>
      </c>
      <c r="O369" s="27">
        <f t="shared" si="47"/>
        <v>4311.3060604267175</v>
      </c>
      <c r="P369" s="27">
        <f t="shared" si="48"/>
        <v>31202.055844310431</v>
      </c>
    </row>
    <row r="370" spans="2:16" x14ac:dyDescent="0.25">
      <c r="B370" s="30">
        <v>354</v>
      </c>
      <c r="J370" s="30">
        <v>354</v>
      </c>
      <c r="K370" s="31">
        <f t="shared" si="49"/>
        <v>55848</v>
      </c>
      <c r="L370" s="27">
        <f t="shared" si="45"/>
        <v>4607.2507429661937</v>
      </c>
      <c r="M370" s="27"/>
      <c r="N370" s="27">
        <f t="shared" si="46"/>
        <v>260.01713203592027</v>
      </c>
      <c r="O370" s="27">
        <f t="shared" si="47"/>
        <v>4347.2336109302732</v>
      </c>
      <c r="P370" s="27">
        <f t="shared" si="48"/>
        <v>26854.822233380157</v>
      </c>
    </row>
    <row r="371" spans="2:16" x14ac:dyDescent="0.25">
      <c r="B371" s="30">
        <v>355</v>
      </c>
      <c r="J371" s="30">
        <v>355</v>
      </c>
      <c r="K371" s="31">
        <f t="shared" si="49"/>
        <v>55878</v>
      </c>
      <c r="L371" s="27">
        <f t="shared" si="45"/>
        <v>4607.2507429661937</v>
      </c>
      <c r="M371" s="27"/>
      <c r="N371" s="27">
        <f t="shared" si="46"/>
        <v>223.79018527816797</v>
      </c>
      <c r="O371" s="27">
        <f t="shared" si="47"/>
        <v>4383.4605576880258</v>
      </c>
      <c r="P371" s="27">
        <f t="shared" si="48"/>
        <v>22471.361675692133</v>
      </c>
    </row>
    <row r="372" spans="2:16" x14ac:dyDescent="0.25">
      <c r="B372" s="30">
        <v>356</v>
      </c>
      <c r="J372" s="30">
        <v>356</v>
      </c>
      <c r="K372" s="31">
        <f t="shared" si="49"/>
        <v>55909</v>
      </c>
      <c r="L372" s="27">
        <f t="shared" si="45"/>
        <v>4607.2507429661937</v>
      </c>
      <c r="M372" s="27"/>
      <c r="N372" s="27">
        <f t="shared" si="46"/>
        <v>187.26134729743444</v>
      </c>
      <c r="O372" s="27">
        <f t="shared" si="47"/>
        <v>4419.9893956687592</v>
      </c>
      <c r="P372" s="27">
        <f t="shared" si="48"/>
        <v>18051.372280023374</v>
      </c>
    </row>
    <row r="373" spans="2:16" x14ac:dyDescent="0.25">
      <c r="B373" s="30">
        <v>357</v>
      </c>
      <c r="J373" s="30">
        <v>357</v>
      </c>
      <c r="K373" s="31">
        <f t="shared" si="49"/>
        <v>55940</v>
      </c>
      <c r="L373" s="27">
        <f t="shared" si="45"/>
        <v>4607.2507429661937</v>
      </c>
      <c r="M373" s="27"/>
      <c r="N373" s="27">
        <f t="shared" si="46"/>
        <v>150.4281023335281</v>
      </c>
      <c r="O373" s="27">
        <f t="shared" si="47"/>
        <v>4456.8226406326658</v>
      </c>
      <c r="P373" s="27">
        <f t="shared" si="48"/>
        <v>13594.549639390709</v>
      </c>
    </row>
    <row r="374" spans="2:16" x14ac:dyDescent="0.25">
      <c r="B374" s="30">
        <v>358</v>
      </c>
      <c r="J374" s="30">
        <v>358</v>
      </c>
      <c r="K374" s="31">
        <f t="shared" si="49"/>
        <v>55968</v>
      </c>
      <c r="L374" s="27">
        <f t="shared" si="45"/>
        <v>4607.2507429661937</v>
      </c>
      <c r="M374" s="27"/>
      <c r="N374" s="27">
        <f t="shared" si="46"/>
        <v>113.28791366158924</v>
      </c>
      <c r="O374" s="27">
        <f t="shared" si="47"/>
        <v>4493.9628293046044</v>
      </c>
      <c r="P374" s="27">
        <f t="shared" si="48"/>
        <v>9100.5868100861044</v>
      </c>
    </row>
    <row r="375" spans="2:16" x14ac:dyDescent="0.25">
      <c r="B375" s="30">
        <v>359</v>
      </c>
      <c r="J375" s="30">
        <v>359</v>
      </c>
      <c r="K375" s="31">
        <f t="shared" si="49"/>
        <v>55999</v>
      </c>
      <c r="L375" s="27">
        <f t="shared" si="45"/>
        <v>4607.2507429661937</v>
      </c>
      <c r="M375" s="27"/>
      <c r="N375" s="27">
        <f t="shared" si="46"/>
        <v>75.838223417384199</v>
      </c>
      <c r="O375" s="27">
        <f t="shared" si="47"/>
        <v>4531.4125195488095</v>
      </c>
      <c r="P375" s="27">
        <f t="shared" si="48"/>
        <v>4569.1742905372948</v>
      </c>
    </row>
    <row r="376" spans="2:16" x14ac:dyDescent="0.25">
      <c r="B376" s="30">
        <v>360</v>
      </c>
      <c r="J376" s="30">
        <v>360</v>
      </c>
      <c r="K376" s="31">
        <f t="shared" si="49"/>
        <v>56029</v>
      </c>
      <c r="L376" s="27">
        <f t="shared" si="45"/>
        <v>4607.2507429584393</v>
      </c>
      <c r="M376" s="27"/>
      <c r="N376" s="27">
        <f t="shared" si="46"/>
        <v>38.076452421144126</v>
      </c>
      <c r="O376" s="27">
        <f t="shared" si="47"/>
        <v>4569.1742905372948</v>
      </c>
      <c r="P376" s="27">
        <f t="shared" si="48"/>
        <v>0</v>
      </c>
    </row>
  </sheetData>
  <dataValidations count="1">
    <dataValidation type="list" allowBlank="1" showInputMessage="1" showErrorMessage="1" sqref="L8 D8">
      <formula1>"Monthly, Annual"</formula1>
    </dataValidation>
  </dataValidations>
  <pageMargins left="0.25" right="0.25"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7:E25"/>
  <sheetViews>
    <sheetView zoomScale="70" zoomScaleNormal="70" workbookViewId="0">
      <selection activeCell="D9" sqref="D9"/>
    </sheetView>
  </sheetViews>
  <sheetFormatPr defaultRowHeight="15" x14ac:dyDescent="0.25"/>
  <cols>
    <col min="1" max="1" width="18.5703125" customWidth="1"/>
    <col min="2" max="2" width="24.85546875" customWidth="1"/>
    <col min="3" max="3" width="25.42578125" customWidth="1"/>
    <col min="4" max="5" width="20.7109375" customWidth="1"/>
    <col min="6" max="6" width="30.28515625" customWidth="1"/>
    <col min="7" max="7" width="28.7109375" bestFit="1" customWidth="1"/>
    <col min="8" max="8" width="30.5703125" bestFit="1" customWidth="1"/>
    <col min="9" max="9" width="12" bestFit="1" customWidth="1"/>
    <col min="10" max="10" width="6.5703125" customWidth="1"/>
    <col min="11" max="11" width="12" bestFit="1" customWidth="1"/>
    <col min="12" max="12" width="28.28515625" customWidth="1"/>
    <col min="13" max="13" width="28.7109375" bestFit="1" customWidth="1"/>
    <col min="14" max="14" width="19.7109375" bestFit="1" customWidth="1"/>
    <col min="15" max="15" width="35.5703125" bestFit="1" customWidth="1"/>
    <col min="16" max="16" width="35.28515625" bestFit="1" customWidth="1"/>
  </cols>
  <sheetData>
    <row r="7" spans="1:5" x14ac:dyDescent="0.25">
      <c r="A7" s="67" t="s">
        <v>1</v>
      </c>
      <c r="B7" s="67" t="s">
        <v>2</v>
      </c>
      <c r="C7" s="68" t="s">
        <v>163</v>
      </c>
      <c r="D7" s="68" t="s">
        <v>164</v>
      </c>
      <c r="E7" t="s">
        <v>165</v>
      </c>
    </row>
    <row r="8" spans="1:5" x14ac:dyDescent="0.25">
      <c r="A8" t="s">
        <v>213</v>
      </c>
      <c r="C8" s="68"/>
      <c r="D8" s="68"/>
      <c r="E8" s="4"/>
    </row>
    <row r="9" spans="1:5" x14ac:dyDescent="0.25">
      <c r="B9" t="s">
        <v>195</v>
      </c>
      <c r="C9" s="68">
        <v>1805.837138387411</v>
      </c>
      <c r="D9" s="68">
        <v>4713.4992570338072</v>
      </c>
      <c r="E9" s="4">
        <v>500</v>
      </c>
    </row>
    <row r="24" spans="1:4" x14ac:dyDescent="0.25">
      <c r="A24" s="67" t="s">
        <v>1</v>
      </c>
      <c r="B24" s="69" t="s">
        <v>167</v>
      </c>
      <c r="C24" s="69" t="s">
        <v>168</v>
      </c>
      <c r="D24" t="s">
        <v>166</v>
      </c>
    </row>
    <row r="25" spans="1:4" x14ac:dyDescent="0.25">
      <c r="A25" t="s">
        <v>213</v>
      </c>
      <c r="B25" s="69">
        <v>1.0230611529511002</v>
      </c>
      <c r="C25" s="69">
        <v>1.2403004760856144</v>
      </c>
      <c r="D25" s="4">
        <v>1.2</v>
      </c>
    </row>
  </sheetData>
  <conditionalFormatting pivot="1" sqref="C8:E9">
    <cfRule type="cellIs" dxfId="4" priority="2" operator="lessThan">
      <formula>0</formula>
    </cfRule>
  </conditionalFormatting>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40</vt:i4>
      </vt:variant>
    </vt:vector>
  </HeadingPairs>
  <TitlesOfParts>
    <vt:vector size="45" baseType="lpstr">
      <vt:lpstr>Dashboard</vt:lpstr>
      <vt:lpstr>Property_Analysis_Database</vt:lpstr>
      <vt:lpstr>Property_Report_Template</vt:lpstr>
      <vt:lpstr>Loan_Schedules</vt:lpstr>
      <vt:lpstr>Properties_Analysis_Pivot</vt:lpstr>
      <vt:lpstr>Acq._Loan_Amortization__y</vt:lpstr>
      <vt:lpstr>Acq._Loan_Interest_Rate</vt:lpstr>
      <vt:lpstr>Acq._Loan_Total_Fees</vt:lpstr>
      <vt:lpstr>Acq._Monthly_P_I</vt:lpstr>
      <vt:lpstr>Address</vt:lpstr>
      <vt:lpstr>After_Repair_Value</vt:lpstr>
      <vt:lpstr>Cash_Needed_at_Purchase</vt:lpstr>
      <vt:lpstr>Down_Payment</vt:lpstr>
      <vt:lpstr>Est._Rehab_Cost</vt:lpstr>
      <vt:lpstr>Est._Rehab_Time__m</vt:lpstr>
      <vt:lpstr>Gross_Income__m</vt:lpstr>
      <vt:lpstr>Holding_Costs</vt:lpstr>
      <vt:lpstr>Initial_Cash_on_Cash_ROI__y</vt:lpstr>
      <vt:lpstr>Initial_Cashflow__m</vt:lpstr>
      <vt:lpstr>Initial_NOI</vt:lpstr>
      <vt:lpstr>Insurance__m</vt:lpstr>
      <vt:lpstr>Monthly_Payment</vt:lpstr>
      <vt:lpstr>Other_Expenses__m</vt:lpstr>
      <vt:lpstr>Pro_Forma_Cap_Rate</vt:lpstr>
      <vt:lpstr>Property_Taxes__m</vt:lpstr>
      <vt:lpstr>Purchase_Cap_Rate</vt:lpstr>
      <vt:lpstr>Purchase_Closing_Cost</vt:lpstr>
      <vt:lpstr>Purchase_Price</vt:lpstr>
      <vt:lpstr>Rate</vt:lpstr>
      <vt:lpstr>Ref._Cash_on_Cash_ROI__y</vt:lpstr>
      <vt:lpstr>Ref._Cashflow__m</vt:lpstr>
      <vt:lpstr>Ref._Gross_Income__m</vt:lpstr>
      <vt:lpstr>Ref._Interest_Rate</vt:lpstr>
      <vt:lpstr>Ref._Loan_Amortization__y</vt:lpstr>
      <vt:lpstr>Ref._Loan_Amount</vt:lpstr>
      <vt:lpstr>Ref._Loan_Total_Fees</vt:lpstr>
      <vt:lpstr>Ref._Monthly_P_I</vt:lpstr>
      <vt:lpstr>Ref._NOI</vt:lpstr>
      <vt:lpstr>Ref._Total_Expenses__m</vt:lpstr>
      <vt:lpstr>Time_To_Refinance__m</vt:lpstr>
      <vt:lpstr>Total_Acq._Loan</vt:lpstr>
      <vt:lpstr>Total_Cash_Invested</vt:lpstr>
      <vt:lpstr>Total_Cash_Outlay</vt:lpstr>
      <vt:lpstr>Total_Expenses__m</vt:lpstr>
      <vt:lpstr>Total_Project_Cost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Margie Hillebrands</dc:creator>
  <cp:lastModifiedBy>Coen</cp:lastModifiedBy>
  <dcterms:created xsi:type="dcterms:W3CDTF">2023-02-16T12:08:30Z</dcterms:created>
  <dcterms:modified xsi:type="dcterms:W3CDTF">2023-05-31T13:43:30Z</dcterms:modified>
</cp:coreProperties>
</file>