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kbanaria/Downloads/"/>
    </mc:Choice>
  </mc:AlternateContent>
  <xr:revisionPtr revIDLastSave="0" documentId="13_ncr:1_{AEB6F815-74A4-0148-95B2-61701AA0B546}" xr6:coauthVersionLast="47" xr6:coauthVersionMax="47" xr10:uidLastSave="{00000000-0000-0000-0000-000000000000}"/>
  <bookViews>
    <workbookView xWindow="0" yWindow="500" windowWidth="38400" windowHeight="19480" tabRatio="460" xr2:uid="{00000000-000D-0000-FFFF-FFFF00000000}"/>
  </bookViews>
  <sheets>
    <sheet name="Testing Dashboard" sheetId="45" r:id="rId1"/>
    <sheet name="Read Me" sheetId="31" r:id="rId2"/>
    <sheet name="Data" sheetId="8" r:id="rId3"/>
    <sheet name="Assumptions" sheetId="43" r:id="rId4"/>
    <sheet name="Credit Risk" sheetId="35" r:id="rId5"/>
    <sheet name="Interest Risk" sheetId="39" r:id="rId6"/>
    <sheet name="FX Risk" sheetId="40" r:id="rId7"/>
    <sheet name="Interbank" sheetId="42" r:id="rId8"/>
    <sheet name="Liquidity" sheetId="44" r:id="rId9"/>
    <sheet name="Scenarios" sheetId="41" r:id="rId10"/>
    <sheet name="xCall" sheetId="46" r:id="rId11"/>
    <sheet name="Banks" sheetId="47" r:id="rId12"/>
    <sheet name="output" sheetId="52" r:id="rId13"/>
    <sheet name="ratios" sheetId="49" r:id="rId14"/>
    <sheet name="source-format-income" sheetId="51" r:id="rId15"/>
    <sheet name="source-format-balance" sheetId="50" r:id="rId16"/>
    <sheet name="source-balance" sheetId="53" r:id="rId17"/>
    <sheet name="source-income" sheetId="54" r:id="rId18"/>
    <sheet name="source-info" sheetId="55" r:id="rId19"/>
  </sheets>
  <definedNames>
    <definedName name="_xlnm.Print_Area" localSheetId="3">Assumptions!$A$1:$U$110</definedName>
    <definedName name="_xlnm.Print_Area" localSheetId="2">Data!$A$1:$Q$187</definedName>
    <definedName name="_xlnm.Print_Area" localSheetId="7">Interbank!$A$1:$Q$180</definedName>
    <definedName name="_xlnm.Print_Area" localSheetId="1">'Read Me'!$A$1:$B$35</definedName>
    <definedName name="_xlnm.Print_Area" localSheetId="9">Scenarios!$A$1:$Q$123</definedName>
    <definedName name="_xlnm.Print_Titles" localSheetId="4">'Credit Risk'!$A:$A,'Credit Risk'!$1:$2</definedName>
    <definedName name="_xlnm.Print_Titles" localSheetId="2">Data!$A:$A,Data!$1:$3</definedName>
    <definedName name="_xlnm.Print_Titles" localSheetId="6">'FX Risk'!$A:$A,'FX Risk'!$1:$2</definedName>
    <definedName name="_xlnm.Print_Titles" localSheetId="7">Interbank!$A:$A,Interbank!$1:$3</definedName>
    <definedName name="_xlnm.Print_Titles" localSheetId="5">'Interest Risk'!$A:$A,'Interest Risk'!$1:$2</definedName>
    <definedName name="_xlnm.Print_Titles" localSheetId="9">Scenarios!$A:$A,Scenarios!$1:$6</definedName>
    <definedName name="TABLE13">#REF!</definedName>
    <definedName name="tABLE14">#REF!</definedName>
    <definedName name="TABLE15">#REF!</definedName>
    <definedName name="TABLE5">#REF!</definedName>
    <definedName name="xInput_Bank">'Testing Dashboard'!$C$4</definedName>
    <definedName name="xInput_CR1_DoubtfulLoans">'Testing Dashboard'!$C$9</definedName>
    <definedName name="xInput_CR1_Haircut">'Testing Dashboard'!$C$11</definedName>
    <definedName name="xInput_CR1_LossLoans">'Testing Dashboard'!$C$10</definedName>
    <definedName name="xInput_CR1_SubstandardLoans">'Testing Dashboard'!$C$8</definedName>
    <definedName name="xInput_CR2_IncreaseNPL">'Testing Dashboard'!$C$14</definedName>
    <definedName name="xInput_CR2_ProvisioningNPL">'Testing Dashboard'!$C$15</definedName>
    <definedName name="xInput_CR3Agri">'Testing Dashboard'!$C$18</definedName>
    <definedName name="xInput_CR3Const">'Testing Dashboard'!$C$20</definedName>
    <definedName name="xInput_CR3Manu">'Testing Dashboard'!$C$19</definedName>
    <definedName name="xInput_CR3Nonbank">'Testing Dashboard'!$C$23</definedName>
    <definedName name="xInput_CR3Other">'Testing Dashboard'!$C$24</definedName>
    <definedName name="xInput_CR3Provis">'Testing Dashboard'!$C$25</definedName>
    <definedName name="xInput_CR3Tour">'Testing Dashboard'!$C$22</definedName>
    <definedName name="xInput_CR3Trade">'Testing Dashboard'!$C$21</definedName>
    <definedName name="xInput_CR4_LEtoNPL">'Testing Dashboard'!$C$33</definedName>
    <definedName name="xInput_CR4_Provisioning">'Testing Dashboard'!$C$34</definedName>
    <definedName name="xInput_FX_ChangeRate">'Testing Dashboard'!$C$37</definedName>
    <definedName name="xInput_FX_NewNPL">'Testing Dashboard'!$C$38</definedName>
    <definedName name="xInput_FX_NPLProvisioning">'Testing Dashboard'!$C$39</definedName>
    <definedName name="xInput_LR_AssetsAvailable">'Testing Dashboard'!$C$30</definedName>
    <definedName name="xInput_LR_Domestic">'Testing Dashboard'!$C$28</definedName>
    <definedName name="xInput_LR_Foreign">'Testing Dashboard'!$C$29</definedName>
    <definedName name="xOutput_BalanceSheetAssets">'Testing Dashboard'!$E$11:$F$15</definedName>
    <definedName name="xOutput_BalanceSheetLiabilities">'Testing Dashboard'!$E$24:$F$27</definedName>
    <definedName name="xOutput_BalanceSheetLoans">'Testing Dashboard'!$E$18:$F$21</definedName>
    <definedName name="xoutput_bankdata">output!$A$2:$B$120</definedName>
    <definedName name="xOutput_CR1_AssetQuality">'Testing Dashboard'!$E$38:$G$41</definedName>
    <definedName name="xOutput_CR1_CAR">'Testing Dashboard'!$E$35:$G$36</definedName>
    <definedName name="xOutput_CR1_LoanValues">'Testing Dashboard'!$E$30:$G$33</definedName>
    <definedName name="xOutput_CR2_AssetValues">'Testing Dashboard'!$E$44:$G$48</definedName>
    <definedName name="xOutput_CR2_CAR">'Testing Dashboard'!$E$50:$G$51</definedName>
    <definedName name="xOutput_CR3_CAR">'Testing Dashboard'!$E$54:$G$55</definedName>
    <definedName name="xOutput_CR3_NPL">'Testing Dashboard'!$E$57:$G$58</definedName>
    <definedName name="xOutput_CR3_NPLSector">'Testing Dashboard'!$E$60:$G$67</definedName>
    <definedName name="xOutput_CR4_AssetValues">'Testing Dashboard'!$E$83:$G$86</definedName>
    <definedName name="xOutput_CR4_CAR">'Testing Dashboard'!$E$80:$G$81</definedName>
    <definedName name="xOutput_CR4_Exposures">'Testing Dashboard'!$E$88:$F$94</definedName>
    <definedName name="xOutput_Description">'Testing Dashboard'!$F$6</definedName>
    <definedName name="xOutput_FX_AssetValues">'Testing Dashboard'!$E$103:$G$105</definedName>
    <definedName name="xOutput_FX_AssetValues2">'Testing Dashboard'!$E$107:$G$110</definedName>
    <definedName name="xOutput_FX_CAR">'Testing Dashboard'!$E$97:$G$98</definedName>
    <definedName name="xOutput_FX_Loans">'Testing Dashboard'!$F$101</definedName>
    <definedName name="xOutput_FX_NetPosition">'Testing Dashboard'!$F$100</definedName>
    <definedName name="xOutput_LiquidutyTable2">'Testing Dashboard'!$E$70:$J$75</definedName>
    <definedName name="xOutput_LR_LiquidityFiveDays">'Testing Dashboard'!$F$77</definedName>
    <definedName name="xOutput_MarketCap">'Testing Dashboard'!$F$7</definedName>
    <definedName name="xOutput_Sector">'Testing Dashboard'!$F$8</definedName>
    <definedName name="xOutput_Ticker">'Testing Dashboard'!$F$5</definedName>
  </definedNames>
  <calcPr calcId="191029" iterateCount="25"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45" l="1"/>
  <c r="F7" i="45"/>
  <c r="F6" i="45"/>
  <c r="B1" i="52"/>
  <c r="B3" i="52" s="1"/>
  <c r="B120" i="46"/>
  <c r="B121" i="46"/>
  <c r="B122" i="46"/>
  <c r="B123" i="46"/>
  <c r="B124" i="46"/>
  <c r="B125" i="46"/>
  <c r="B126" i="46"/>
  <c r="B127" i="46"/>
  <c r="B128" i="46"/>
  <c r="B129" i="46"/>
  <c r="B13" i="46"/>
  <c r="C13" i="46"/>
  <c r="B14" i="46"/>
  <c r="C14" i="46"/>
  <c r="B15" i="46"/>
  <c r="C15" i="46"/>
  <c r="B16" i="46"/>
  <c r="C16" i="46"/>
  <c r="B17" i="46"/>
  <c r="B18" i="46"/>
  <c r="B19" i="46"/>
  <c r="B20" i="46"/>
  <c r="B21" i="46"/>
  <c r="B22" i="46"/>
  <c r="B23" i="46"/>
  <c r="B24" i="46"/>
  <c r="B25" i="46"/>
  <c r="B26" i="46"/>
  <c r="B27" i="46"/>
  <c r="B28" i="46"/>
  <c r="B29" i="46"/>
  <c r="B30" i="46"/>
  <c r="B31" i="46"/>
  <c r="C31" i="46"/>
  <c r="B32" i="46"/>
  <c r="B33" i="46"/>
  <c r="B34" i="46"/>
  <c r="B35" i="46"/>
  <c r="B36" i="46"/>
  <c r="B37" i="46"/>
  <c r="B38" i="46"/>
  <c r="B39" i="46"/>
  <c r="B40" i="46"/>
  <c r="B41" i="46"/>
  <c r="B42" i="46"/>
  <c r="B43" i="46"/>
  <c r="C43" i="46"/>
  <c r="B44" i="46"/>
  <c r="C44" i="46"/>
  <c r="B45" i="46"/>
  <c r="B46" i="46"/>
  <c r="B47" i="46"/>
  <c r="C47" i="46"/>
  <c r="B48" i="46"/>
  <c r="B49" i="46"/>
  <c r="B50" i="46"/>
  <c r="B51" i="46"/>
  <c r="B52" i="46"/>
  <c r="B53" i="46"/>
  <c r="B54" i="46"/>
  <c r="B55" i="46"/>
  <c r="B56" i="46"/>
  <c r="C56" i="46"/>
  <c r="B57" i="46"/>
  <c r="B58" i="46"/>
  <c r="B59" i="46"/>
  <c r="B60" i="46"/>
  <c r="C60" i="46"/>
  <c r="B61" i="46"/>
  <c r="C61" i="46"/>
  <c r="B62" i="46"/>
  <c r="B63" i="46"/>
  <c r="B64" i="46"/>
  <c r="B65" i="46"/>
  <c r="B66" i="46"/>
  <c r="B67" i="46"/>
  <c r="B68" i="46"/>
  <c r="B69" i="46"/>
  <c r="B70" i="46"/>
  <c r="B71" i="46"/>
  <c r="B72" i="46"/>
  <c r="B73" i="46"/>
  <c r="B74" i="46"/>
  <c r="B75" i="46"/>
  <c r="B76" i="46"/>
  <c r="B77" i="46"/>
  <c r="B78" i="46"/>
  <c r="C78" i="46"/>
  <c r="B79" i="46"/>
  <c r="C79" i="46"/>
  <c r="B80" i="46"/>
  <c r="B81" i="46"/>
  <c r="B82" i="46"/>
  <c r="B83" i="46"/>
  <c r="B84" i="46"/>
  <c r="B85" i="46"/>
  <c r="C85" i="46"/>
  <c r="B86" i="46"/>
  <c r="B87" i="46"/>
  <c r="B88" i="46"/>
  <c r="B89" i="46"/>
  <c r="B90" i="46"/>
  <c r="B91" i="46"/>
  <c r="B92" i="46"/>
  <c r="B93" i="46"/>
  <c r="B94" i="46"/>
  <c r="C94" i="46"/>
  <c r="B95" i="46"/>
  <c r="B96" i="46"/>
  <c r="B97" i="46"/>
  <c r="B98" i="46"/>
  <c r="B99" i="46"/>
  <c r="B100" i="46"/>
  <c r="B101" i="46"/>
  <c r="B102" i="46"/>
  <c r="C102" i="46"/>
  <c r="B103" i="46"/>
  <c r="C103" i="46"/>
  <c r="B104" i="46"/>
  <c r="C104" i="46"/>
  <c r="B105" i="46"/>
  <c r="B106" i="46"/>
  <c r="B107" i="46"/>
  <c r="B108" i="46"/>
  <c r="B109" i="46"/>
  <c r="B110" i="46"/>
  <c r="B111" i="46"/>
  <c r="C111" i="46"/>
  <c r="B112" i="46"/>
  <c r="C112" i="46"/>
  <c r="B113" i="46"/>
  <c r="B114" i="46"/>
  <c r="B115" i="46"/>
  <c r="B116" i="46"/>
  <c r="C116" i="46"/>
  <c r="B117" i="46"/>
  <c r="C117" i="46"/>
  <c r="B118" i="46"/>
  <c r="B119" i="46"/>
  <c r="B12" i="46"/>
  <c r="AX40" i="49"/>
  <c r="AW40" i="49"/>
  <c r="AV40" i="49"/>
  <c r="AU40" i="49"/>
  <c r="AT40" i="49"/>
  <c r="AS40" i="49"/>
  <c r="AR40" i="49"/>
  <c r="AQ40" i="49"/>
  <c r="AP40" i="49"/>
  <c r="AO40" i="49"/>
  <c r="AN40" i="49"/>
  <c r="AM40" i="49"/>
  <c r="AL40" i="49"/>
  <c r="AK40" i="49"/>
  <c r="AJ40" i="49"/>
  <c r="AI40" i="49"/>
  <c r="AH40"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B40" i="49"/>
  <c r="AX31" i="49"/>
  <c r="AW31" i="49"/>
  <c r="AV31" i="49"/>
  <c r="AU31" i="49"/>
  <c r="AT31" i="49"/>
  <c r="AS31" i="49"/>
  <c r="AR31" i="49"/>
  <c r="AQ31" i="49"/>
  <c r="AP31" i="49"/>
  <c r="AO31" i="49"/>
  <c r="AN31" i="49"/>
  <c r="AM31" i="49"/>
  <c r="AL31" i="49"/>
  <c r="AK31" i="49"/>
  <c r="AJ31" i="49"/>
  <c r="AI31" i="49"/>
  <c r="AH31"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C31" i="49"/>
  <c r="B31" i="49"/>
  <c r="AX21" i="49"/>
  <c r="AW21" i="49"/>
  <c r="AV21" i="49"/>
  <c r="AU21" i="49"/>
  <c r="AT21" i="49"/>
  <c r="AS21" i="49"/>
  <c r="AR21" i="49"/>
  <c r="AQ21" i="49"/>
  <c r="AP21" i="49"/>
  <c r="AO21" i="49"/>
  <c r="AN21" i="49"/>
  <c r="AM21" i="49"/>
  <c r="AL21" i="49"/>
  <c r="AK21" i="49"/>
  <c r="AJ21" i="49"/>
  <c r="AI21" i="49"/>
  <c r="AH21"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B21" i="49"/>
  <c r="AX14" i="49"/>
  <c r="AW14" i="49"/>
  <c r="AV14" i="49"/>
  <c r="AU14" i="49"/>
  <c r="AT14" i="49"/>
  <c r="AS14" i="49"/>
  <c r="AR14" i="49"/>
  <c r="AQ14" i="49"/>
  <c r="AP14" i="49"/>
  <c r="AO14" i="49"/>
  <c r="AN14" i="49"/>
  <c r="AM14" i="49"/>
  <c r="AL14" i="49"/>
  <c r="AK14" i="49"/>
  <c r="AJ14" i="49"/>
  <c r="AI14" i="49"/>
  <c r="AH14" i="49"/>
  <c r="AG14" i="49"/>
  <c r="AF14" i="49"/>
  <c r="AE14" i="49"/>
  <c r="AD14" i="49"/>
  <c r="AC14" i="49"/>
  <c r="AB14" i="49"/>
  <c r="AA14" i="49"/>
  <c r="Z14" i="49"/>
  <c r="Y14" i="49"/>
  <c r="X14" i="49"/>
  <c r="W14" i="49"/>
  <c r="V14" i="49"/>
  <c r="U14" i="49"/>
  <c r="T14" i="49"/>
  <c r="S14" i="49"/>
  <c r="R14" i="49"/>
  <c r="Q14" i="49"/>
  <c r="P14" i="49"/>
  <c r="O14" i="49"/>
  <c r="N14" i="49"/>
  <c r="M14" i="49"/>
  <c r="L14" i="49"/>
  <c r="K14" i="49"/>
  <c r="J14" i="49"/>
  <c r="I14" i="49"/>
  <c r="H14" i="49"/>
  <c r="G14" i="49"/>
  <c r="F14" i="49"/>
  <c r="E14" i="49"/>
  <c r="D14" i="49"/>
  <c r="C14" i="49"/>
  <c r="B14" i="49"/>
  <c r="D44" i="50" l="1"/>
  <c r="D36" i="50"/>
  <c r="D28" i="50"/>
  <c r="B28" i="50" s="1"/>
  <c r="B18" i="52" s="1"/>
  <c r="B19" i="52" s="1"/>
  <c r="D20" i="50"/>
  <c r="B20" i="50" s="1"/>
  <c r="D12" i="50"/>
  <c r="B12" i="50" s="1"/>
  <c r="D4" i="50"/>
  <c r="B4" i="50" s="1"/>
  <c r="D23" i="51"/>
  <c r="B23" i="51" s="1"/>
  <c r="B23" i="52" s="1"/>
  <c r="D15" i="51"/>
  <c r="B15" i="51" s="1"/>
  <c r="D7" i="51"/>
  <c r="D42" i="50"/>
  <c r="B42" i="50" s="1"/>
  <c r="D26" i="50"/>
  <c r="B26" i="50" s="1"/>
  <c r="D10" i="50"/>
  <c r="B10" i="50" s="1"/>
  <c r="D13" i="51"/>
  <c r="B13" i="51" s="1"/>
  <c r="B27" i="52" s="1"/>
  <c r="B106" i="52"/>
  <c r="C115" i="46" s="1"/>
  <c r="D33" i="50"/>
  <c r="B33" i="50" s="1"/>
  <c r="D17" i="50"/>
  <c r="B17" i="50" s="1"/>
  <c r="B8" i="52" s="1"/>
  <c r="D28" i="51"/>
  <c r="D12" i="51"/>
  <c r="B12" i="51" s="1"/>
  <c r="B26" i="52" s="1"/>
  <c r="B89" i="52"/>
  <c r="C98" i="46" s="1"/>
  <c r="D40" i="50"/>
  <c r="B40" i="50" s="1"/>
  <c r="D24" i="50"/>
  <c r="B24" i="50" s="1"/>
  <c r="D8" i="50"/>
  <c r="B8" i="50" s="1"/>
  <c r="D19" i="51"/>
  <c r="B19" i="51" s="1"/>
  <c r="D3" i="51"/>
  <c r="B3" i="51" s="1"/>
  <c r="D31" i="50"/>
  <c r="B31" i="50" s="1"/>
  <c r="B13" i="52" s="1"/>
  <c r="D23" i="50"/>
  <c r="D7" i="50"/>
  <c r="B7" i="50" s="1"/>
  <c r="D18" i="51"/>
  <c r="B18" i="51" s="1"/>
  <c r="D2" i="51"/>
  <c r="B2" i="51" s="1"/>
  <c r="D38" i="50"/>
  <c r="B38" i="50" s="1"/>
  <c r="D30" i="50"/>
  <c r="B30" i="50" s="1"/>
  <c r="D22" i="50"/>
  <c r="B22" i="50" s="1"/>
  <c r="D14" i="50"/>
  <c r="B14" i="50" s="1"/>
  <c r="D6" i="50"/>
  <c r="D25" i="51"/>
  <c r="B25" i="51" s="1"/>
  <c r="D17" i="51"/>
  <c r="B17" i="51" s="1"/>
  <c r="B24" i="52" s="1"/>
  <c r="D9" i="51"/>
  <c r="B9" i="51" s="1"/>
  <c r="D1" i="51"/>
  <c r="B1" i="51" s="1"/>
  <c r="D37" i="50"/>
  <c r="B37" i="50" s="1"/>
  <c r="D29" i="50"/>
  <c r="B29" i="50" s="1"/>
  <c r="D21" i="50"/>
  <c r="B21" i="50" s="1"/>
  <c r="D13" i="50"/>
  <c r="B13" i="50" s="1"/>
  <c r="D24" i="51"/>
  <c r="B24" i="51" s="1"/>
  <c r="D16" i="51"/>
  <c r="B16" i="51" s="1"/>
  <c r="D8" i="51"/>
  <c r="B8" i="51" s="1"/>
  <c r="D43" i="50"/>
  <c r="B43" i="50" s="1"/>
  <c r="D35" i="50"/>
  <c r="B35" i="50" s="1"/>
  <c r="D27" i="50"/>
  <c r="B27" i="50" s="1"/>
  <c r="D19" i="50"/>
  <c r="B19" i="50" s="1"/>
  <c r="D11" i="50"/>
  <c r="B11" i="50" s="1"/>
  <c r="D3" i="50"/>
  <c r="B3" i="50" s="1"/>
  <c r="D22" i="51"/>
  <c r="B22" i="51" s="1"/>
  <c r="D14" i="51"/>
  <c r="B14" i="51" s="1"/>
  <c r="D6" i="51"/>
  <c r="B6" i="51" s="1"/>
  <c r="D34" i="50"/>
  <c r="B34" i="50" s="1"/>
  <c r="D18" i="50"/>
  <c r="B18" i="50" s="1"/>
  <c r="D2" i="50"/>
  <c r="B2" i="50" s="1"/>
  <c r="D21" i="51"/>
  <c r="B21" i="51" s="1"/>
  <c r="D5" i="51"/>
  <c r="B5" i="51" s="1"/>
  <c r="D41" i="50"/>
  <c r="B41" i="50" s="1"/>
  <c r="D25" i="50"/>
  <c r="B25" i="50" s="1"/>
  <c r="D9" i="50"/>
  <c r="B9" i="50" s="1"/>
  <c r="D20" i="51"/>
  <c r="B20" i="51" s="1"/>
  <c r="B32" i="52" s="1"/>
  <c r="D4" i="51"/>
  <c r="B4" i="51" s="1"/>
  <c r="D32" i="50"/>
  <c r="B32" i="50" s="1"/>
  <c r="D16" i="50"/>
  <c r="B16" i="50" s="1"/>
  <c r="D27" i="51"/>
  <c r="B27" i="51" s="1"/>
  <c r="D11" i="51"/>
  <c r="B11" i="51" s="1"/>
  <c r="D39" i="50"/>
  <c r="B39" i="50" s="1"/>
  <c r="D15" i="50"/>
  <c r="B15" i="50" s="1"/>
  <c r="B10" i="52" s="1"/>
  <c r="D26" i="51"/>
  <c r="B26" i="51" s="1"/>
  <c r="D10" i="51"/>
  <c r="B10" i="51" s="1"/>
  <c r="D5" i="50"/>
  <c r="B5" i="50" s="1"/>
  <c r="D1" i="50"/>
  <c r="B1" i="50" s="1"/>
  <c r="C12" i="46"/>
  <c r="B36" i="50"/>
  <c r="B44" i="50"/>
  <c r="B6" i="50"/>
  <c r="B7" i="51"/>
  <c r="B23" i="50"/>
  <c r="B15" i="52" s="1"/>
  <c r="B16" i="52" s="1"/>
  <c r="B28" i="51"/>
  <c r="B21" i="52" l="1"/>
  <c r="B11" i="52"/>
  <c r="B12" i="52" s="1"/>
  <c r="C21" i="46" s="1"/>
  <c r="B28" i="52"/>
  <c r="C37" i="46" s="1"/>
  <c r="B9" i="52"/>
  <c r="B31" i="52"/>
  <c r="B80" i="52"/>
  <c r="C89" i="46" s="1"/>
  <c r="B79" i="52"/>
  <c r="C88" i="46" s="1"/>
  <c r="B78" i="52"/>
  <c r="B84" i="52"/>
  <c r="C93" i="46" s="1"/>
  <c r="B83" i="52"/>
  <c r="C92" i="46" s="1"/>
  <c r="B82" i="52"/>
  <c r="C91" i="46" s="1"/>
  <c r="C22" i="46"/>
  <c r="C27" i="46"/>
  <c r="C28" i="46"/>
  <c r="C17" i="46"/>
  <c r="B86" i="52"/>
  <c r="B87" i="52" s="1"/>
  <c r="C19" i="46"/>
  <c r="B92" i="52"/>
  <c r="C101" i="46" s="1"/>
  <c r="C24" i="46"/>
  <c r="B14" i="52"/>
  <c r="C23" i="46" s="1"/>
  <c r="C41" i="46"/>
  <c r="C36" i="46"/>
  <c r="C33" i="46"/>
  <c r="B17" i="52"/>
  <c r="C26" i="46" s="1"/>
  <c r="B20" i="52"/>
  <c r="B119" i="52" s="1"/>
  <c r="C128" i="46" s="1"/>
  <c r="B117" i="52" l="1"/>
  <c r="C126" i="46" s="1"/>
  <c r="B118" i="52"/>
  <c r="B111" i="52"/>
  <c r="B110" i="52"/>
  <c r="C119" i="46" s="1"/>
  <c r="B109" i="52"/>
  <c r="C118" i="46" s="1"/>
  <c r="B116" i="52"/>
  <c r="C125" i="46" s="1"/>
  <c r="B115" i="52"/>
  <c r="C124" i="46" s="1"/>
  <c r="B114" i="52"/>
  <c r="C123" i="46" s="1"/>
  <c r="B113" i="52"/>
  <c r="C122" i="46" s="1"/>
  <c r="B120" i="52"/>
  <c r="C129" i="46" s="1"/>
  <c r="B112" i="52"/>
  <c r="C121" i="46" s="1"/>
  <c r="B99" i="52"/>
  <c r="C108" i="46" s="1"/>
  <c r="B98" i="52"/>
  <c r="C107" i="46" s="1"/>
  <c r="B97" i="52"/>
  <c r="C106" i="46" s="1"/>
  <c r="B105" i="52"/>
  <c r="C114" i="46" s="1"/>
  <c r="B104" i="52"/>
  <c r="C113" i="46" s="1"/>
  <c r="B101" i="52"/>
  <c r="C110" i="46" s="1"/>
  <c r="B39" i="52"/>
  <c r="B40" i="52" s="1"/>
  <c r="B100" i="52"/>
  <c r="C109" i="46" s="1"/>
  <c r="B37" i="52"/>
  <c r="C46" i="46" s="1"/>
  <c r="C120" i="46"/>
  <c r="C20" i="46"/>
  <c r="B53" i="52"/>
  <c r="B91" i="52"/>
  <c r="C100" i="46" s="1"/>
  <c r="B77" i="52"/>
  <c r="C86" i="46" s="1"/>
  <c r="B81" i="52"/>
  <c r="C90" i="46" s="1"/>
  <c r="C87" i="46"/>
  <c r="C30" i="46"/>
  <c r="B36" i="52"/>
  <c r="C45" i="46" s="1"/>
  <c r="C18" i="46"/>
  <c r="B90" i="52"/>
  <c r="C99" i="46" s="1"/>
  <c r="C25" i="46"/>
  <c r="B25" i="52"/>
  <c r="B29" i="52" s="1"/>
  <c r="C35" i="46"/>
  <c r="C32" i="46"/>
  <c r="C40" i="46"/>
  <c r="C95" i="46"/>
  <c r="C29" i="46"/>
  <c r="C127" i="46"/>
  <c r="C48" i="46" l="1"/>
  <c r="B42" i="52"/>
  <c r="B61" i="52" s="1"/>
  <c r="C70" i="46" s="1"/>
  <c r="B59" i="52"/>
  <c r="D67" i="52" s="1"/>
  <c r="B58" i="52"/>
  <c r="D66" i="52" s="1"/>
  <c r="B57" i="52"/>
  <c r="D65" i="52" s="1"/>
  <c r="B75" i="52"/>
  <c r="C84" i="46" s="1"/>
  <c r="B56" i="52"/>
  <c r="D64" i="52" s="1"/>
  <c r="B74" i="52"/>
  <c r="C83" i="46" s="1"/>
  <c r="B55" i="52"/>
  <c r="D63" i="52" s="1"/>
  <c r="B73" i="52"/>
  <c r="B54" i="52"/>
  <c r="D62" i="52" s="1"/>
  <c r="B72" i="52"/>
  <c r="C81" i="46" s="1"/>
  <c r="B71" i="52"/>
  <c r="C80" i="46" s="1"/>
  <c r="B60" i="52"/>
  <c r="D68" i="52" s="1"/>
  <c r="B96" i="52"/>
  <c r="C105" i="46" s="1"/>
  <c r="C82" i="46"/>
  <c r="C62" i="46"/>
  <c r="C51" i="46"/>
  <c r="C34" i="46"/>
  <c r="C38" i="46"/>
  <c r="B33" i="52"/>
  <c r="C42" i="46" s="1"/>
  <c r="B88" i="52"/>
  <c r="C97" i="46" s="1"/>
  <c r="C96" i="46"/>
  <c r="B41" i="52"/>
  <c r="C50" i="46" s="1"/>
  <c r="C49" i="46"/>
  <c r="C66" i="46" l="1"/>
  <c r="C69" i="46"/>
  <c r="C68" i="46"/>
  <c r="B46" i="52"/>
  <c r="C55" i="46" s="1"/>
  <c r="B45" i="52"/>
  <c r="B50" i="52" s="1"/>
  <c r="C59" i="46" s="1"/>
  <c r="B44" i="52"/>
  <c r="B49" i="52" s="1"/>
  <c r="C58" i="46" s="1"/>
  <c r="B43" i="52"/>
  <c r="B48" i="52" s="1"/>
  <c r="C57" i="46" s="1"/>
  <c r="C67" i="46"/>
  <c r="C64" i="46"/>
  <c r="C63" i="46"/>
  <c r="C65" i="46"/>
  <c r="B30" i="52"/>
  <c r="C39" i="46" s="1"/>
  <c r="B63" i="52"/>
  <c r="C72" i="46" s="1"/>
  <c r="B64" i="52"/>
  <c r="C73" i="46" s="1"/>
  <c r="B65" i="52"/>
  <c r="C74" i="46" s="1"/>
  <c r="B67" i="52"/>
  <c r="C76" i="46" s="1"/>
  <c r="B62" i="52"/>
  <c r="C71" i="46" s="1"/>
  <c r="B68" i="52"/>
  <c r="C77" i="46" s="1"/>
  <c r="B66" i="52"/>
  <c r="C75" i="46" s="1"/>
  <c r="J2" i="46"/>
  <c r="G4" i="46" s="1"/>
  <c r="C54" i="46" l="1"/>
  <c r="C52" i="46"/>
  <c r="C53" i="46"/>
  <c r="B8" i="46"/>
  <c r="F110" i="45" l="1"/>
  <c r="F105" i="45"/>
  <c r="B66" i="43"/>
  <c r="B65" i="43"/>
  <c r="B63" i="43"/>
  <c r="F5" i="45" l="1"/>
  <c r="Q62" i="8"/>
  <c r="Q71" i="8"/>
  <c r="F92" i="45" s="1"/>
  <c r="Q52" i="8"/>
  <c r="Q14" i="8"/>
  <c r="Q97" i="8"/>
  <c r="Q58" i="8"/>
  <c r="Q54" i="8"/>
  <c r="Q53" i="8"/>
  <c r="Q51" i="8"/>
  <c r="Q68" i="8"/>
  <c r="F89" i="45" s="1"/>
  <c r="Q55" i="8"/>
  <c r="Q72" i="8"/>
  <c r="F93" i="45" s="1"/>
  <c r="Q81" i="8"/>
  <c r="Q6" i="8"/>
  <c r="F12" i="45" s="1"/>
  <c r="Q110" i="8"/>
  <c r="Q86" i="8"/>
  <c r="Q80" i="8"/>
  <c r="Q107" i="8"/>
  <c r="Q74" i="8"/>
  <c r="Q94" i="8"/>
  <c r="Q64" i="8"/>
  <c r="Q78" i="8"/>
  <c r="Q57" i="8"/>
  <c r="Q113" i="8"/>
  <c r="Q33" i="8"/>
  <c r="Q7" i="8"/>
  <c r="F13" i="45" s="1"/>
  <c r="Q77" i="8"/>
  <c r="Q69" i="8"/>
  <c r="F90" i="45" s="1"/>
  <c r="Q63" i="8"/>
  <c r="Q56" i="8"/>
  <c r="Q79" i="8"/>
  <c r="Q23" i="8"/>
  <c r="Q101" i="8"/>
  <c r="Q103" i="8"/>
  <c r="Q17" i="8"/>
  <c r="Q114" i="8"/>
  <c r="Q12" i="8"/>
  <c r="Q83" i="8"/>
  <c r="Q5" i="8"/>
  <c r="Q75" i="8"/>
  <c r="Q112" i="8"/>
  <c r="Q25" i="8"/>
  <c r="Q18" i="8"/>
  <c r="Q41" i="8"/>
  <c r="Q15" i="8"/>
  <c r="Q87" i="8"/>
  <c r="Q95" i="8"/>
  <c r="Q45" i="8"/>
  <c r="F33" i="45" s="1"/>
  <c r="Q98" i="8"/>
  <c r="Q43" i="8"/>
  <c r="F21" i="45" s="1"/>
  <c r="Q11" i="8"/>
  <c r="Q13" i="8"/>
  <c r="Q36" i="8"/>
  <c r="Q59" i="8"/>
  <c r="Q24" i="8"/>
  <c r="Q70" i="8"/>
  <c r="F91" i="45" s="1"/>
  <c r="Q20" i="8"/>
  <c r="Q29" i="8"/>
  <c r="Q108" i="8"/>
  <c r="Q22" i="8"/>
  <c r="Q96" i="8"/>
  <c r="Q60" i="8"/>
  <c r="Q88" i="8"/>
  <c r="Q61" i="8"/>
  <c r="Q65" i="8"/>
  <c r="Q34" i="8"/>
  <c r="Q111" i="8"/>
  <c r="Q37" i="8"/>
  <c r="Q21" i="8"/>
  <c r="Q84" i="8"/>
  <c r="Q115" i="8"/>
  <c r="Q89" i="8"/>
  <c r="Q28" i="8"/>
  <c r="Q39" i="8"/>
  <c r="Q116" i="8"/>
  <c r="Q30" i="8"/>
  <c r="Q109" i="8"/>
  <c r="Q102" i="8"/>
  <c r="Q9" i="8"/>
  <c r="F15" i="45" s="1"/>
  <c r="Q93" i="8"/>
  <c r="Q76" i="8"/>
  <c r="Q42" i="8"/>
  <c r="Q16" i="8"/>
  <c r="Q10" i="8"/>
  <c r="Q38" i="8"/>
  <c r="Q47" i="8"/>
  <c r="F31" i="45" s="1"/>
  <c r="Q46" i="8"/>
  <c r="F32" i="45" s="1"/>
  <c r="Q40" i="8"/>
  <c r="Q8" i="8"/>
  <c r="Q27" i="8"/>
  <c r="Q26" i="8"/>
  <c r="Q106" i="8"/>
  <c r="Q85" i="8"/>
  <c r="Q50" i="8"/>
  <c r="B54" i="43"/>
  <c r="B53" i="43"/>
  <c r="B32" i="43"/>
  <c r="B29" i="43"/>
  <c r="B30" i="43"/>
  <c r="B31" i="43"/>
  <c r="B88" i="43"/>
  <c r="C88" i="43" s="1"/>
  <c r="D88" i="43" s="1"/>
  <c r="E88" i="43" s="1"/>
  <c r="F88" i="43" s="1"/>
  <c r="G88" i="43" s="1"/>
  <c r="H88" i="43" s="1"/>
  <c r="I88" i="43" s="1"/>
  <c r="J88" i="43" s="1"/>
  <c r="K88" i="43" s="1"/>
  <c r="L88" i="43" s="1"/>
  <c r="M88" i="43" s="1"/>
  <c r="B84" i="43"/>
  <c r="C84" i="43" s="1"/>
  <c r="D84" i="43" s="1"/>
  <c r="E84" i="43" s="1"/>
  <c r="F84" i="43" s="1"/>
  <c r="G84" i="43" s="1"/>
  <c r="H84" i="43" s="1"/>
  <c r="I84" i="43" s="1"/>
  <c r="J84" i="43" s="1"/>
  <c r="K84" i="43" s="1"/>
  <c r="L84" i="43" s="1"/>
  <c r="M84" i="43" s="1"/>
  <c r="B83" i="43"/>
  <c r="C83" i="43" s="1"/>
  <c r="D83" i="43" s="1"/>
  <c r="E83" i="43" s="1"/>
  <c r="F83" i="43" s="1"/>
  <c r="G83" i="43" s="1"/>
  <c r="H83" i="43" s="1"/>
  <c r="I83" i="43" s="1"/>
  <c r="J83" i="43" s="1"/>
  <c r="K83" i="43" s="1"/>
  <c r="L83" i="43" s="1"/>
  <c r="M83" i="43" s="1"/>
  <c r="B44" i="43"/>
  <c r="B45" i="43"/>
  <c r="B46" i="43"/>
  <c r="B47" i="43"/>
  <c r="B48" i="43"/>
  <c r="B49" i="43"/>
  <c r="B50" i="43"/>
  <c r="B51" i="43"/>
  <c r="B43" i="43"/>
  <c r="B19" i="45"/>
  <c r="E62" i="45" s="1"/>
  <c r="B20" i="45"/>
  <c r="E63" i="45" s="1"/>
  <c r="B21" i="45"/>
  <c r="E64" i="45" s="1"/>
  <c r="B22" i="45"/>
  <c r="E65" i="45" s="1"/>
  <c r="B23" i="45"/>
  <c r="E66" i="45" s="1"/>
  <c r="B24" i="45"/>
  <c r="E67" i="45" s="1"/>
  <c r="B25" i="45"/>
  <c r="B18" i="45"/>
  <c r="E61" i="45" s="1"/>
  <c r="B39" i="43"/>
  <c r="B35" i="43"/>
  <c r="F94" i="45" l="1"/>
  <c r="B16" i="39"/>
  <c r="B126" i="35"/>
  <c r="B31" i="35"/>
  <c r="B28" i="35"/>
  <c r="B30" i="35"/>
  <c r="B29" i="35"/>
  <c r="Q6" i="35"/>
  <c r="B26" i="35"/>
  <c r="Q7" i="35"/>
  <c r="B27" i="35"/>
  <c r="Q9" i="35"/>
  <c r="Q13" i="35"/>
  <c r="Q10" i="35"/>
  <c r="Q14" i="35"/>
  <c r="Q11" i="35"/>
  <c r="Q15" i="35"/>
  <c r="Q16" i="35"/>
  <c r="Q37" i="35" s="1"/>
  <c r="B48" i="35"/>
  <c r="B49" i="35"/>
  <c r="B46" i="35"/>
  <c r="B51" i="35"/>
  <c r="B6" i="41"/>
  <c r="Q6" i="39"/>
  <c r="Q7" i="39"/>
  <c r="Q8" i="39"/>
  <c r="E8" i="39" s="1"/>
  <c r="B5" i="40"/>
  <c r="G4" i="41" s="1"/>
  <c r="Q12" i="40"/>
  <c r="F101" i="45" s="1"/>
  <c r="B14" i="40"/>
  <c r="B16" i="40"/>
  <c r="P6" i="35"/>
  <c r="P7" i="35"/>
  <c r="P9" i="35"/>
  <c r="P13" i="35"/>
  <c r="P10" i="35"/>
  <c r="P14" i="35"/>
  <c r="P11" i="35"/>
  <c r="P15" i="35"/>
  <c r="P16" i="35"/>
  <c r="P37" i="35" s="1"/>
  <c r="P6" i="39"/>
  <c r="P7" i="39"/>
  <c r="P8" i="39"/>
  <c r="P12" i="39" s="1"/>
  <c r="P12" i="40"/>
  <c r="O6" i="35"/>
  <c r="O7" i="35"/>
  <c r="O9" i="35"/>
  <c r="O13" i="35"/>
  <c r="O10" i="35"/>
  <c r="O14" i="35"/>
  <c r="O11" i="35"/>
  <c r="O15" i="35"/>
  <c r="O16" i="35"/>
  <c r="O37" i="35" s="1"/>
  <c r="O6" i="39"/>
  <c r="O7" i="39"/>
  <c r="O8" i="39"/>
  <c r="O12" i="40"/>
  <c r="N6" i="35"/>
  <c r="N7" i="35"/>
  <c r="N9" i="35"/>
  <c r="N13" i="35"/>
  <c r="N10" i="35"/>
  <c r="N14" i="35"/>
  <c r="N11" i="35"/>
  <c r="N15" i="35"/>
  <c r="N16" i="35"/>
  <c r="N37" i="35"/>
  <c r="N6" i="39"/>
  <c r="N7" i="39"/>
  <c r="N8" i="39"/>
  <c r="N12" i="40"/>
  <c r="M6" i="35"/>
  <c r="M7" i="35"/>
  <c r="M9" i="35"/>
  <c r="M13" i="35"/>
  <c r="M10" i="35"/>
  <c r="M14" i="35"/>
  <c r="M11" i="35"/>
  <c r="M15" i="35"/>
  <c r="M16" i="35"/>
  <c r="M37" i="35" s="1"/>
  <c r="M6" i="39"/>
  <c r="M7" i="39"/>
  <c r="M11" i="39" s="1"/>
  <c r="M8" i="39"/>
  <c r="M12" i="40"/>
  <c r="L6" i="35"/>
  <c r="L7" i="35"/>
  <c r="L9" i="35"/>
  <c r="L13" i="35"/>
  <c r="L10" i="35"/>
  <c r="L14" i="35"/>
  <c r="L11" i="35"/>
  <c r="L15" i="35"/>
  <c r="L16" i="35"/>
  <c r="L37" i="35" s="1"/>
  <c r="L6" i="39"/>
  <c r="L7" i="39"/>
  <c r="L8" i="39"/>
  <c r="L12" i="40"/>
  <c r="K6" i="35"/>
  <c r="K7" i="35"/>
  <c r="K9" i="35"/>
  <c r="K13" i="35"/>
  <c r="K10" i="35"/>
  <c r="K14" i="35"/>
  <c r="K11" i="35"/>
  <c r="K15" i="35"/>
  <c r="K16" i="35"/>
  <c r="K37" i="35" s="1"/>
  <c r="K6" i="39"/>
  <c r="K7" i="39"/>
  <c r="K8" i="39"/>
  <c r="K12" i="40"/>
  <c r="J6" i="35"/>
  <c r="J7" i="35"/>
  <c r="J9" i="35"/>
  <c r="J13" i="35"/>
  <c r="J10" i="35"/>
  <c r="J14" i="35"/>
  <c r="J11" i="35"/>
  <c r="J15" i="35"/>
  <c r="J16" i="35"/>
  <c r="J37" i="35"/>
  <c r="J6" i="39"/>
  <c r="J11" i="39" s="1"/>
  <c r="J7" i="39"/>
  <c r="J8" i="39"/>
  <c r="J12" i="40"/>
  <c r="I6" i="35"/>
  <c r="I7" i="35"/>
  <c r="I9" i="35"/>
  <c r="I13" i="35"/>
  <c r="I10" i="35"/>
  <c r="I14" i="35"/>
  <c r="I11" i="35"/>
  <c r="I15" i="35"/>
  <c r="I16" i="35"/>
  <c r="I37" i="35" s="1"/>
  <c r="I6" i="39"/>
  <c r="I7" i="39"/>
  <c r="I8" i="39"/>
  <c r="D8" i="39" s="1"/>
  <c r="I12" i="40"/>
  <c r="H6" i="35"/>
  <c r="H7" i="35"/>
  <c r="H9" i="35"/>
  <c r="H13" i="35"/>
  <c r="H10" i="35"/>
  <c r="H14" i="35"/>
  <c r="H11" i="35"/>
  <c r="H15" i="35"/>
  <c r="H16" i="35"/>
  <c r="H37" i="35" s="1"/>
  <c r="H6" i="39"/>
  <c r="H7" i="39"/>
  <c r="H8" i="39"/>
  <c r="H12" i="40"/>
  <c r="G6" i="35"/>
  <c r="G7" i="35"/>
  <c r="G9" i="35"/>
  <c r="G13" i="35"/>
  <c r="G10" i="35"/>
  <c r="G14" i="35"/>
  <c r="G11" i="35"/>
  <c r="G15" i="35"/>
  <c r="G16" i="35"/>
  <c r="G37" i="35" s="1"/>
  <c r="C37" i="35" s="1"/>
  <c r="G6" i="39"/>
  <c r="G7" i="39"/>
  <c r="G8" i="39"/>
  <c r="G12" i="40"/>
  <c r="F6" i="35"/>
  <c r="F7" i="35"/>
  <c r="F9" i="35"/>
  <c r="F13" i="35"/>
  <c r="F10" i="35"/>
  <c r="F14" i="35"/>
  <c r="F11" i="35"/>
  <c r="F15" i="35"/>
  <c r="F16" i="35"/>
  <c r="F37" i="35" s="1"/>
  <c r="F6" i="39"/>
  <c r="F7" i="39"/>
  <c r="F11" i="39" s="1"/>
  <c r="F8" i="39"/>
  <c r="F12" i="40"/>
  <c r="Q48" i="41"/>
  <c r="B40" i="35"/>
  <c r="B54" i="35"/>
  <c r="P48" i="41"/>
  <c r="P31" i="41" s="1"/>
  <c r="O48" i="41"/>
  <c r="N48" i="41"/>
  <c r="M48" i="41"/>
  <c r="L48" i="41"/>
  <c r="K48" i="41"/>
  <c r="J48" i="41"/>
  <c r="I48" i="41"/>
  <c r="H48" i="41"/>
  <c r="G48" i="41"/>
  <c r="F48" i="41"/>
  <c r="Q30" i="41"/>
  <c r="B32" i="41"/>
  <c r="P30" i="41"/>
  <c r="O30" i="41"/>
  <c r="N30" i="41"/>
  <c r="M30" i="41"/>
  <c r="L30" i="41"/>
  <c r="K30" i="41"/>
  <c r="J30" i="41"/>
  <c r="I30" i="41"/>
  <c r="H30" i="41"/>
  <c r="G30" i="41"/>
  <c r="F30" i="41"/>
  <c r="G5" i="41"/>
  <c r="G6" i="41"/>
  <c r="Q13" i="44"/>
  <c r="Q15" i="44"/>
  <c r="Q4" i="44"/>
  <c r="Q6" i="44"/>
  <c r="Q8" i="44"/>
  <c r="Q10" i="44"/>
  <c r="Q5" i="44"/>
  <c r="Q7" i="44"/>
  <c r="Q9" i="44"/>
  <c r="Q11" i="44"/>
  <c r="P13" i="44"/>
  <c r="P15" i="44"/>
  <c r="P4" i="44"/>
  <c r="P6" i="44"/>
  <c r="P8" i="44"/>
  <c r="P10" i="44"/>
  <c r="P5" i="44"/>
  <c r="P7" i="44"/>
  <c r="P9" i="44"/>
  <c r="P11" i="44"/>
  <c r="P21" i="44" s="1"/>
  <c r="P32" i="44" s="1"/>
  <c r="P43" i="44" s="1"/>
  <c r="P54" i="44" s="1"/>
  <c r="P65" i="44" s="1"/>
  <c r="O13" i="44"/>
  <c r="O15" i="44"/>
  <c r="O4" i="44"/>
  <c r="O6" i="44"/>
  <c r="O8" i="44"/>
  <c r="O10" i="44"/>
  <c r="O5" i="44"/>
  <c r="O7" i="44"/>
  <c r="O9" i="44"/>
  <c r="O11" i="44"/>
  <c r="N13" i="44"/>
  <c r="N15" i="44"/>
  <c r="N4" i="44"/>
  <c r="N6" i="44"/>
  <c r="N8" i="44"/>
  <c r="N10" i="44"/>
  <c r="N5" i="44"/>
  <c r="N7" i="44"/>
  <c r="N9" i="44"/>
  <c r="N11" i="44"/>
  <c r="M13" i="44"/>
  <c r="M15" i="44"/>
  <c r="M4" i="44"/>
  <c r="M6" i="44"/>
  <c r="M8" i="44"/>
  <c r="M10" i="44"/>
  <c r="M5" i="44"/>
  <c r="M7" i="44"/>
  <c r="M9" i="44"/>
  <c r="M11" i="44"/>
  <c r="L13" i="44"/>
  <c r="L15" i="44"/>
  <c r="L4" i="44"/>
  <c r="L6" i="44"/>
  <c r="L8" i="44"/>
  <c r="L10" i="44"/>
  <c r="L5" i="44"/>
  <c r="L7" i="44"/>
  <c r="L9" i="44"/>
  <c r="L11" i="44"/>
  <c r="K13" i="44"/>
  <c r="K15" i="44"/>
  <c r="K4" i="44"/>
  <c r="K6" i="44"/>
  <c r="K8" i="44"/>
  <c r="D8" i="44" s="1"/>
  <c r="K10" i="44"/>
  <c r="K5" i="44"/>
  <c r="K7" i="44"/>
  <c r="K9" i="44"/>
  <c r="K11" i="44"/>
  <c r="J13" i="44"/>
  <c r="J15" i="44"/>
  <c r="J4" i="44"/>
  <c r="J6" i="44"/>
  <c r="J8" i="44"/>
  <c r="J10" i="44"/>
  <c r="J5" i="44"/>
  <c r="J7" i="44"/>
  <c r="J9" i="44"/>
  <c r="J11" i="44"/>
  <c r="I13" i="44"/>
  <c r="I15" i="44"/>
  <c r="I4" i="44"/>
  <c r="I6" i="44"/>
  <c r="I8" i="44"/>
  <c r="I10" i="44"/>
  <c r="I5" i="44"/>
  <c r="I7" i="44"/>
  <c r="I9" i="44"/>
  <c r="I11" i="44"/>
  <c r="H13" i="44"/>
  <c r="H15" i="44"/>
  <c r="H4" i="44"/>
  <c r="H6" i="44"/>
  <c r="H8" i="44"/>
  <c r="H10" i="44"/>
  <c r="H5" i="44"/>
  <c r="H7" i="44"/>
  <c r="H9" i="44"/>
  <c r="H11" i="44"/>
  <c r="G13" i="44"/>
  <c r="G15" i="44"/>
  <c r="G4" i="44"/>
  <c r="G6" i="44"/>
  <c r="G8" i="44"/>
  <c r="C8" i="44" s="1"/>
  <c r="G10" i="44"/>
  <c r="G5" i="44"/>
  <c r="G7" i="44"/>
  <c r="G9" i="44"/>
  <c r="G11" i="44"/>
  <c r="F13" i="44"/>
  <c r="F15" i="44"/>
  <c r="F4" i="44"/>
  <c r="F6" i="44"/>
  <c r="F8" i="44"/>
  <c r="F10" i="44"/>
  <c r="F21" i="44" s="1"/>
  <c r="F32" i="44" s="1"/>
  <c r="F43" i="44" s="1"/>
  <c r="F54" i="44" s="1"/>
  <c r="F65" i="44" s="1"/>
  <c r="F5" i="44"/>
  <c r="F7" i="44"/>
  <c r="F9" i="44"/>
  <c r="F11" i="44"/>
  <c r="E90" i="8"/>
  <c r="D90" i="8"/>
  <c r="C90" i="8"/>
  <c r="B90" i="8"/>
  <c r="F39" i="8"/>
  <c r="F8" i="35" s="1"/>
  <c r="F36" i="8"/>
  <c r="F5" i="35" s="1"/>
  <c r="F89" i="44"/>
  <c r="Q91" i="44"/>
  <c r="P91" i="44"/>
  <c r="O91" i="44"/>
  <c r="N91" i="44"/>
  <c r="M91" i="44"/>
  <c r="L91" i="44"/>
  <c r="K91" i="44"/>
  <c r="J91" i="44"/>
  <c r="I91" i="44"/>
  <c r="H91" i="44"/>
  <c r="G91" i="44"/>
  <c r="F91" i="44"/>
  <c r="F21" i="42"/>
  <c r="Q10" i="42" s="1"/>
  <c r="Q25" i="42" s="1"/>
  <c r="G21" i="42"/>
  <c r="G36" i="42" s="1"/>
  <c r="H21" i="42"/>
  <c r="Q12" i="42" s="1"/>
  <c r="I21" i="42"/>
  <c r="Q13" i="42" s="1"/>
  <c r="Q28" i="42" s="1"/>
  <c r="J21" i="42"/>
  <c r="Q14" i="42" s="1"/>
  <c r="Q29" i="42" s="1"/>
  <c r="K21" i="42"/>
  <c r="K36" i="42" s="1"/>
  <c r="L21" i="42"/>
  <c r="Q16" i="42" s="1"/>
  <c r="Q31" i="42" s="1"/>
  <c r="M21" i="42"/>
  <c r="Q17" i="42" s="1"/>
  <c r="Q32" i="42" s="1"/>
  <c r="N21" i="42"/>
  <c r="Q18" i="42" s="1"/>
  <c r="Q33" i="42" s="1"/>
  <c r="O21" i="42"/>
  <c r="Q19" i="42"/>
  <c r="Q34" i="42" s="1"/>
  <c r="P21" i="42"/>
  <c r="P36" i="42" s="1"/>
  <c r="F20" i="42"/>
  <c r="P10" i="42" s="1"/>
  <c r="G20" i="42"/>
  <c r="P11" i="42" s="1"/>
  <c r="P26" i="42" s="1"/>
  <c r="H20" i="42"/>
  <c r="P12" i="42" s="1"/>
  <c r="P27" i="42" s="1"/>
  <c r="I20" i="42"/>
  <c r="P13" i="42" s="1"/>
  <c r="P28" i="42" s="1"/>
  <c r="J20" i="42"/>
  <c r="P14" i="42" s="1"/>
  <c r="P29" i="42" s="1"/>
  <c r="K20" i="42"/>
  <c r="P15" i="42" s="1"/>
  <c r="P30" i="42" s="1"/>
  <c r="L20" i="42"/>
  <c r="P16" i="42" s="1"/>
  <c r="P31" i="42" s="1"/>
  <c r="M20" i="42"/>
  <c r="P17" i="42" s="1"/>
  <c r="N20" i="42"/>
  <c r="N35" i="42" s="1"/>
  <c r="O20" i="42"/>
  <c r="P19" i="42" s="1"/>
  <c r="F19" i="42"/>
  <c r="O10" i="42" s="1"/>
  <c r="O25" i="42" s="1"/>
  <c r="G19" i="42"/>
  <c r="O11" i="42" s="1"/>
  <c r="O26" i="42" s="1"/>
  <c r="H19" i="42"/>
  <c r="H34" i="42" s="1"/>
  <c r="I19" i="42"/>
  <c r="O13" i="42" s="1"/>
  <c r="J19" i="42"/>
  <c r="J34" i="42" s="1"/>
  <c r="K19" i="42"/>
  <c r="O15" i="42" s="1"/>
  <c r="O30" i="42" s="1"/>
  <c r="L19" i="42"/>
  <c r="L34" i="42" s="1"/>
  <c r="O16" i="42"/>
  <c r="O31" i="42" s="1"/>
  <c r="M19" i="42"/>
  <c r="O17" i="42" s="1"/>
  <c r="O32" i="42" s="1"/>
  <c r="N19" i="42"/>
  <c r="O18" i="42" s="1"/>
  <c r="O33" i="42" s="1"/>
  <c r="O36" i="42"/>
  <c r="F18" i="42"/>
  <c r="N10" i="42" s="1"/>
  <c r="N25" i="42" s="1"/>
  <c r="G18" i="42"/>
  <c r="N11" i="42" s="1"/>
  <c r="N26" i="42" s="1"/>
  <c r="H18" i="42"/>
  <c r="N12" i="42" s="1"/>
  <c r="I18" i="42"/>
  <c r="I33" i="42" s="1"/>
  <c r="J18" i="42"/>
  <c r="N14" i="42"/>
  <c r="N29" i="42" s="1"/>
  <c r="K18" i="42"/>
  <c r="N15" i="42" s="1"/>
  <c r="N30" i="42" s="1"/>
  <c r="L18" i="42"/>
  <c r="L33" i="42" s="1"/>
  <c r="M18" i="42"/>
  <c r="M33" i="42" s="1"/>
  <c r="F17" i="42"/>
  <c r="F32" i="42" s="1"/>
  <c r="M10" i="42"/>
  <c r="M25" i="42" s="1"/>
  <c r="G17" i="42"/>
  <c r="M11" i="42" s="1"/>
  <c r="H17" i="42"/>
  <c r="M12" i="42" s="1"/>
  <c r="M27" i="42" s="1"/>
  <c r="I17" i="42"/>
  <c r="I32" i="42" s="1"/>
  <c r="J17" i="42"/>
  <c r="M14" i="42" s="1"/>
  <c r="M29" i="42" s="1"/>
  <c r="K17" i="42"/>
  <c r="M15" i="42" s="1"/>
  <c r="L17" i="42"/>
  <c r="L32" i="42" s="1"/>
  <c r="M34" i="42"/>
  <c r="M35" i="42"/>
  <c r="F16" i="42"/>
  <c r="L10" i="42" s="1"/>
  <c r="L25" i="42" s="1"/>
  <c r="G16" i="42"/>
  <c r="L11" i="42" s="1"/>
  <c r="H16" i="42"/>
  <c r="L12" i="42" s="1"/>
  <c r="L27" i="42" s="1"/>
  <c r="I16" i="42"/>
  <c r="I31" i="42" s="1"/>
  <c r="J16" i="42"/>
  <c r="J31" i="42" s="1"/>
  <c r="K16" i="42"/>
  <c r="L15" i="42"/>
  <c r="L30" i="42" s="1"/>
  <c r="F15" i="42"/>
  <c r="K10" i="42" s="1"/>
  <c r="G15" i="42"/>
  <c r="K11" i="42" s="1"/>
  <c r="K26" i="42" s="1"/>
  <c r="H15" i="42"/>
  <c r="K12" i="42" s="1"/>
  <c r="I15" i="42"/>
  <c r="K13" i="42" s="1"/>
  <c r="K28" i="42" s="1"/>
  <c r="J15" i="42"/>
  <c r="K14" i="42" s="1"/>
  <c r="K31" i="42"/>
  <c r="K33" i="42"/>
  <c r="K34" i="42"/>
  <c r="F14" i="42"/>
  <c r="J10" i="42" s="1"/>
  <c r="G14" i="42"/>
  <c r="J11" i="42" s="1"/>
  <c r="J26" i="42" s="1"/>
  <c r="H14" i="42"/>
  <c r="J12" i="42" s="1"/>
  <c r="J27" i="42" s="1"/>
  <c r="I14" i="42"/>
  <c r="I29" i="42" s="1"/>
  <c r="J30" i="42"/>
  <c r="J32" i="42"/>
  <c r="J33" i="42"/>
  <c r="J35" i="42"/>
  <c r="F13" i="42"/>
  <c r="I10" i="42" s="1"/>
  <c r="I25" i="42" s="1"/>
  <c r="G13" i="42"/>
  <c r="I11" i="42" s="1"/>
  <c r="I26" i="42" s="1"/>
  <c r="H13" i="42"/>
  <c r="I12" i="42"/>
  <c r="I27" i="42" s="1"/>
  <c r="I35" i="42"/>
  <c r="F12" i="42"/>
  <c r="F27" i="42" s="1"/>
  <c r="G12" i="42"/>
  <c r="H11" i="42" s="1"/>
  <c r="H26" i="42" s="1"/>
  <c r="F11" i="42"/>
  <c r="G10" i="42"/>
  <c r="G25" i="42" s="1"/>
  <c r="G29" i="42"/>
  <c r="G33" i="42"/>
  <c r="G34" i="42"/>
  <c r="F26" i="42"/>
  <c r="F28" i="42"/>
  <c r="F30" i="42"/>
  <c r="F31" i="42"/>
  <c r="F35" i="42"/>
  <c r="Q93" i="44"/>
  <c r="Q80" i="44"/>
  <c r="Q82" i="44"/>
  <c r="Q84" i="44"/>
  <c r="E84" i="44" s="1"/>
  <c r="Q86" i="44"/>
  <c r="P93" i="44"/>
  <c r="P80" i="44"/>
  <c r="P82" i="44"/>
  <c r="P84" i="44"/>
  <c r="P86" i="44"/>
  <c r="O93" i="44"/>
  <c r="O80" i="44"/>
  <c r="O82" i="44"/>
  <c r="O84" i="44"/>
  <c r="O86" i="44"/>
  <c r="N93" i="44"/>
  <c r="N80" i="44"/>
  <c r="N82" i="44"/>
  <c r="N84" i="44"/>
  <c r="N86" i="44"/>
  <c r="M93" i="44"/>
  <c r="M80" i="44"/>
  <c r="M82" i="44"/>
  <c r="M84" i="44"/>
  <c r="M86" i="44"/>
  <c r="L93" i="44"/>
  <c r="L80" i="44"/>
  <c r="L82" i="44"/>
  <c r="D82" i="44" s="1"/>
  <c r="L84" i="44"/>
  <c r="L86" i="44"/>
  <c r="K93" i="44"/>
  <c r="K80" i="44"/>
  <c r="K82" i="44"/>
  <c r="K84" i="44"/>
  <c r="K86" i="44"/>
  <c r="J93" i="44"/>
  <c r="J80" i="44"/>
  <c r="J82" i="44"/>
  <c r="J84" i="44"/>
  <c r="J86" i="44"/>
  <c r="I93" i="44"/>
  <c r="I80" i="44"/>
  <c r="I82" i="44"/>
  <c r="I84" i="44"/>
  <c r="D84" i="44" s="1"/>
  <c r="I86" i="44"/>
  <c r="H93" i="44"/>
  <c r="H80" i="44"/>
  <c r="H82" i="44"/>
  <c r="H84" i="44"/>
  <c r="H86" i="44"/>
  <c r="G93" i="44"/>
  <c r="G80" i="44"/>
  <c r="C80" i="44" s="1"/>
  <c r="G82" i="44"/>
  <c r="G84" i="44"/>
  <c r="G86" i="44"/>
  <c r="F93" i="44"/>
  <c r="F80" i="44"/>
  <c r="F82" i="44"/>
  <c r="F84" i="44"/>
  <c r="F86" i="44"/>
  <c r="C86" i="44" s="1"/>
  <c r="B4" i="41"/>
  <c r="G39" i="8"/>
  <c r="G36" i="8"/>
  <c r="H39" i="8"/>
  <c r="H8" i="35" s="1"/>
  <c r="H36" i="8"/>
  <c r="H5" i="35" s="1"/>
  <c r="I39" i="8"/>
  <c r="I8" i="35" s="1"/>
  <c r="I36" i="8"/>
  <c r="I5" i="35" s="1"/>
  <c r="J39" i="8"/>
  <c r="J8" i="35" s="1"/>
  <c r="J36" i="8"/>
  <c r="J5" i="35" s="1"/>
  <c r="K39" i="8"/>
  <c r="K8" i="35" s="1"/>
  <c r="K36" i="8"/>
  <c r="L39" i="8"/>
  <c r="L8" i="35" s="1"/>
  <c r="L36" i="8"/>
  <c r="L5" i="35" s="1"/>
  <c r="M39" i="8"/>
  <c r="M8" i="35" s="1"/>
  <c r="M36" i="8"/>
  <c r="M5" i="35" s="1"/>
  <c r="N39" i="8"/>
  <c r="N8" i="35" s="1"/>
  <c r="N36" i="8"/>
  <c r="N5" i="35" s="1"/>
  <c r="O39" i="8"/>
  <c r="O36" i="8"/>
  <c r="O5" i="35" s="1"/>
  <c r="P39" i="8"/>
  <c r="P8" i="35" s="1"/>
  <c r="P36" i="8"/>
  <c r="P5" i="35" s="1"/>
  <c r="Q8" i="35"/>
  <c r="F108" i="45" s="1"/>
  <c r="Q5" i="35"/>
  <c r="B43" i="8"/>
  <c r="B16" i="35" s="1"/>
  <c r="F8" i="41"/>
  <c r="G8" i="41"/>
  <c r="H8" i="41"/>
  <c r="I8" i="41"/>
  <c r="J8" i="41"/>
  <c r="K8" i="41"/>
  <c r="L8" i="41"/>
  <c r="M8" i="41"/>
  <c r="N8" i="41"/>
  <c r="O8" i="41"/>
  <c r="P8" i="41"/>
  <c r="Q8" i="41"/>
  <c r="F12" i="8"/>
  <c r="F15" i="8"/>
  <c r="G12" i="8"/>
  <c r="G11" i="8" s="1"/>
  <c r="G15" i="8"/>
  <c r="H12" i="8"/>
  <c r="H15" i="8"/>
  <c r="I12" i="8"/>
  <c r="I89" i="8" s="1"/>
  <c r="I15" i="8"/>
  <c r="J12" i="8"/>
  <c r="J89" i="8" s="1"/>
  <c r="J15" i="8"/>
  <c r="J11" i="8"/>
  <c r="K12" i="8"/>
  <c r="K15" i="8"/>
  <c r="L12" i="8"/>
  <c r="L89" i="8" s="1"/>
  <c r="L15" i="8"/>
  <c r="M12" i="8"/>
  <c r="M89" i="8" s="1"/>
  <c r="M15" i="8"/>
  <c r="N12" i="8"/>
  <c r="N89" i="8" s="1"/>
  <c r="N15" i="8"/>
  <c r="O12" i="8"/>
  <c r="O89" i="8" s="1"/>
  <c r="O15" i="8"/>
  <c r="P12" i="8"/>
  <c r="P15" i="8"/>
  <c r="E15" i="8"/>
  <c r="B58" i="43"/>
  <c r="C58" i="43"/>
  <c r="H58" i="43"/>
  <c r="B59" i="43"/>
  <c r="C59" i="43"/>
  <c r="H59" i="43"/>
  <c r="F83" i="8"/>
  <c r="F85" i="8" s="1"/>
  <c r="G83" i="8"/>
  <c r="G85" i="8" s="1"/>
  <c r="H83" i="8"/>
  <c r="I83" i="8"/>
  <c r="I85" i="8" s="1"/>
  <c r="J83" i="8"/>
  <c r="J85" i="8" s="1"/>
  <c r="K83" i="8"/>
  <c r="K85" i="8" s="1"/>
  <c r="L83" i="8"/>
  <c r="L85" i="8" s="1"/>
  <c r="M83" i="8"/>
  <c r="M85" i="8" s="1"/>
  <c r="N83" i="8"/>
  <c r="N85" i="8" s="1"/>
  <c r="O83" i="8"/>
  <c r="O85" i="8" s="1"/>
  <c r="P83" i="8"/>
  <c r="P85" i="8" s="1"/>
  <c r="F93" i="8"/>
  <c r="G93" i="8"/>
  <c r="G4" i="40" s="1"/>
  <c r="H93" i="8"/>
  <c r="H4" i="40" s="1"/>
  <c r="H6" i="40" s="1"/>
  <c r="I93" i="8"/>
  <c r="I4" i="40" s="1"/>
  <c r="J93" i="8"/>
  <c r="J4" i="40" s="1"/>
  <c r="K93" i="8"/>
  <c r="K4" i="40" s="1"/>
  <c r="L93" i="8"/>
  <c r="L4" i="40" s="1"/>
  <c r="L6" i="40" s="1"/>
  <c r="M93" i="8"/>
  <c r="N93" i="8"/>
  <c r="N4" i="40" s="1"/>
  <c r="N6" i="40" s="1"/>
  <c r="O93" i="8"/>
  <c r="O4" i="40" s="1"/>
  <c r="P93" i="8"/>
  <c r="P4" i="40" s="1"/>
  <c r="P6" i="40" s="1"/>
  <c r="Q4" i="40"/>
  <c r="F100" i="45" s="1"/>
  <c r="C34" i="8"/>
  <c r="D34" i="8"/>
  <c r="D39" i="42" s="1"/>
  <c r="E34" i="8"/>
  <c r="E39" i="42" s="1"/>
  <c r="F87" i="8"/>
  <c r="G87" i="8"/>
  <c r="H87" i="8"/>
  <c r="I87" i="8"/>
  <c r="J87" i="8"/>
  <c r="K87" i="8"/>
  <c r="L87" i="8"/>
  <c r="L135" i="8" s="1"/>
  <c r="L165" i="8" s="1"/>
  <c r="L184" i="8" s="1"/>
  <c r="M87" i="8"/>
  <c r="N87" i="8"/>
  <c r="O87" i="8"/>
  <c r="P87" i="8"/>
  <c r="F88" i="8"/>
  <c r="L88" i="8"/>
  <c r="N88" i="8"/>
  <c r="N135" i="8" s="1"/>
  <c r="B101" i="8"/>
  <c r="B30" i="41" s="1"/>
  <c r="C101" i="8"/>
  <c r="C30" i="41" s="1"/>
  <c r="D101" i="8"/>
  <c r="D30" i="41" s="1"/>
  <c r="E101" i="8"/>
  <c r="E30" i="41" s="1"/>
  <c r="G31" i="41"/>
  <c r="J31" i="41"/>
  <c r="K31" i="41"/>
  <c r="L31" i="41"/>
  <c r="M31" i="41"/>
  <c r="O31" i="41"/>
  <c r="F22" i="8"/>
  <c r="F21" i="8" s="1"/>
  <c r="G22" i="8"/>
  <c r="G21" i="8" s="1"/>
  <c r="G20" i="8" s="1"/>
  <c r="H22" i="8"/>
  <c r="H21" i="8" s="1"/>
  <c r="H20" i="8" s="1"/>
  <c r="I22" i="8"/>
  <c r="I21" i="8" s="1"/>
  <c r="I20" i="8" s="1"/>
  <c r="J22" i="8"/>
  <c r="K22" i="8"/>
  <c r="K21" i="8" s="1"/>
  <c r="K20" i="8" s="1"/>
  <c r="L22" i="8"/>
  <c r="M22" i="8"/>
  <c r="M21" i="8" s="1"/>
  <c r="M20" i="8" s="1"/>
  <c r="N22" i="8"/>
  <c r="N21" i="8" s="1"/>
  <c r="O22" i="8"/>
  <c r="O33" i="41" s="1"/>
  <c r="O34" i="41" s="1"/>
  <c r="O35" i="41" s="1"/>
  <c r="P22" i="8"/>
  <c r="P21" i="8" s="1"/>
  <c r="P20" i="8" s="1"/>
  <c r="B58" i="41"/>
  <c r="B59" i="41"/>
  <c r="C43" i="8"/>
  <c r="C16" i="35" s="1"/>
  <c r="D43" i="8"/>
  <c r="D16" i="35" s="1"/>
  <c r="E43" i="8"/>
  <c r="E16" i="35" s="1"/>
  <c r="D37" i="35"/>
  <c r="B98" i="8"/>
  <c r="B12" i="40" s="1"/>
  <c r="C98" i="8"/>
  <c r="D98" i="8"/>
  <c r="D12" i="40" s="1"/>
  <c r="E98" i="8"/>
  <c r="E12" i="40" s="1"/>
  <c r="B2" i="44"/>
  <c r="C2" i="44"/>
  <c r="D2" i="44"/>
  <c r="E2" i="44"/>
  <c r="F2" i="44"/>
  <c r="G2" i="44"/>
  <c r="H2" i="44"/>
  <c r="I2" i="44"/>
  <c r="J2" i="44"/>
  <c r="K2" i="44"/>
  <c r="L2" i="44"/>
  <c r="M2" i="44"/>
  <c r="N2" i="44"/>
  <c r="O2" i="44"/>
  <c r="P2" i="44"/>
  <c r="Q2" i="44"/>
  <c r="C10" i="44"/>
  <c r="G126" i="8"/>
  <c r="G156" i="8" s="1"/>
  <c r="H126" i="8"/>
  <c r="H156" i="8" s="1"/>
  <c r="H175" i="8" s="1"/>
  <c r="I126" i="8"/>
  <c r="I156" i="8" s="1"/>
  <c r="I175" i="8" s="1"/>
  <c r="J21" i="8"/>
  <c r="J20" i="8" s="1"/>
  <c r="K126" i="8"/>
  <c r="K156" i="8" s="1"/>
  <c r="M126" i="8"/>
  <c r="M156" i="8" s="1"/>
  <c r="N20" i="8"/>
  <c r="O126" i="8"/>
  <c r="O156" i="8"/>
  <c r="O175" i="8" s="1"/>
  <c r="P126" i="8"/>
  <c r="P156" i="8" s="1"/>
  <c r="P175" i="8" s="1"/>
  <c r="Q126" i="8"/>
  <c r="Q156" i="8" s="1"/>
  <c r="Q175" i="8" s="1"/>
  <c r="C82" i="44"/>
  <c r="C84" i="44"/>
  <c r="F4" i="42"/>
  <c r="G4" i="42"/>
  <c r="H4" i="42"/>
  <c r="I4" i="42"/>
  <c r="J4" i="42"/>
  <c r="K4" i="42"/>
  <c r="L4" i="42"/>
  <c r="M4" i="42"/>
  <c r="N4" i="42"/>
  <c r="O4" i="42"/>
  <c r="P4" i="42"/>
  <c r="Q4" i="42"/>
  <c r="F7" i="42"/>
  <c r="F8" i="42"/>
  <c r="G8" i="42"/>
  <c r="C14" i="42"/>
  <c r="C16" i="42"/>
  <c r="C11" i="42"/>
  <c r="C12" i="42"/>
  <c r="D17" i="42"/>
  <c r="F25" i="42"/>
  <c r="G26" i="42"/>
  <c r="G48" i="42" s="1"/>
  <c r="G102" i="42" s="1"/>
  <c r="H27" i="42"/>
  <c r="I28" i="42"/>
  <c r="I50" i="42" s="1"/>
  <c r="I104" i="42" s="1"/>
  <c r="J29" i="42"/>
  <c r="J51" i="42" s="1"/>
  <c r="J105" i="42" s="1"/>
  <c r="K30" i="42"/>
  <c r="K52" i="42" s="1"/>
  <c r="K106" i="42" s="1"/>
  <c r="L31" i="42"/>
  <c r="L53" i="42" s="1"/>
  <c r="L107" i="42" s="1"/>
  <c r="M32" i="42"/>
  <c r="N33" i="42"/>
  <c r="O34" i="42"/>
  <c r="P35" i="42"/>
  <c r="P57" i="42" s="1"/>
  <c r="P111" i="42" s="1"/>
  <c r="Q36" i="42"/>
  <c r="Q58" i="42" s="1"/>
  <c r="Q112" i="42" s="1"/>
  <c r="C39" i="42"/>
  <c r="F39" i="42"/>
  <c r="G39" i="42"/>
  <c r="H39" i="42"/>
  <c r="I39" i="42"/>
  <c r="J39" i="42"/>
  <c r="K39" i="42"/>
  <c r="L39" i="42"/>
  <c r="M39" i="42"/>
  <c r="N39" i="42"/>
  <c r="O39" i="42"/>
  <c r="P39" i="42"/>
  <c r="Q39" i="42"/>
  <c r="B41" i="42"/>
  <c r="F47" i="42"/>
  <c r="F101" i="42" s="1"/>
  <c r="H49" i="42"/>
  <c r="H103" i="42" s="1"/>
  <c r="M54" i="42"/>
  <c r="M108" i="42" s="1"/>
  <c r="N55" i="42"/>
  <c r="N109" i="42" s="1"/>
  <c r="O56" i="42"/>
  <c r="O110" i="42" s="1"/>
  <c r="F129" i="42"/>
  <c r="G130" i="42"/>
  <c r="H131" i="42"/>
  <c r="I132" i="42"/>
  <c r="J133" i="42"/>
  <c r="K134" i="42"/>
  <c r="L135" i="42"/>
  <c r="M136" i="42"/>
  <c r="N137" i="42"/>
  <c r="O138" i="42"/>
  <c r="P139" i="42"/>
  <c r="Q140" i="42"/>
  <c r="B162" i="42"/>
  <c r="B2" i="40"/>
  <c r="C2" i="40"/>
  <c r="D2" i="40"/>
  <c r="E2" i="40"/>
  <c r="F2" i="40"/>
  <c r="G2" i="40"/>
  <c r="H2" i="40"/>
  <c r="I2" i="40"/>
  <c r="J2" i="40"/>
  <c r="K2" i="40"/>
  <c r="L2" i="40"/>
  <c r="M2" i="40"/>
  <c r="N2" i="40"/>
  <c r="O2" i="40"/>
  <c r="P2" i="40"/>
  <c r="Q2" i="40"/>
  <c r="C12" i="40"/>
  <c r="B2" i="39"/>
  <c r="C2" i="39"/>
  <c r="D2" i="39"/>
  <c r="E2" i="39"/>
  <c r="F2" i="39"/>
  <c r="G2" i="39"/>
  <c r="H2" i="39"/>
  <c r="I2" i="39"/>
  <c r="J2" i="39"/>
  <c r="K2" i="39"/>
  <c r="L2" i="39"/>
  <c r="M2" i="39"/>
  <c r="N2" i="39"/>
  <c r="O2" i="39"/>
  <c r="P2" i="39"/>
  <c r="Q2" i="39"/>
  <c r="C6" i="39"/>
  <c r="C8" i="39"/>
  <c r="F10" i="39"/>
  <c r="G10" i="39"/>
  <c r="H10" i="39"/>
  <c r="C10" i="39" s="1"/>
  <c r="K10" i="39"/>
  <c r="L10" i="39"/>
  <c r="M10" i="39"/>
  <c r="O10" i="39"/>
  <c r="P10" i="39"/>
  <c r="G11" i="39"/>
  <c r="H11" i="39"/>
  <c r="K11" i="39"/>
  <c r="L11" i="39"/>
  <c r="O11" i="39"/>
  <c r="P11" i="39"/>
  <c r="B2" i="35"/>
  <c r="C2" i="35"/>
  <c r="D2" i="35"/>
  <c r="E2" i="35"/>
  <c r="F2" i="35"/>
  <c r="G2" i="35"/>
  <c r="H2" i="35"/>
  <c r="I2" i="35"/>
  <c r="J2" i="35"/>
  <c r="K2" i="35"/>
  <c r="L2" i="35"/>
  <c r="M2" i="35"/>
  <c r="N2" i="35"/>
  <c r="O2" i="35"/>
  <c r="P2" i="35"/>
  <c r="Q2" i="35"/>
  <c r="C37" i="8"/>
  <c r="C6" i="35" s="1"/>
  <c r="D37" i="8"/>
  <c r="D6" i="35" s="1"/>
  <c r="E37" i="8"/>
  <c r="E6" i="35" s="1"/>
  <c r="C38" i="8"/>
  <c r="C7" i="35" s="1"/>
  <c r="D38" i="8"/>
  <c r="D7" i="35" s="1"/>
  <c r="E38" i="8"/>
  <c r="E7" i="35" s="1"/>
  <c r="C40" i="8"/>
  <c r="C9" i="35" s="1"/>
  <c r="D40" i="8"/>
  <c r="D9" i="35" s="1"/>
  <c r="E40" i="8"/>
  <c r="E9" i="35" s="1"/>
  <c r="C41" i="8"/>
  <c r="D41" i="8"/>
  <c r="D10" i="35" s="1"/>
  <c r="E41" i="8"/>
  <c r="E10" i="35" s="1"/>
  <c r="C42" i="8"/>
  <c r="D42" i="8"/>
  <c r="D11" i="35" s="1"/>
  <c r="E42" i="8"/>
  <c r="E11" i="35" s="1"/>
  <c r="B45" i="8"/>
  <c r="B13" i="35" s="1"/>
  <c r="C45" i="8"/>
  <c r="C13" i="35" s="1"/>
  <c r="D45" i="8"/>
  <c r="D13" i="35" s="1"/>
  <c r="E45" i="8"/>
  <c r="E13" i="35" s="1"/>
  <c r="B46" i="8"/>
  <c r="B14" i="35" s="1"/>
  <c r="C46" i="8"/>
  <c r="C14" i="35" s="1"/>
  <c r="D46" i="8"/>
  <c r="D14" i="35" s="1"/>
  <c r="E46" i="8"/>
  <c r="E14" i="35" s="1"/>
  <c r="B47" i="8"/>
  <c r="B15" i="35" s="1"/>
  <c r="C47" i="8"/>
  <c r="C15" i="35" s="1"/>
  <c r="D47" i="8"/>
  <c r="D15" i="35" s="1"/>
  <c r="E47" i="8"/>
  <c r="E15" i="35" s="1"/>
  <c r="C18" i="35"/>
  <c r="F18" i="35"/>
  <c r="G18" i="35"/>
  <c r="H18" i="35"/>
  <c r="I18" i="35"/>
  <c r="J18" i="35"/>
  <c r="K18" i="35"/>
  <c r="L18" i="35"/>
  <c r="M18" i="35"/>
  <c r="N18" i="35"/>
  <c r="O18" i="35"/>
  <c r="P18" i="35"/>
  <c r="Q18" i="35"/>
  <c r="B51" i="8"/>
  <c r="B67" i="35" s="1"/>
  <c r="C51" i="8"/>
  <c r="C67" i="35" s="1"/>
  <c r="D51" i="8"/>
  <c r="D67" i="35" s="1"/>
  <c r="E51" i="8"/>
  <c r="E67" i="35" s="1"/>
  <c r="F67" i="35"/>
  <c r="G67" i="35"/>
  <c r="H67" i="35"/>
  <c r="I67" i="35"/>
  <c r="J67" i="35"/>
  <c r="K67" i="35"/>
  <c r="K99" i="35" s="1"/>
  <c r="L67" i="35"/>
  <c r="M67" i="35"/>
  <c r="N67" i="35"/>
  <c r="O67" i="35"/>
  <c r="P67" i="35"/>
  <c r="Q67" i="35"/>
  <c r="B52" i="8"/>
  <c r="B68" i="35" s="1"/>
  <c r="C52" i="8"/>
  <c r="C68" i="35" s="1"/>
  <c r="D52" i="8"/>
  <c r="D68" i="35" s="1"/>
  <c r="E52" i="8"/>
  <c r="E68" i="35" s="1"/>
  <c r="F68" i="35"/>
  <c r="G68" i="35"/>
  <c r="H68" i="35"/>
  <c r="I68" i="35"/>
  <c r="J68" i="35"/>
  <c r="K68" i="35"/>
  <c r="L68" i="35"/>
  <c r="M68" i="35"/>
  <c r="N68" i="35"/>
  <c r="O68" i="35"/>
  <c r="P68" i="35"/>
  <c r="Q68" i="35"/>
  <c r="B53" i="8"/>
  <c r="B69" i="35" s="1"/>
  <c r="C53" i="8"/>
  <c r="C69" i="35" s="1"/>
  <c r="D53" i="8"/>
  <c r="D69" i="35" s="1"/>
  <c r="E53" i="8"/>
  <c r="E69" i="35" s="1"/>
  <c r="F69" i="35"/>
  <c r="G69" i="35"/>
  <c r="H69" i="35"/>
  <c r="I69" i="35"/>
  <c r="J69" i="35"/>
  <c r="K69" i="35"/>
  <c r="L69" i="35"/>
  <c r="M69" i="35"/>
  <c r="N69" i="35"/>
  <c r="O69" i="35"/>
  <c r="P69" i="35"/>
  <c r="Q69" i="35"/>
  <c r="B54" i="8"/>
  <c r="B70" i="35" s="1"/>
  <c r="C54" i="8"/>
  <c r="C70" i="35" s="1"/>
  <c r="D54" i="8"/>
  <c r="D70" i="35" s="1"/>
  <c r="E54" i="8"/>
  <c r="E70" i="35" s="1"/>
  <c r="F70" i="35"/>
  <c r="G70" i="35"/>
  <c r="G86" i="35" s="1"/>
  <c r="H70" i="35"/>
  <c r="I70" i="35"/>
  <c r="J70" i="35"/>
  <c r="J102" i="35" s="1"/>
  <c r="K70" i="35"/>
  <c r="L70" i="35"/>
  <c r="M70" i="35"/>
  <c r="N70" i="35"/>
  <c r="O70" i="35"/>
  <c r="O102" i="35" s="1"/>
  <c r="P70" i="35"/>
  <c r="Q70" i="35"/>
  <c r="B55" i="8"/>
  <c r="B71" i="35" s="1"/>
  <c r="C55" i="8"/>
  <c r="C71" i="35" s="1"/>
  <c r="D55" i="8"/>
  <c r="D71" i="35" s="1"/>
  <c r="E55" i="8"/>
  <c r="E71" i="35" s="1"/>
  <c r="F71" i="35"/>
  <c r="G71" i="35"/>
  <c r="H71" i="35"/>
  <c r="I71" i="35"/>
  <c r="J71" i="35"/>
  <c r="J87" i="35" s="1"/>
  <c r="K71" i="35"/>
  <c r="L71" i="35"/>
  <c r="M71" i="35"/>
  <c r="N71" i="35"/>
  <c r="O71" i="35"/>
  <c r="P71" i="35"/>
  <c r="Q71" i="35"/>
  <c r="B56" i="8"/>
  <c r="B72" i="35" s="1"/>
  <c r="C56" i="8"/>
  <c r="C72" i="35" s="1"/>
  <c r="D56" i="8"/>
  <c r="D72" i="35" s="1"/>
  <c r="E56" i="8"/>
  <c r="E72" i="35" s="1"/>
  <c r="F72" i="35"/>
  <c r="G72" i="35"/>
  <c r="G104" i="35" s="1"/>
  <c r="H72" i="35"/>
  <c r="I72" i="35"/>
  <c r="J72" i="35"/>
  <c r="J104" i="35" s="1"/>
  <c r="K72" i="35"/>
  <c r="L72" i="35"/>
  <c r="M72" i="35"/>
  <c r="N72" i="35"/>
  <c r="O72" i="35"/>
  <c r="O104" i="35" s="1"/>
  <c r="P72" i="35"/>
  <c r="Q72" i="35"/>
  <c r="G58" i="8"/>
  <c r="G65" i="8" s="1"/>
  <c r="G81" i="35" s="1"/>
  <c r="H58" i="8"/>
  <c r="I58" i="8"/>
  <c r="I65" i="8" s="1"/>
  <c r="I81" i="35" s="1"/>
  <c r="K58" i="8"/>
  <c r="K65" i="8" s="1"/>
  <c r="L58" i="8"/>
  <c r="L74" i="35" s="1"/>
  <c r="M58" i="8"/>
  <c r="M74" i="35" s="1"/>
  <c r="O58" i="8"/>
  <c r="O65" i="8" s="1"/>
  <c r="O81" i="35" s="1"/>
  <c r="O74" i="35"/>
  <c r="P58" i="8"/>
  <c r="P74" i="35" s="1"/>
  <c r="B59" i="8"/>
  <c r="B75" i="35" s="1"/>
  <c r="C59" i="8"/>
  <c r="C75" i="35" s="1"/>
  <c r="D59" i="8"/>
  <c r="D75" i="35" s="1"/>
  <c r="E59" i="8"/>
  <c r="E75" i="35" s="1"/>
  <c r="F75" i="35"/>
  <c r="F83" i="35" s="1"/>
  <c r="G75" i="35"/>
  <c r="H75" i="35"/>
  <c r="I75" i="35"/>
  <c r="J75" i="35"/>
  <c r="K75" i="35"/>
  <c r="L75" i="35"/>
  <c r="M75" i="35"/>
  <c r="M99" i="35" s="1"/>
  <c r="N75" i="35"/>
  <c r="N99" i="35" s="1"/>
  <c r="O75" i="35"/>
  <c r="P75" i="35"/>
  <c r="Q75" i="35"/>
  <c r="B60" i="8"/>
  <c r="B76" i="35" s="1"/>
  <c r="C60" i="8"/>
  <c r="C76" i="35"/>
  <c r="D60" i="8"/>
  <c r="D76" i="35" s="1"/>
  <c r="E60" i="8"/>
  <c r="E76" i="35" s="1"/>
  <c r="F76" i="35"/>
  <c r="F84" i="35" s="1"/>
  <c r="G76" i="35"/>
  <c r="H76" i="35"/>
  <c r="I76" i="35"/>
  <c r="J76" i="35"/>
  <c r="K76" i="35"/>
  <c r="L76" i="35"/>
  <c r="M76" i="35"/>
  <c r="N76" i="35"/>
  <c r="N84" i="35" s="1"/>
  <c r="O76" i="35"/>
  <c r="P76" i="35"/>
  <c r="P84" i="35" s="1"/>
  <c r="Q76" i="35"/>
  <c r="B61" i="8"/>
  <c r="B77" i="35" s="1"/>
  <c r="C61" i="8"/>
  <c r="C77" i="35" s="1"/>
  <c r="D61" i="8"/>
  <c r="D77" i="35" s="1"/>
  <c r="E61" i="8"/>
  <c r="E77" i="35" s="1"/>
  <c r="F77" i="35"/>
  <c r="G77" i="35"/>
  <c r="H77" i="35"/>
  <c r="H101" i="35" s="1"/>
  <c r="I77" i="35"/>
  <c r="I101" i="35" s="1"/>
  <c r="J77" i="35"/>
  <c r="K77" i="35"/>
  <c r="L77" i="35"/>
  <c r="M77" i="35"/>
  <c r="N77" i="35"/>
  <c r="N101" i="35" s="1"/>
  <c r="O77" i="35"/>
  <c r="P77" i="35"/>
  <c r="P101" i="35" s="1"/>
  <c r="Q77" i="35"/>
  <c r="B62" i="8"/>
  <c r="B78" i="35" s="1"/>
  <c r="C62" i="8"/>
  <c r="C78" i="35" s="1"/>
  <c r="D62" i="8"/>
  <c r="D78" i="35" s="1"/>
  <c r="E62" i="8"/>
  <c r="E78" i="35" s="1"/>
  <c r="F78" i="35"/>
  <c r="G78" i="35"/>
  <c r="H78" i="35"/>
  <c r="I78" i="35"/>
  <c r="I86" i="35" s="1"/>
  <c r="J78" i="35"/>
  <c r="K78" i="35"/>
  <c r="L78" i="35"/>
  <c r="M78" i="35"/>
  <c r="N78" i="35"/>
  <c r="N102" i="35" s="1"/>
  <c r="O78" i="35"/>
  <c r="P78" i="35"/>
  <c r="Q78" i="35"/>
  <c r="B63" i="8"/>
  <c r="B79" i="35" s="1"/>
  <c r="C63" i="8"/>
  <c r="C79" i="35" s="1"/>
  <c r="D63" i="8"/>
  <c r="D79" i="35" s="1"/>
  <c r="E63" i="8"/>
  <c r="E79" i="35" s="1"/>
  <c r="F79" i="35"/>
  <c r="G79" i="35"/>
  <c r="H79" i="35"/>
  <c r="H103" i="35" s="1"/>
  <c r="I79" i="35"/>
  <c r="J79" i="35"/>
  <c r="K79" i="35"/>
  <c r="L79" i="35"/>
  <c r="M79" i="35"/>
  <c r="M103" i="35" s="1"/>
  <c r="N79" i="35"/>
  <c r="N103" i="35" s="1"/>
  <c r="O79" i="35"/>
  <c r="P79" i="35"/>
  <c r="P87" i="35" s="1"/>
  <c r="Q79" i="35"/>
  <c r="B64" i="8"/>
  <c r="B80" i="35" s="1"/>
  <c r="C64" i="8"/>
  <c r="C80" i="35" s="1"/>
  <c r="D64" i="8"/>
  <c r="D80" i="35" s="1"/>
  <c r="E64" i="8"/>
  <c r="E80" i="35" s="1"/>
  <c r="F80" i="35"/>
  <c r="G80" i="35"/>
  <c r="H80" i="35"/>
  <c r="H104" i="35" s="1"/>
  <c r="I80" i="35"/>
  <c r="J80" i="35"/>
  <c r="K80" i="35"/>
  <c r="L80" i="35"/>
  <c r="M80" i="35"/>
  <c r="M104" i="35" s="1"/>
  <c r="N80" i="35"/>
  <c r="O80" i="35"/>
  <c r="P80" i="35"/>
  <c r="Q80" i="35"/>
  <c r="K81" i="35"/>
  <c r="N83" i="35"/>
  <c r="I84" i="35"/>
  <c r="J84" i="35"/>
  <c r="I85" i="35"/>
  <c r="H86" i="35"/>
  <c r="P86" i="35"/>
  <c r="K88" i="35"/>
  <c r="M88" i="35"/>
  <c r="F99" i="35"/>
  <c r="L101" i="35"/>
  <c r="M102" i="35"/>
  <c r="F104" i="35"/>
  <c r="P104" i="35"/>
  <c r="B107" i="35"/>
  <c r="B108" i="35"/>
  <c r="B109" i="35"/>
  <c r="B110" i="35"/>
  <c r="B111" i="35"/>
  <c r="B112" i="35"/>
  <c r="B113" i="35"/>
  <c r="B116" i="35"/>
  <c r="B119" i="35"/>
  <c r="B127" i="35"/>
  <c r="Q128" i="35" s="1"/>
  <c r="F5" i="43"/>
  <c r="F7" i="43"/>
  <c r="F13" i="43"/>
  <c r="F21" i="43" s="1"/>
  <c r="F16" i="43"/>
  <c r="F19" i="43"/>
  <c r="B6" i="8"/>
  <c r="C6" i="8"/>
  <c r="D6" i="8"/>
  <c r="E6" i="8"/>
  <c r="B7" i="8"/>
  <c r="C7" i="8"/>
  <c r="D7" i="8"/>
  <c r="E7" i="8"/>
  <c r="B9" i="8"/>
  <c r="C9" i="8"/>
  <c r="D9" i="8"/>
  <c r="E9" i="8"/>
  <c r="D12" i="8"/>
  <c r="B13" i="8"/>
  <c r="C13" i="8"/>
  <c r="D13" i="8"/>
  <c r="E13" i="8"/>
  <c r="B14" i="8"/>
  <c r="C14" i="8"/>
  <c r="D14" i="8"/>
  <c r="E14" i="8"/>
  <c r="C15" i="8"/>
  <c r="D15" i="8"/>
  <c r="B16" i="8"/>
  <c r="C16" i="8"/>
  <c r="D16" i="8"/>
  <c r="E16" i="8"/>
  <c r="B17" i="8"/>
  <c r="C17" i="8"/>
  <c r="D17" i="8"/>
  <c r="E17"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68" i="8"/>
  <c r="C68" i="8"/>
  <c r="D68" i="8"/>
  <c r="E68" i="8"/>
  <c r="B69" i="8"/>
  <c r="C69" i="8"/>
  <c r="D69" i="8"/>
  <c r="E69" i="8"/>
  <c r="B70" i="8"/>
  <c r="C70" i="8"/>
  <c r="D70" i="8"/>
  <c r="E70" i="8"/>
  <c r="B71" i="8"/>
  <c r="C71" i="8"/>
  <c r="D71" i="8"/>
  <c r="E71" i="8"/>
  <c r="B72" i="8"/>
  <c r="C72" i="8"/>
  <c r="D72" i="8"/>
  <c r="E72" i="8"/>
  <c r="B75" i="8"/>
  <c r="B76" i="8"/>
  <c r="B77" i="8"/>
  <c r="C75" i="8"/>
  <c r="C76" i="8"/>
  <c r="C77" i="8"/>
  <c r="D75" i="8"/>
  <c r="D76" i="8"/>
  <c r="D77" i="8"/>
  <c r="E75" i="8"/>
  <c r="E76" i="8"/>
  <c r="E77" i="8"/>
  <c r="F74" i="8"/>
  <c r="G74" i="8"/>
  <c r="H74" i="8"/>
  <c r="I74" i="8"/>
  <c r="J74" i="8"/>
  <c r="K74" i="8"/>
  <c r="L74" i="8"/>
  <c r="M74" i="8"/>
  <c r="N74" i="8"/>
  <c r="O74" i="8"/>
  <c r="P74" i="8"/>
  <c r="B79" i="8"/>
  <c r="B80" i="8"/>
  <c r="B81" i="8"/>
  <c r="C79" i="8"/>
  <c r="C80" i="8"/>
  <c r="C81" i="8"/>
  <c r="D79" i="8"/>
  <c r="D80" i="8"/>
  <c r="D81" i="8"/>
  <c r="E79" i="8"/>
  <c r="E80" i="8"/>
  <c r="E81" i="8"/>
  <c r="F78" i="8"/>
  <c r="G78" i="8"/>
  <c r="H78" i="8"/>
  <c r="I78" i="8"/>
  <c r="J78" i="8"/>
  <c r="K78" i="8"/>
  <c r="L78" i="8"/>
  <c r="M78" i="8"/>
  <c r="N78" i="8"/>
  <c r="O78" i="8"/>
  <c r="P78" i="8"/>
  <c r="B84" i="8"/>
  <c r="C84" i="8"/>
  <c r="D84" i="8"/>
  <c r="E84" i="8"/>
  <c r="B94" i="8"/>
  <c r="C94" i="8"/>
  <c r="D94" i="8"/>
  <c r="E94" i="8"/>
  <c r="B95" i="8"/>
  <c r="C95" i="8"/>
  <c r="D95" i="8"/>
  <c r="E95" i="8"/>
  <c r="B96" i="8"/>
  <c r="C96" i="8"/>
  <c r="D96" i="8"/>
  <c r="E96" i="8"/>
  <c r="B97" i="8"/>
  <c r="C97" i="8"/>
  <c r="D97" i="8"/>
  <c r="E97" i="8"/>
  <c r="B102" i="8"/>
  <c r="C102" i="8"/>
  <c r="D102" i="8"/>
  <c r="E102" i="8"/>
  <c r="G175" i="8"/>
  <c r="K175" i="8"/>
  <c r="M175" i="8"/>
  <c r="I36" i="42" l="1"/>
  <c r="I9" i="42"/>
  <c r="Q11" i="39"/>
  <c r="G34" i="35"/>
  <c r="H36" i="42"/>
  <c r="Q20" i="42"/>
  <c r="Q35" i="42" s="1"/>
  <c r="E7" i="39"/>
  <c r="G9" i="42"/>
  <c r="G6" i="42" s="1"/>
  <c r="J36" i="42"/>
  <c r="E21" i="42"/>
  <c r="N36" i="42"/>
  <c r="L36" i="42"/>
  <c r="L9" i="42"/>
  <c r="Q31" i="41"/>
  <c r="E82" i="44"/>
  <c r="B82" i="44" s="1"/>
  <c r="B100" i="35"/>
  <c r="Q81" i="35"/>
  <c r="Q86" i="35"/>
  <c r="Q85" i="35"/>
  <c r="B88" i="35"/>
  <c r="Q100" i="35"/>
  <c r="E99" i="35"/>
  <c r="B37" i="8"/>
  <c r="B6" i="35" s="1"/>
  <c r="E85" i="8"/>
  <c r="O15" i="40"/>
  <c r="H15" i="40"/>
  <c r="H17" i="40" s="1"/>
  <c r="H45" i="41" s="1"/>
  <c r="H16" i="41" s="1"/>
  <c r="L15" i="40"/>
  <c r="K6" i="40"/>
  <c r="K15" i="40"/>
  <c r="K17" i="40" s="1"/>
  <c r="N15" i="40"/>
  <c r="N17" i="40" s="1"/>
  <c r="N45" i="41" s="1"/>
  <c r="N16" i="41" s="1"/>
  <c r="J6" i="40"/>
  <c r="J15" i="40"/>
  <c r="J17" i="40" s="1"/>
  <c r="Q6" i="40"/>
  <c r="G105" i="45" s="1"/>
  <c r="I6" i="40"/>
  <c r="G6" i="40"/>
  <c r="L17" i="40"/>
  <c r="Q15" i="40"/>
  <c r="G15" i="40"/>
  <c r="G17" i="40" s="1"/>
  <c r="P15" i="40"/>
  <c r="P17" i="40" s="1"/>
  <c r="P45" i="41" s="1"/>
  <c r="P16" i="41" s="1"/>
  <c r="F15" i="40"/>
  <c r="I15" i="40"/>
  <c r="I17" i="40" s="1"/>
  <c r="M83" i="35"/>
  <c r="E83" i="8"/>
  <c r="P103" i="35"/>
  <c r="B103" i="35"/>
  <c r="K86" i="35"/>
  <c r="K101" i="35"/>
  <c r="K100" i="35"/>
  <c r="C100" i="35"/>
  <c r="D18" i="42"/>
  <c r="F19" i="45"/>
  <c r="G31" i="42"/>
  <c r="P18" i="42"/>
  <c r="P33" i="42" s="1"/>
  <c r="B102" i="35"/>
  <c r="G88" i="35"/>
  <c r="C7" i="39"/>
  <c r="E87" i="8"/>
  <c r="K35" i="42"/>
  <c r="E37" i="35"/>
  <c r="B37" i="35" s="1"/>
  <c r="J101" i="35"/>
  <c r="N9" i="42"/>
  <c r="D78" i="8"/>
  <c r="H87" i="35"/>
  <c r="O88" i="35"/>
  <c r="K9" i="42"/>
  <c r="O88" i="8"/>
  <c r="F26" i="45"/>
  <c r="D80" i="44"/>
  <c r="E86" i="44"/>
  <c r="F29" i="42"/>
  <c r="I34" i="42"/>
  <c r="O12" i="42"/>
  <c r="N12" i="39"/>
  <c r="O86" i="35"/>
  <c r="G100" i="35"/>
  <c r="I99" i="35"/>
  <c r="K74" i="35"/>
  <c r="F103" i="35"/>
  <c r="C19" i="42"/>
  <c r="E12" i="8"/>
  <c r="N8" i="8"/>
  <c r="N5" i="8" s="1"/>
  <c r="N129" i="8" s="1"/>
  <c r="N159" i="8" s="1"/>
  <c r="N178" i="8" s="1"/>
  <c r="H8" i="42"/>
  <c r="D7" i="39"/>
  <c r="J86" i="35"/>
  <c r="L88" i="35"/>
  <c r="D104" i="35"/>
  <c r="L103" i="35"/>
  <c r="L86" i="35"/>
  <c r="D18" i="35"/>
  <c r="P8" i="42"/>
  <c r="H28" i="42"/>
  <c r="F20" i="44"/>
  <c r="F31" i="44" s="1"/>
  <c r="C4" i="44"/>
  <c r="D4" i="44"/>
  <c r="L20" i="44"/>
  <c r="L31" i="44" s="1"/>
  <c r="L42" i="44" s="1"/>
  <c r="L53" i="44" s="1"/>
  <c r="L64" i="44" s="1"/>
  <c r="M18" i="44"/>
  <c r="M29" i="44" s="1"/>
  <c r="M40" i="44" s="1"/>
  <c r="M51" i="44" s="1"/>
  <c r="M62" i="44" s="1"/>
  <c r="E4" i="44"/>
  <c r="B4" i="44" s="1"/>
  <c r="P20" i="44"/>
  <c r="P31" i="44" s="1"/>
  <c r="P42" i="44" s="1"/>
  <c r="P53" i="44" s="1"/>
  <c r="P64" i="44" s="1"/>
  <c r="Q18" i="44"/>
  <c r="C48" i="41"/>
  <c r="D6" i="39"/>
  <c r="M15" i="40"/>
  <c r="M17" i="40" s="1"/>
  <c r="D101" i="35"/>
  <c r="L100" i="35"/>
  <c r="D100" i="35"/>
  <c r="L83" i="35"/>
  <c r="D83" i="35"/>
  <c r="D20" i="42"/>
  <c r="O9" i="42"/>
  <c r="I11" i="8"/>
  <c r="L13" i="42"/>
  <c r="L28" i="42" s="1"/>
  <c r="N17" i="42"/>
  <c r="N32" i="42" s="1"/>
  <c r="Q11" i="42"/>
  <c r="Q26" i="42" s="1"/>
  <c r="C6" i="44"/>
  <c r="I21" i="44"/>
  <c r="K21" i="44"/>
  <c r="K32" i="44" s="1"/>
  <c r="K43" i="44" s="1"/>
  <c r="K54" i="44" s="1"/>
  <c r="K65" i="44" s="1"/>
  <c r="D6" i="44"/>
  <c r="E6" i="44"/>
  <c r="E10" i="44"/>
  <c r="B10" i="44" s="1"/>
  <c r="F31" i="41"/>
  <c r="N31" i="41"/>
  <c r="D48" i="41"/>
  <c r="D31" i="41" s="1"/>
  <c r="O12" i="39"/>
  <c r="L7" i="42"/>
  <c r="L26" i="42"/>
  <c r="K29" i="42"/>
  <c r="K8" i="42"/>
  <c r="B15" i="8"/>
  <c r="K102" i="35"/>
  <c r="L65" i="8"/>
  <c r="L81" i="35" s="1"/>
  <c r="F58" i="8"/>
  <c r="B85" i="35"/>
  <c r="J100" i="35"/>
  <c r="B84" i="35"/>
  <c r="J99" i="35"/>
  <c r="B99" i="35"/>
  <c r="E39" i="8"/>
  <c r="N11" i="39"/>
  <c r="C11" i="39"/>
  <c r="J10" i="39"/>
  <c r="C21" i="42"/>
  <c r="C17" i="42"/>
  <c r="J9" i="42"/>
  <c r="G7" i="42"/>
  <c r="G88" i="8"/>
  <c r="G27" i="42"/>
  <c r="J13" i="42"/>
  <c r="J8" i="42" s="1"/>
  <c r="M16" i="42"/>
  <c r="O35" i="42"/>
  <c r="E22" i="8"/>
  <c r="M87" i="35"/>
  <c r="B104" i="35"/>
  <c r="J103" i="35"/>
  <c r="Q84" i="35"/>
  <c r="F62" i="45" s="1"/>
  <c r="G62" i="45" s="1"/>
  <c r="I100" i="35"/>
  <c r="D39" i="8"/>
  <c r="Q10" i="39"/>
  <c r="E10" i="39" s="1"/>
  <c r="I10" i="39"/>
  <c r="F135" i="8"/>
  <c r="F165" i="8" s="1"/>
  <c r="F184" i="8" s="1"/>
  <c r="L45" i="41"/>
  <c r="L16" i="41" s="1"/>
  <c r="M8" i="8"/>
  <c r="M5" i="8" s="1"/>
  <c r="Q87" i="35"/>
  <c r="I103" i="35"/>
  <c r="J58" i="8"/>
  <c r="J74" i="35" s="1"/>
  <c r="H100" i="35"/>
  <c r="C39" i="8"/>
  <c r="C58" i="8" s="1"/>
  <c r="C74" i="35" s="1"/>
  <c r="E36" i="8"/>
  <c r="E5" i="35" s="1"/>
  <c r="C20" i="42"/>
  <c r="D21" i="42"/>
  <c r="C15" i="42"/>
  <c r="M9" i="42"/>
  <c r="I8" i="42"/>
  <c r="N126" i="8"/>
  <c r="N156" i="8" s="1"/>
  <c r="N175" i="8" s="1"/>
  <c r="F126" i="8"/>
  <c r="F156" i="8" s="1"/>
  <c r="F175" i="8" s="1"/>
  <c r="I31" i="41"/>
  <c r="E48" i="41"/>
  <c r="E31" i="41" s="1"/>
  <c r="L11" i="8"/>
  <c r="E80" i="44"/>
  <c r="H20" i="44"/>
  <c r="H31" i="44" s="1"/>
  <c r="H42" i="44" s="1"/>
  <c r="H53" i="44" s="1"/>
  <c r="H64" i="44" s="1"/>
  <c r="N20" i="44"/>
  <c r="N31" i="44" s="1"/>
  <c r="N42" i="44" s="1"/>
  <c r="N53" i="44" s="1"/>
  <c r="N64" i="44" s="1"/>
  <c r="O18" i="44"/>
  <c r="O29" i="44" s="1"/>
  <c r="O40" i="44" s="1"/>
  <c r="O51" i="44" s="1"/>
  <c r="O62" i="44" s="1"/>
  <c r="N35" i="35"/>
  <c r="D22" i="8"/>
  <c r="N85" i="35"/>
  <c r="E74" i="8"/>
  <c r="C22" i="8"/>
  <c r="C12" i="8"/>
  <c r="K85" i="35"/>
  <c r="B86" i="35"/>
  <c r="C101" i="35"/>
  <c r="F102" i="35"/>
  <c r="F101" i="35"/>
  <c r="D36" i="8"/>
  <c r="D5" i="35" s="1"/>
  <c r="M7" i="42"/>
  <c r="I7" i="42"/>
  <c r="B84" i="44"/>
  <c r="D10" i="44"/>
  <c r="H31" i="41"/>
  <c r="G21" i="44"/>
  <c r="G32" i="44" s="1"/>
  <c r="G43" i="44" s="1"/>
  <c r="G54" i="44" s="1"/>
  <c r="G65" i="44" s="1"/>
  <c r="H19" i="44"/>
  <c r="H30" i="44" s="1"/>
  <c r="H41" i="44" s="1"/>
  <c r="H52" i="44" s="1"/>
  <c r="H63" i="44" s="1"/>
  <c r="M21" i="44"/>
  <c r="M32" i="44" s="1"/>
  <c r="M43" i="44" s="1"/>
  <c r="M54" i="44" s="1"/>
  <c r="M65" i="44" s="1"/>
  <c r="J12" i="39"/>
  <c r="J18" i="39" s="1"/>
  <c r="Q12" i="39"/>
  <c r="Q18" i="39" s="1"/>
  <c r="M65" i="8"/>
  <c r="M81" i="35" s="1"/>
  <c r="B74" i="8"/>
  <c r="B78" i="8"/>
  <c r="C21" i="8"/>
  <c r="B12" i="8"/>
  <c r="L104" i="35"/>
  <c r="J85" i="35"/>
  <c r="L99" i="35"/>
  <c r="D88" i="35"/>
  <c r="L87" i="35"/>
  <c r="C36" i="8"/>
  <c r="C5" i="35" s="1"/>
  <c r="F84" i="45"/>
  <c r="G84" i="45" s="1"/>
  <c r="N10" i="39"/>
  <c r="E6" i="39"/>
  <c r="B6" i="39" s="1"/>
  <c r="E18" i="42"/>
  <c r="D19" i="42"/>
  <c r="C13" i="42"/>
  <c r="C8" i="42" s="1"/>
  <c r="H9" i="42"/>
  <c r="J126" i="8"/>
  <c r="J156" i="8" s="1"/>
  <c r="J175" i="8" s="1"/>
  <c r="F33" i="42"/>
  <c r="D74" i="8"/>
  <c r="N104" i="35"/>
  <c r="F88" i="35"/>
  <c r="N58" i="8"/>
  <c r="G74" i="35"/>
  <c r="K104" i="35"/>
  <c r="I11" i="39"/>
  <c r="D11" i="39" s="1"/>
  <c r="C18" i="42"/>
  <c r="E8" i="44"/>
  <c r="B8" i="44" s="1"/>
  <c r="H30" i="42"/>
  <c r="M36" i="42"/>
  <c r="F12" i="39"/>
  <c r="M128" i="35"/>
  <c r="I128" i="35"/>
  <c r="F128" i="35"/>
  <c r="C31" i="41"/>
  <c r="M34" i="35"/>
  <c r="G19" i="44"/>
  <c r="G30" i="44" s="1"/>
  <c r="H34" i="35"/>
  <c r="G35" i="35"/>
  <c r="H35" i="35"/>
  <c r="K33" i="35"/>
  <c r="J33" i="35"/>
  <c r="O34" i="35"/>
  <c r="Q34" i="35"/>
  <c r="K18" i="44"/>
  <c r="K29" i="44" s="1"/>
  <c r="K40" i="44" s="1"/>
  <c r="K51" i="44" s="1"/>
  <c r="P34" i="35"/>
  <c r="F34" i="35"/>
  <c r="N34" i="35"/>
  <c r="M33" i="35"/>
  <c r="I19" i="44"/>
  <c r="I30" i="44" s="1"/>
  <c r="I41" i="44" s="1"/>
  <c r="I52" i="44" s="1"/>
  <c r="I63" i="44" s="1"/>
  <c r="I18" i="44"/>
  <c r="I29" i="44" s="1"/>
  <c r="F19" i="44"/>
  <c r="F30" i="44" s="1"/>
  <c r="O6" i="40"/>
  <c r="E4" i="40"/>
  <c r="P34" i="42"/>
  <c r="E19" i="42"/>
  <c r="F42" i="44"/>
  <c r="P83" i="35"/>
  <c r="P99" i="35"/>
  <c r="F20" i="8"/>
  <c r="D85" i="8"/>
  <c r="K25" i="42"/>
  <c r="K7" i="42"/>
  <c r="O28" i="42"/>
  <c r="P25" i="42"/>
  <c r="E10" i="42"/>
  <c r="P7" i="42"/>
  <c r="I32" i="44"/>
  <c r="C78" i="8"/>
  <c r="H99" i="35"/>
  <c r="H83" i="35"/>
  <c r="E104" i="35"/>
  <c r="O100" i="35"/>
  <c r="O84" i="35"/>
  <c r="G84" i="35"/>
  <c r="H85" i="8"/>
  <c r="B85" i="8" s="1"/>
  <c r="B83" i="8"/>
  <c r="C83" i="8"/>
  <c r="P32" i="42"/>
  <c r="B101" i="35"/>
  <c r="C74" i="8"/>
  <c r="N74" i="35"/>
  <c r="N65" i="8"/>
  <c r="N81" i="35" s="1"/>
  <c r="M85" i="35"/>
  <c r="M101" i="35"/>
  <c r="L33" i="41"/>
  <c r="L21" i="8"/>
  <c r="L20" i="8" s="1"/>
  <c r="D20" i="8" s="1"/>
  <c r="J88" i="35"/>
  <c r="K87" i="35"/>
  <c r="K103" i="35"/>
  <c r="D102" i="35"/>
  <c r="E83" i="35"/>
  <c r="O17" i="40"/>
  <c r="J25" i="42"/>
  <c r="D10" i="42"/>
  <c r="J7" i="42"/>
  <c r="Q83" i="35"/>
  <c r="F61" i="45" s="1"/>
  <c r="Q99" i="35"/>
  <c r="N26" i="41"/>
  <c r="N165" i="8"/>
  <c r="N184" i="8" s="1"/>
  <c r="Q27" i="42"/>
  <c r="H85" i="35"/>
  <c r="L85" i="35"/>
  <c r="M88" i="8"/>
  <c r="M135" i="8" s="1"/>
  <c r="J21" i="44"/>
  <c r="J32" i="44" s="1"/>
  <c r="J43" i="44" s="1"/>
  <c r="J54" i="44" s="1"/>
  <c r="J65" i="44" s="1"/>
  <c r="M19" i="44"/>
  <c r="M30" i="44" s="1"/>
  <c r="O21" i="44"/>
  <c r="O32" i="44" s="1"/>
  <c r="O43" i="44" s="1"/>
  <c r="O54" i="44" s="1"/>
  <c r="O65" i="44" s="1"/>
  <c r="I12" i="39"/>
  <c r="I18" i="39" s="1"/>
  <c r="I8" i="8"/>
  <c r="I5" i="8" s="1"/>
  <c r="D126" i="8"/>
  <c r="D83" i="8"/>
  <c r="E78" i="8"/>
  <c r="B22" i="8"/>
  <c r="G128" i="35"/>
  <c r="G102" i="35"/>
  <c r="E88" i="35"/>
  <c r="B87" i="35"/>
  <c r="F85" i="35"/>
  <c r="H84" i="35"/>
  <c r="K83" i="35"/>
  <c r="J8" i="8"/>
  <c r="J4" i="35" s="1"/>
  <c r="J93" i="35" s="1"/>
  <c r="F34" i="42"/>
  <c r="J20" i="44"/>
  <c r="J31" i="44" s="1"/>
  <c r="J42" i="44" s="1"/>
  <c r="J53" i="44" s="1"/>
  <c r="J64" i="44" s="1"/>
  <c r="K20" i="44"/>
  <c r="K31" i="44" s="1"/>
  <c r="K42" i="44" s="1"/>
  <c r="K53" i="44" s="1"/>
  <c r="K64" i="44" s="1"/>
  <c r="G12" i="39"/>
  <c r="G18" i="39" s="1"/>
  <c r="H12" i="39"/>
  <c r="H18" i="39" s="1"/>
  <c r="P128" i="35"/>
  <c r="D86" i="35"/>
  <c r="D84" i="35"/>
  <c r="Q102" i="35"/>
  <c r="I102" i="35"/>
  <c r="E18" i="35"/>
  <c r="B38" i="8"/>
  <c r="B7" i="35" s="1"/>
  <c r="F9" i="42"/>
  <c r="F6" i="42" s="1"/>
  <c r="L126" i="8"/>
  <c r="L156" i="8" s="1"/>
  <c r="J88" i="8"/>
  <c r="J135" i="8" s="1"/>
  <c r="G89" i="8"/>
  <c r="F25" i="45"/>
  <c r="G35" i="42"/>
  <c r="D21" i="8"/>
  <c r="O128" i="35"/>
  <c r="O21" i="8"/>
  <c r="O20" i="8" s="1"/>
  <c r="E20" i="8" s="1"/>
  <c r="L26" i="41"/>
  <c r="P8" i="8"/>
  <c r="P5" i="8" s="1"/>
  <c r="L8" i="8"/>
  <c r="O11" i="8"/>
  <c r="M11" i="8"/>
  <c r="H32" i="42"/>
  <c r="L14" i="42"/>
  <c r="O14" i="42"/>
  <c r="F87" i="35"/>
  <c r="C84" i="35"/>
  <c r="L128" i="35"/>
  <c r="I74" i="35"/>
  <c r="N86" i="35"/>
  <c r="F86" i="35"/>
  <c r="J83" i="35"/>
  <c r="B40" i="8"/>
  <c r="B9" i="35" s="1"/>
  <c r="F45" i="45"/>
  <c r="F39" i="45"/>
  <c r="F41" i="45"/>
  <c r="N21" i="44"/>
  <c r="L12" i="39"/>
  <c r="L33" i="35"/>
  <c r="E102" i="35"/>
  <c r="M86" i="35"/>
  <c r="I83" i="35"/>
  <c r="D10" i="39"/>
  <c r="B34" i="8"/>
  <c r="J19" i="44"/>
  <c r="J30" i="44" s="1"/>
  <c r="J41" i="44" s="1"/>
  <c r="J52" i="44" s="1"/>
  <c r="J63" i="44" s="1"/>
  <c r="L21" i="44"/>
  <c r="L32" i="44" s="1"/>
  <c r="L43" i="44" s="1"/>
  <c r="L54" i="44" s="1"/>
  <c r="L65" i="44" s="1"/>
  <c r="K12" i="39"/>
  <c r="N11" i="8"/>
  <c r="H8" i="8"/>
  <c r="H5" i="8" s="1"/>
  <c r="G8" i="35"/>
  <c r="F20" i="45"/>
  <c r="F36" i="42"/>
  <c r="L35" i="42"/>
  <c r="N13" i="42"/>
  <c r="F18" i="44"/>
  <c r="F29" i="44" s="1"/>
  <c r="G20" i="44"/>
  <c r="H21" i="44"/>
  <c r="I20" i="44"/>
  <c r="I31" i="44" s="1"/>
  <c r="I42" i="44" s="1"/>
  <c r="I53" i="44" s="1"/>
  <c r="I64" i="44" s="1"/>
  <c r="Q21" i="44"/>
  <c r="Q32" i="44" s="1"/>
  <c r="Q43" i="44" s="1"/>
  <c r="Q54" i="44" s="1"/>
  <c r="Q65" i="44" s="1"/>
  <c r="M35" i="35"/>
  <c r="N33" i="35"/>
  <c r="O33" i="35"/>
  <c r="P33" i="35"/>
  <c r="Q33" i="35"/>
  <c r="I35" i="35"/>
  <c r="J35" i="35"/>
  <c r="K35" i="35"/>
  <c r="L35" i="35"/>
  <c r="F35" i="35"/>
  <c r="I34" i="35"/>
  <c r="L34" i="35"/>
  <c r="I33" i="35"/>
  <c r="J34" i="35"/>
  <c r="K34" i="35"/>
  <c r="O35" i="35"/>
  <c r="P35" i="35"/>
  <c r="Q35" i="35"/>
  <c r="F33" i="35"/>
  <c r="G33" i="35"/>
  <c r="H33" i="35"/>
  <c r="F18" i="39"/>
  <c r="N18" i="39"/>
  <c r="K18" i="39"/>
  <c r="L18" i="39"/>
  <c r="O18" i="39"/>
  <c r="C86" i="35"/>
  <c r="C102" i="35"/>
  <c r="E87" i="35"/>
  <c r="E103" i="35"/>
  <c r="C103" i="35"/>
  <c r="C87" i="35"/>
  <c r="C104" i="35"/>
  <c r="C88" i="35"/>
  <c r="D99" i="35"/>
  <c r="C11" i="35"/>
  <c r="B42" i="8"/>
  <c r="B11" i="35" s="1"/>
  <c r="K27" i="42"/>
  <c r="D12" i="42"/>
  <c r="M26" i="42"/>
  <c r="D11" i="42"/>
  <c r="N27" i="42"/>
  <c r="N7" i="42"/>
  <c r="E12" i="42"/>
  <c r="Q104" i="35"/>
  <c r="Q88" i="35"/>
  <c r="I104" i="35"/>
  <c r="I88" i="35"/>
  <c r="E86" i="35"/>
  <c r="C99" i="35"/>
  <c r="C83" i="35"/>
  <c r="M30" i="42"/>
  <c r="D15" i="42"/>
  <c r="P88" i="35"/>
  <c r="H88" i="35"/>
  <c r="Q103" i="35"/>
  <c r="E101" i="35"/>
  <c r="E85" i="35"/>
  <c r="B83" i="35"/>
  <c r="L102" i="35"/>
  <c r="J65" i="8"/>
  <c r="H74" i="35"/>
  <c r="H65" i="8"/>
  <c r="H81" i="35" s="1"/>
  <c r="N100" i="35"/>
  <c r="F100" i="35"/>
  <c r="B8" i="39"/>
  <c r="I87" i="35"/>
  <c r="O87" i="35"/>
  <c r="O103" i="35"/>
  <c r="G87" i="35"/>
  <c r="G103" i="35"/>
  <c r="D85" i="35"/>
  <c r="M100" i="35"/>
  <c r="E100" i="35"/>
  <c r="E84" i="35"/>
  <c r="C10" i="35"/>
  <c r="B41" i="8"/>
  <c r="B10" i="35" s="1"/>
  <c r="D103" i="35"/>
  <c r="N88" i="35"/>
  <c r="N87" i="35"/>
  <c r="P102" i="35"/>
  <c r="H102" i="35"/>
  <c r="C85" i="35"/>
  <c r="L84" i="35"/>
  <c r="H128" i="35"/>
  <c r="N128" i="35"/>
  <c r="J128" i="35"/>
  <c r="K128" i="35"/>
  <c r="P100" i="35"/>
  <c r="D87" i="35"/>
  <c r="P85" i="35"/>
  <c r="Q101" i="35"/>
  <c r="K84" i="35"/>
  <c r="O83" i="35"/>
  <c r="O99" i="35"/>
  <c r="G83" i="35"/>
  <c r="G99" i="35"/>
  <c r="K62" i="44"/>
  <c r="M84" i="35"/>
  <c r="O85" i="35"/>
  <c r="O101" i="35"/>
  <c r="G85" i="35"/>
  <c r="G101" i="35"/>
  <c r="F4" i="40"/>
  <c r="C93" i="8"/>
  <c r="B93" i="8"/>
  <c r="P65" i="8"/>
  <c r="P81" i="35" s="1"/>
  <c r="M4" i="40"/>
  <c r="D93" i="8"/>
  <c r="N131" i="8"/>
  <c r="N161" i="8" s="1"/>
  <c r="K12" i="44"/>
  <c r="K88" i="44"/>
  <c r="B87" i="8"/>
  <c r="J12" i="44"/>
  <c r="J88" i="44"/>
  <c r="H89" i="8"/>
  <c r="H88" i="8"/>
  <c r="H135" i="8" s="1"/>
  <c r="H11" i="8"/>
  <c r="P89" i="8"/>
  <c r="P88" i="8"/>
  <c r="P11" i="8"/>
  <c r="D86" i="44"/>
  <c r="Q12" i="44"/>
  <c r="Q88" i="44"/>
  <c r="I12" i="44"/>
  <c r="I88" i="44"/>
  <c r="H50" i="35"/>
  <c r="H52" i="35" s="1"/>
  <c r="J5" i="8"/>
  <c r="K5" i="35"/>
  <c r="K50" i="35" s="1"/>
  <c r="K52" i="35" s="1"/>
  <c r="K8" i="8"/>
  <c r="G5" i="35"/>
  <c r="G50" i="35" s="1"/>
  <c r="G52" i="35" s="1"/>
  <c r="G8" i="8"/>
  <c r="N53" i="41"/>
  <c r="N10" i="8"/>
  <c r="O8" i="35"/>
  <c r="O8" i="8"/>
  <c r="L34" i="41"/>
  <c r="L35" i="41" s="1"/>
  <c r="D87" i="8"/>
  <c r="N88" i="44"/>
  <c r="N12" i="44"/>
  <c r="F12" i="44"/>
  <c r="F88" i="44"/>
  <c r="Q135" i="8"/>
  <c r="E93" i="8"/>
  <c r="J128" i="8"/>
  <c r="C87" i="8"/>
  <c r="K89" i="8"/>
  <c r="D89" i="8" s="1"/>
  <c r="K11" i="8"/>
  <c r="K88" i="8"/>
  <c r="K135" i="8" s="1"/>
  <c r="F89" i="8"/>
  <c r="F11" i="8"/>
  <c r="N50" i="35"/>
  <c r="N60" i="35" s="1"/>
  <c r="P12" i="44"/>
  <c r="P88" i="44"/>
  <c r="H12" i="44"/>
  <c r="H88" i="44"/>
  <c r="J50" i="35"/>
  <c r="J52" i="35" s="1"/>
  <c r="O12" i="44"/>
  <c r="O88" i="44"/>
  <c r="G12" i="44"/>
  <c r="G88" i="44"/>
  <c r="Q50" i="35"/>
  <c r="Q52" i="35" s="1"/>
  <c r="P86" i="8"/>
  <c r="P24" i="39" s="1"/>
  <c r="L86" i="8"/>
  <c r="L24" i="39" s="1"/>
  <c r="M86" i="8"/>
  <c r="M24" i="39" s="1"/>
  <c r="I86" i="8"/>
  <c r="I24" i="39" s="1"/>
  <c r="Q24" i="39"/>
  <c r="O86" i="8"/>
  <c r="O24" i="39" s="1"/>
  <c r="K86" i="8"/>
  <c r="K24" i="39" s="1"/>
  <c r="G86" i="8"/>
  <c r="G24" i="39" s="1"/>
  <c r="F86" i="8"/>
  <c r="F24" i="39" s="1"/>
  <c r="N86" i="8"/>
  <c r="N24" i="39" s="1"/>
  <c r="J86" i="8"/>
  <c r="J24" i="39" s="1"/>
  <c r="L4" i="35"/>
  <c r="L5" i="8"/>
  <c r="M50" i="35"/>
  <c r="M52" i="35" s="1"/>
  <c r="I50" i="35"/>
  <c r="I88" i="8"/>
  <c r="I135" i="8" s="1"/>
  <c r="M12" i="44"/>
  <c r="M88" i="44"/>
  <c r="P50" i="35"/>
  <c r="P52" i="35" s="1"/>
  <c r="O135" i="8"/>
  <c r="G135" i="8"/>
  <c r="L88" i="44"/>
  <c r="L12" i="44"/>
  <c r="L50" i="35"/>
  <c r="L52" i="35" s="1"/>
  <c r="H31" i="42"/>
  <c r="H10" i="42"/>
  <c r="I30" i="42"/>
  <c r="M13" i="42"/>
  <c r="D13" i="42" s="1"/>
  <c r="Q15" i="42"/>
  <c r="G32" i="42"/>
  <c r="H29" i="42"/>
  <c r="K32" i="42"/>
  <c r="N16" i="42"/>
  <c r="G30" i="42"/>
  <c r="H35" i="42"/>
  <c r="N34" i="42"/>
  <c r="G28" i="42"/>
  <c r="H33" i="42"/>
  <c r="J18" i="44"/>
  <c r="L18" i="44"/>
  <c r="F8" i="8"/>
  <c r="N18" i="44"/>
  <c r="H18" i="44"/>
  <c r="O20" i="44"/>
  <c r="F50" i="35"/>
  <c r="K19" i="44"/>
  <c r="M20" i="44"/>
  <c r="Q20" i="44"/>
  <c r="Q31" i="44" s="1"/>
  <c r="Q42" i="44" s="1"/>
  <c r="Q53" i="44" s="1"/>
  <c r="Q64" i="44" s="1"/>
  <c r="G18" i="44"/>
  <c r="P18" i="44"/>
  <c r="Q19" i="44"/>
  <c r="G71" i="45" s="1"/>
  <c r="K33" i="41"/>
  <c r="M33" i="41"/>
  <c r="Q33" i="41"/>
  <c r="I33" i="41"/>
  <c r="G33" i="41"/>
  <c r="N19" i="44"/>
  <c r="N33" i="41"/>
  <c r="P33" i="41"/>
  <c r="M12" i="39"/>
  <c r="O19" i="44"/>
  <c r="O30" i="44" s="1"/>
  <c r="F33" i="41"/>
  <c r="P18" i="39"/>
  <c r="H33" i="41"/>
  <c r="L19" i="44"/>
  <c r="L30" i="44" s="1"/>
  <c r="L41" i="44" s="1"/>
  <c r="L52" i="44" s="1"/>
  <c r="L63" i="44" s="1"/>
  <c r="P19" i="44"/>
  <c r="P30" i="44" s="1"/>
  <c r="P41" i="44" s="1"/>
  <c r="P52" i="44" s="1"/>
  <c r="P63" i="44" s="1"/>
  <c r="J33" i="41"/>
  <c r="E20" i="42" l="1"/>
  <c r="B20" i="42" s="1"/>
  <c r="E11" i="39"/>
  <c r="B11" i="39" s="1"/>
  <c r="Q29" i="44"/>
  <c r="F71" i="45"/>
  <c r="Q9" i="42"/>
  <c r="F64" i="45"/>
  <c r="G64" i="45" s="1"/>
  <c r="J6" i="42"/>
  <c r="B7" i="39"/>
  <c r="E11" i="42"/>
  <c r="B11" i="42" s="1"/>
  <c r="B12" i="42"/>
  <c r="B10" i="39"/>
  <c r="Q74" i="35"/>
  <c r="F63" i="45"/>
  <c r="G63" i="45" s="1"/>
  <c r="F14" i="45"/>
  <c r="G46" i="45"/>
  <c r="B6" i="44"/>
  <c r="F65" i="45"/>
  <c r="G65" i="45" s="1"/>
  <c r="F66" i="45"/>
  <c r="G66" i="45" s="1"/>
  <c r="E89" i="8"/>
  <c r="O56" i="41"/>
  <c r="C15" i="40"/>
  <c r="J45" i="41"/>
  <c r="J16" i="41" s="1"/>
  <c r="G45" i="45"/>
  <c r="Q17" i="40"/>
  <c r="G108" i="45"/>
  <c r="G86" i="45"/>
  <c r="G45" i="41"/>
  <c r="G16" i="41" s="1"/>
  <c r="I45" i="41"/>
  <c r="I16" i="41" s="1"/>
  <c r="F17" i="40"/>
  <c r="C17" i="40" s="1"/>
  <c r="E15" i="40"/>
  <c r="D15" i="40"/>
  <c r="D17" i="40"/>
  <c r="M148" i="8"/>
  <c r="M92" i="44"/>
  <c r="M102" i="44" s="1"/>
  <c r="M113" i="44" s="1"/>
  <c r="M124" i="44" s="1"/>
  <c r="M135" i="44" s="1"/>
  <c r="M146" i="44" s="1"/>
  <c r="M53" i="41"/>
  <c r="Q4" i="35"/>
  <c r="Q128" i="8"/>
  <c r="K6" i="42"/>
  <c r="B19" i="42"/>
  <c r="N92" i="44"/>
  <c r="N102" i="44" s="1"/>
  <c r="B86" i="44"/>
  <c r="J28" i="42"/>
  <c r="Q7" i="42"/>
  <c r="C8" i="35"/>
  <c r="F26" i="41"/>
  <c r="C126" i="8"/>
  <c r="P9" i="42"/>
  <c r="P6" i="42" s="1"/>
  <c r="D7" i="42"/>
  <c r="N134" i="8"/>
  <c r="N76" i="44"/>
  <c r="B36" i="8"/>
  <c r="B5" i="35" s="1"/>
  <c r="B48" i="41"/>
  <c r="B31" i="41" s="1"/>
  <c r="E17" i="42"/>
  <c r="B17" i="42" s="1"/>
  <c r="N125" i="8"/>
  <c r="N155" i="8" s="1"/>
  <c r="N174" i="8" s="1"/>
  <c r="B80" i="44"/>
  <c r="O27" i="42"/>
  <c r="O7" i="42"/>
  <c r="Q125" i="8"/>
  <c r="Q155" i="8" s="1"/>
  <c r="Q174" i="8" s="1"/>
  <c r="Q66" i="35"/>
  <c r="B39" i="8"/>
  <c r="B58" i="8" s="1"/>
  <c r="B74" i="35" s="1"/>
  <c r="I4" i="35"/>
  <c r="I91" i="35" s="1"/>
  <c r="N4" i="35"/>
  <c r="N92" i="35" s="1"/>
  <c r="N14" i="44"/>
  <c r="N50" i="8"/>
  <c r="N148" i="8"/>
  <c r="N128" i="8"/>
  <c r="J60" i="35"/>
  <c r="J62" i="35" s="1"/>
  <c r="J69" i="41" s="1"/>
  <c r="J91" i="41" s="1"/>
  <c r="J111" i="41" s="1"/>
  <c r="E128" i="35"/>
  <c r="E12" i="39"/>
  <c r="B21" i="42"/>
  <c r="H86" i="8"/>
  <c r="H24" i="39" s="1"/>
  <c r="V156" i="8"/>
  <c r="B21" i="8"/>
  <c r="M4" i="35"/>
  <c r="M50" i="8"/>
  <c r="M128" i="8"/>
  <c r="M125" i="8"/>
  <c r="M155" i="8" s="1"/>
  <c r="M174" i="8" s="1"/>
  <c r="T156" i="8"/>
  <c r="M129" i="8"/>
  <c r="M159" i="8" s="1"/>
  <c r="M178" i="8" s="1"/>
  <c r="U156" i="8"/>
  <c r="B20" i="8"/>
  <c r="D9" i="42"/>
  <c r="F74" i="35"/>
  <c r="F65" i="8"/>
  <c r="F81" i="35" s="1"/>
  <c r="M14" i="44"/>
  <c r="M24" i="44" s="1"/>
  <c r="M35" i="44" s="1"/>
  <c r="M46" i="44" s="1"/>
  <c r="M57" i="44" s="1"/>
  <c r="M68" i="44" s="1"/>
  <c r="M131" i="8"/>
  <c r="M161" i="8" s="1"/>
  <c r="M180" i="8" s="1"/>
  <c r="C85" i="8"/>
  <c r="J44" i="41"/>
  <c r="J15" i="41" s="1"/>
  <c r="M31" i="42"/>
  <c r="D16" i="42"/>
  <c r="H4" i="35"/>
  <c r="H92" i="35" s="1"/>
  <c r="K45" i="41"/>
  <c r="K16" i="41" s="1"/>
  <c r="B18" i="42"/>
  <c r="N66" i="35"/>
  <c r="N98" i="35" s="1"/>
  <c r="N57" i="8"/>
  <c r="N73" i="35" s="1"/>
  <c r="E8" i="35"/>
  <c r="E58" i="8"/>
  <c r="E74" i="35" s="1"/>
  <c r="E126" i="8"/>
  <c r="G61" i="45"/>
  <c r="L44" i="41"/>
  <c r="L15" i="41" s="1"/>
  <c r="M76" i="44"/>
  <c r="I6" i="42"/>
  <c r="M10" i="8"/>
  <c r="M18" i="8" s="1"/>
  <c r="M137" i="8" s="1"/>
  <c r="G31" i="45"/>
  <c r="D8" i="35"/>
  <c r="D58" i="8"/>
  <c r="D74" i="35" s="1"/>
  <c r="C34" i="35"/>
  <c r="C128" i="35"/>
  <c r="G32" i="45"/>
  <c r="M36" i="35"/>
  <c r="M38" i="35" s="1"/>
  <c r="M42" i="41" s="1"/>
  <c r="H36" i="35"/>
  <c r="H38" i="35" s="1"/>
  <c r="H42" i="41" s="1"/>
  <c r="K22" i="44"/>
  <c r="C35" i="35"/>
  <c r="E34" i="35"/>
  <c r="O36" i="35"/>
  <c r="O38" i="35" s="1"/>
  <c r="O42" i="41" s="1"/>
  <c r="O50" i="41" s="1"/>
  <c r="G22" i="44"/>
  <c r="Q36" i="35"/>
  <c r="Q38" i="35" s="1"/>
  <c r="Q42" i="41" s="1"/>
  <c r="G41" i="44"/>
  <c r="I33" i="44"/>
  <c r="I22" i="44"/>
  <c r="C19" i="44"/>
  <c r="E33" i="35"/>
  <c r="G47" i="45"/>
  <c r="F22" i="44"/>
  <c r="I36" i="35"/>
  <c r="I38" i="35" s="1"/>
  <c r="D33" i="35"/>
  <c r="P36" i="35"/>
  <c r="P38" i="35" s="1"/>
  <c r="P22" i="44"/>
  <c r="L22" i="44"/>
  <c r="J22" i="44"/>
  <c r="D35" i="35"/>
  <c r="B39" i="42"/>
  <c r="B18" i="35"/>
  <c r="O29" i="42"/>
  <c r="E14" i="42"/>
  <c r="I128" i="8"/>
  <c r="I50" i="8"/>
  <c r="I125" i="8"/>
  <c r="I155" i="8" s="1"/>
  <c r="I174" i="8" s="1"/>
  <c r="N36" i="35"/>
  <c r="N38" i="35" s="1"/>
  <c r="N42" i="41" s="1"/>
  <c r="N50" i="41" s="1"/>
  <c r="H32" i="44"/>
  <c r="C21" i="44"/>
  <c r="H125" i="8"/>
  <c r="H155" i="8" s="1"/>
  <c r="H174" i="8" s="1"/>
  <c r="H128" i="8"/>
  <c r="H50" i="8"/>
  <c r="L29" i="42"/>
  <c r="L8" i="42"/>
  <c r="L6" i="42" s="1"/>
  <c r="D14" i="42"/>
  <c r="E21" i="8"/>
  <c r="G31" i="44"/>
  <c r="C20" i="44"/>
  <c r="N32" i="44"/>
  <c r="E21" i="44"/>
  <c r="J125" i="8"/>
  <c r="J155" i="8" s="1"/>
  <c r="J174" i="8" s="1"/>
  <c r="J50" i="8"/>
  <c r="O8" i="42"/>
  <c r="O6" i="42" s="1"/>
  <c r="L36" i="35"/>
  <c r="L38" i="35" s="1"/>
  <c r="L42" i="41" s="1"/>
  <c r="Q22" i="44"/>
  <c r="H71" i="45" s="1"/>
  <c r="C65" i="8"/>
  <c r="C81" i="35" s="1"/>
  <c r="S156" i="8"/>
  <c r="L175" i="8"/>
  <c r="M56" i="41"/>
  <c r="M41" i="44"/>
  <c r="M52" i="44" s="1"/>
  <c r="M63" i="44" s="1"/>
  <c r="O45" i="41"/>
  <c r="E6" i="40"/>
  <c r="C20" i="8"/>
  <c r="N28" i="42"/>
  <c r="E13" i="42"/>
  <c r="B13" i="42" s="1"/>
  <c r="C30" i="44"/>
  <c r="F41" i="44"/>
  <c r="M134" i="8"/>
  <c r="L125" i="8"/>
  <c r="L155" i="8" s="1"/>
  <c r="L174" i="8" s="1"/>
  <c r="L128" i="8"/>
  <c r="L50" i="8"/>
  <c r="D21" i="44"/>
  <c r="F53" i="44"/>
  <c r="K36" i="35"/>
  <c r="K38" i="35" s="1"/>
  <c r="K42" i="41" s="1"/>
  <c r="K50" i="41" s="1"/>
  <c r="P4" i="35"/>
  <c r="P128" i="8"/>
  <c r="P50" i="8"/>
  <c r="P125" i="8"/>
  <c r="P155" i="8" s="1"/>
  <c r="P174" i="8" s="1"/>
  <c r="C12" i="39"/>
  <c r="M26" i="41"/>
  <c r="M165" i="8"/>
  <c r="M184" i="8" s="1"/>
  <c r="D32" i="44"/>
  <c r="I43" i="44"/>
  <c r="J36" i="35"/>
  <c r="J38" i="35" s="1"/>
  <c r="J42" i="41" s="1"/>
  <c r="D34" i="35"/>
  <c r="G36" i="35"/>
  <c r="G33" i="45"/>
  <c r="E35" i="35"/>
  <c r="C33" i="35"/>
  <c r="F36" i="35"/>
  <c r="F38" i="35" s="1"/>
  <c r="G44" i="41"/>
  <c r="G15" i="41" s="1"/>
  <c r="O44" i="41"/>
  <c r="O15" i="41" s="1"/>
  <c r="Q44" i="41"/>
  <c r="Q15" i="41" s="1"/>
  <c r="D128" i="35"/>
  <c r="Q60" i="35"/>
  <c r="K44" i="41"/>
  <c r="K15" i="41" s="1"/>
  <c r="H44" i="41"/>
  <c r="H15" i="41" s="1"/>
  <c r="E18" i="39"/>
  <c r="C18" i="39"/>
  <c r="K60" i="35"/>
  <c r="L60" i="35"/>
  <c r="L62" i="35" s="1"/>
  <c r="L69" i="41" s="1"/>
  <c r="L91" i="41" s="1"/>
  <c r="L111" i="41" s="1"/>
  <c r="I26" i="41"/>
  <c r="I165" i="8"/>
  <c r="F44" i="41"/>
  <c r="C24" i="39"/>
  <c r="J71" i="41"/>
  <c r="J93" i="41" s="1"/>
  <c r="J113" i="41" s="1"/>
  <c r="J158" i="8"/>
  <c r="K4" i="35"/>
  <c r="K5" i="8"/>
  <c r="D156" i="8" s="1"/>
  <c r="K128" i="8"/>
  <c r="D8" i="8"/>
  <c r="K125" i="8"/>
  <c r="K155" i="8" s="1"/>
  <c r="K50" i="8"/>
  <c r="N34" i="41"/>
  <c r="E33" i="41"/>
  <c r="D33" i="41"/>
  <c r="I34" i="41"/>
  <c r="G29" i="44"/>
  <c r="C18" i="44"/>
  <c r="N29" i="44"/>
  <c r="E18" i="44"/>
  <c r="H25" i="42"/>
  <c r="H7" i="42"/>
  <c r="C10" i="42"/>
  <c r="G26" i="41"/>
  <c r="G165" i="8"/>
  <c r="P60" i="35"/>
  <c r="P62" i="35" s="1"/>
  <c r="P69" i="41" s="1"/>
  <c r="P91" i="41" s="1"/>
  <c r="P111" i="41" s="1"/>
  <c r="M60" i="35"/>
  <c r="M62" i="35" s="1"/>
  <c r="M69" i="41" s="1"/>
  <c r="M91" i="41" s="1"/>
  <c r="M111" i="41" s="1"/>
  <c r="I53" i="41"/>
  <c r="I14" i="44"/>
  <c r="I10" i="8"/>
  <c r="I76" i="44"/>
  <c r="I92" i="44"/>
  <c r="I129" i="8"/>
  <c r="I159" i="8" s="1"/>
  <c r="I148" i="8"/>
  <c r="B89" i="8"/>
  <c r="C89" i="8"/>
  <c r="N93" i="35"/>
  <c r="N23" i="44"/>
  <c r="E12" i="44"/>
  <c r="K43" i="41"/>
  <c r="N24" i="44"/>
  <c r="J53" i="41"/>
  <c r="J14" i="44"/>
  <c r="J24" i="44" s="1"/>
  <c r="J35" i="44" s="1"/>
  <c r="J46" i="44" s="1"/>
  <c r="J57" i="44" s="1"/>
  <c r="J68" i="44" s="1"/>
  <c r="J10" i="8"/>
  <c r="J18" i="8" s="1"/>
  <c r="J92" i="44"/>
  <c r="J102" i="44" s="1"/>
  <c r="J113" i="44" s="1"/>
  <c r="J124" i="44" s="1"/>
  <c r="J135" i="44" s="1"/>
  <c r="J146" i="44" s="1"/>
  <c r="J76" i="44"/>
  <c r="J129" i="8"/>
  <c r="J159" i="8" s="1"/>
  <c r="J178" i="8" s="1"/>
  <c r="J148" i="8"/>
  <c r="H60" i="35"/>
  <c r="H62" i="35" s="1"/>
  <c r="H69" i="41" s="1"/>
  <c r="H91" i="41" s="1"/>
  <c r="H111" i="41" s="1"/>
  <c r="K90" i="44"/>
  <c r="K101" i="44" s="1"/>
  <c r="C88" i="8"/>
  <c r="C135" i="8" s="1"/>
  <c r="C26" i="41" s="1"/>
  <c r="N97" i="35"/>
  <c r="M18" i="39"/>
  <c r="D18" i="39" s="1"/>
  <c r="D12" i="39"/>
  <c r="H29" i="44"/>
  <c r="H33" i="44" s="1"/>
  <c r="J34" i="41"/>
  <c r="J35" i="41" s="1"/>
  <c r="O26" i="41"/>
  <c r="O165" i="8"/>
  <c r="I20" i="35"/>
  <c r="N52" i="35"/>
  <c r="Q26" i="41"/>
  <c r="Q165" i="8"/>
  <c r="Q184" i="8" s="1"/>
  <c r="N90" i="44"/>
  <c r="E88" i="44"/>
  <c r="J91" i="35"/>
  <c r="J20" i="35"/>
  <c r="J92" i="35"/>
  <c r="J95" i="35"/>
  <c r="J96" i="35"/>
  <c r="H43" i="41"/>
  <c r="I131" i="8"/>
  <c r="I161" i="8" s="1"/>
  <c r="J26" i="41"/>
  <c r="J165" i="8"/>
  <c r="J184" i="8" s="1"/>
  <c r="J131" i="8"/>
  <c r="J161" i="8" s="1"/>
  <c r="J180" i="8" s="1"/>
  <c r="K23" i="44"/>
  <c r="M80" i="41"/>
  <c r="M102" i="41" s="1"/>
  <c r="M122" i="41" s="1"/>
  <c r="M167" i="8"/>
  <c r="M186" i="8" s="1"/>
  <c r="J94" i="35"/>
  <c r="P34" i="41"/>
  <c r="P35" i="41" s="1"/>
  <c r="F52" i="35"/>
  <c r="F60" i="35"/>
  <c r="C50" i="35"/>
  <c r="F56" i="41"/>
  <c r="F40" i="44"/>
  <c r="P43" i="41"/>
  <c r="M34" i="41"/>
  <c r="M35" i="41" s="1"/>
  <c r="O22" i="44"/>
  <c r="G90" i="44"/>
  <c r="G101" i="44" s="1"/>
  <c r="P53" i="41"/>
  <c r="P14" i="44"/>
  <c r="P24" i="44" s="1"/>
  <c r="P35" i="44" s="1"/>
  <c r="P46" i="44" s="1"/>
  <c r="P57" i="44" s="1"/>
  <c r="P68" i="44" s="1"/>
  <c r="P76" i="44"/>
  <c r="P92" i="44"/>
  <c r="P102" i="44" s="1"/>
  <c r="P113" i="44" s="1"/>
  <c r="P124" i="44" s="1"/>
  <c r="P135" i="44" s="1"/>
  <c r="P146" i="44" s="1"/>
  <c r="P129" i="8"/>
  <c r="P159" i="8" s="1"/>
  <c r="P178" i="8" s="1"/>
  <c r="P134" i="8"/>
  <c r="P10" i="8"/>
  <c r="P18" i="8" s="1"/>
  <c r="P148" i="8"/>
  <c r="D11" i="8"/>
  <c r="O4" i="35"/>
  <c r="O20" i="35" s="1"/>
  <c r="O128" i="8"/>
  <c r="O5" i="8"/>
  <c r="O125" i="8"/>
  <c r="O155" i="8" s="1"/>
  <c r="O50" i="8"/>
  <c r="E11" i="8"/>
  <c r="H26" i="41"/>
  <c r="H165" i="8"/>
  <c r="H184" i="8" s="1"/>
  <c r="J134" i="8"/>
  <c r="M6" i="40"/>
  <c r="M7" i="40" s="1"/>
  <c r="D4" i="40"/>
  <c r="F6" i="40"/>
  <c r="C4" i="40"/>
  <c r="G43" i="41"/>
  <c r="M43" i="41"/>
  <c r="H34" i="41"/>
  <c r="H35" i="41" s="1"/>
  <c r="I40" i="44"/>
  <c r="J29" i="44"/>
  <c r="D18" i="44"/>
  <c r="F33" i="44"/>
  <c r="L53" i="41"/>
  <c r="L14" i="44"/>
  <c r="L24" i="44" s="1"/>
  <c r="L35" i="44" s="1"/>
  <c r="L46" i="44" s="1"/>
  <c r="L57" i="44" s="1"/>
  <c r="L68" i="44" s="1"/>
  <c r="L10" i="8"/>
  <c r="L18" i="8" s="1"/>
  <c r="L76" i="44"/>
  <c r="L92" i="44"/>
  <c r="L102" i="44" s="1"/>
  <c r="L113" i="44" s="1"/>
  <c r="L124" i="44" s="1"/>
  <c r="L135" i="44" s="1"/>
  <c r="L146" i="44" s="1"/>
  <c r="L129" i="8"/>
  <c r="L159" i="8" s="1"/>
  <c r="L178" i="8" s="1"/>
  <c r="L134" i="8"/>
  <c r="L148" i="8"/>
  <c r="G34" i="41"/>
  <c r="G35" i="41" s="1"/>
  <c r="K34" i="41"/>
  <c r="K35" i="41" s="1"/>
  <c r="O31" i="44"/>
  <c r="E20" i="44"/>
  <c r="F5" i="8"/>
  <c r="F4" i="35"/>
  <c r="C8" i="8"/>
  <c r="B8" i="8"/>
  <c r="K145" i="8" s="1"/>
  <c r="F128" i="8"/>
  <c r="F125" i="8"/>
  <c r="F155" i="8" s="1"/>
  <c r="F50" i="8"/>
  <c r="L43" i="41"/>
  <c r="M90" i="44"/>
  <c r="M101" i="44" s="1"/>
  <c r="M103" i="44" s="1"/>
  <c r="L91" i="35"/>
  <c r="L94" i="35"/>
  <c r="L96" i="35"/>
  <c r="L20" i="35"/>
  <c r="L92" i="35"/>
  <c r="L93" i="35"/>
  <c r="I44" i="41"/>
  <c r="D24" i="39"/>
  <c r="G23" i="44"/>
  <c r="I134" i="8"/>
  <c r="O50" i="35"/>
  <c r="O52" i="35" s="1"/>
  <c r="H53" i="41"/>
  <c r="H14" i="44"/>
  <c r="H24" i="44" s="1"/>
  <c r="H35" i="44" s="1"/>
  <c r="H46" i="44" s="1"/>
  <c r="H57" i="44" s="1"/>
  <c r="H68" i="44" s="1"/>
  <c r="H10" i="8"/>
  <c r="H18" i="8" s="1"/>
  <c r="H76" i="44"/>
  <c r="H92" i="44"/>
  <c r="H102" i="44" s="1"/>
  <c r="H113" i="44" s="1"/>
  <c r="H124" i="44" s="1"/>
  <c r="H135" i="44" s="1"/>
  <c r="H146" i="44" s="1"/>
  <c r="H134" i="8"/>
  <c r="H129" i="8"/>
  <c r="H159" i="8" s="1"/>
  <c r="H178" i="8" s="1"/>
  <c r="H148" i="8"/>
  <c r="E88" i="8"/>
  <c r="E135" i="8" s="1"/>
  <c r="E26" i="41" s="1"/>
  <c r="P135" i="8"/>
  <c r="J90" i="44"/>
  <c r="J101" i="44" s="1"/>
  <c r="L131" i="8"/>
  <c r="L161" i="8" s="1"/>
  <c r="L180" i="8" s="1"/>
  <c r="I52" i="35"/>
  <c r="D50" i="35"/>
  <c r="P90" i="44"/>
  <c r="P101" i="44" s="1"/>
  <c r="N30" i="44"/>
  <c r="E19" i="44"/>
  <c r="C33" i="41"/>
  <c r="F34" i="41"/>
  <c r="Q30" i="44"/>
  <c r="H22" i="44"/>
  <c r="L23" i="44"/>
  <c r="M23" i="44"/>
  <c r="M25" i="44" s="1"/>
  <c r="O90" i="44"/>
  <c r="O101" i="44" s="1"/>
  <c r="H90" i="44"/>
  <c r="H101" i="44" s="1"/>
  <c r="G4" i="35"/>
  <c r="G5" i="8"/>
  <c r="G125" i="8"/>
  <c r="G155" i="8" s="1"/>
  <c r="G174" i="8" s="1"/>
  <c r="G128" i="8"/>
  <c r="G50" i="8"/>
  <c r="I90" i="44"/>
  <c r="D88" i="44"/>
  <c r="M77" i="44"/>
  <c r="J23" i="44"/>
  <c r="E65" i="8"/>
  <c r="E81" i="35" s="1"/>
  <c r="M31" i="44"/>
  <c r="M22" i="44"/>
  <c r="D20" i="44"/>
  <c r="M28" i="42"/>
  <c r="M8" i="42"/>
  <c r="M6" i="42" s="1"/>
  <c r="F90" i="44"/>
  <c r="C88" i="44"/>
  <c r="Q90" i="44"/>
  <c r="Q101" i="44" s="1"/>
  <c r="Q34" i="41"/>
  <c r="Q35" i="41" s="1"/>
  <c r="O41" i="44"/>
  <c r="M33" i="44"/>
  <c r="Q30" i="42"/>
  <c r="E15" i="42"/>
  <c r="B15" i="42" s="1"/>
  <c r="Q8" i="42"/>
  <c r="L90" i="44"/>
  <c r="L101" i="44" s="1"/>
  <c r="D88" i="8"/>
  <c r="D135" i="8" s="1"/>
  <c r="D26" i="41" s="1"/>
  <c r="N44" i="41"/>
  <c r="E24" i="39"/>
  <c r="O23" i="44"/>
  <c r="H23" i="44"/>
  <c r="N23" i="41"/>
  <c r="N164" i="8"/>
  <c r="N18" i="8"/>
  <c r="I23" i="44"/>
  <c r="D12" i="44"/>
  <c r="M40" i="41"/>
  <c r="M123" i="8"/>
  <c r="M153" i="8" s="1"/>
  <c r="M127" i="8"/>
  <c r="M157" i="8" s="1"/>
  <c r="M176" i="8" s="1"/>
  <c r="B88" i="8"/>
  <c r="B135" i="8" s="1"/>
  <c r="B26" i="41" s="1"/>
  <c r="P131" i="8"/>
  <c r="P161" i="8" s="1"/>
  <c r="P180" i="8" s="1"/>
  <c r="H131" i="8"/>
  <c r="H161" i="8" s="1"/>
  <c r="H180" i="8" s="1"/>
  <c r="B65" i="8"/>
  <c r="B81" i="35" s="1"/>
  <c r="D65" i="8"/>
  <c r="D81" i="35" s="1"/>
  <c r="J81" i="35"/>
  <c r="M132" i="8"/>
  <c r="M162" i="8" s="1"/>
  <c r="M181" i="8" s="1"/>
  <c r="L95" i="35"/>
  <c r="K26" i="41"/>
  <c r="K165" i="8"/>
  <c r="K184" i="8" s="1"/>
  <c r="I56" i="41"/>
  <c r="P29" i="44"/>
  <c r="P33" i="44" s="1"/>
  <c r="K30" i="44"/>
  <c r="K33" i="44" s="1"/>
  <c r="D19" i="44"/>
  <c r="N22" i="44"/>
  <c r="L29" i="44"/>
  <c r="L33" i="44" s="1"/>
  <c r="N31" i="42"/>
  <c r="N8" i="42"/>
  <c r="N6" i="42" s="1"/>
  <c r="E16" i="42"/>
  <c r="I60" i="35"/>
  <c r="P44" i="41"/>
  <c r="P15" i="41" s="1"/>
  <c r="Q43" i="41"/>
  <c r="J43" i="41"/>
  <c r="P23" i="44"/>
  <c r="G60" i="35"/>
  <c r="B11" i="8"/>
  <c r="F146" i="8" s="1"/>
  <c r="C11" i="8"/>
  <c r="E8" i="8"/>
  <c r="F23" i="44"/>
  <c r="C12" i="44"/>
  <c r="N77" i="44"/>
  <c r="Q23" i="44"/>
  <c r="I71" i="45" s="1"/>
  <c r="N180" i="8"/>
  <c r="Q33" i="44" l="1"/>
  <c r="H72" i="45" s="1"/>
  <c r="G72" i="45"/>
  <c r="Q40" i="44"/>
  <c r="F72" i="45"/>
  <c r="Q6" i="42"/>
  <c r="Q61" i="35"/>
  <c r="Q68" i="41" s="1"/>
  <c r="Q90" i="41" s="1"/>
  <c r="Q110" i="41" s="1"/>
  <c r="B126" i="8"/>
  <c r="Q73" i="35"/>
  <c r="Q97" i="35" s="1"/>
  <c r="Q134" i="8"/>
  <c r="Q23" i="41" s="1"/>
  <c r="G110" i="45"/>
  <c r="Q45" i="41"/>
  <c r="Q16" i="41" s="1"/>
  <c r="E17" i="40"/>
  <c r="B17" i="40" s="1"/>
  <c r="B15" i="40"/>
  <c r="Q131" i="8"/>
  <c r="Q161" i="8" s="1"/>
  <c r="Q180" i="8" s="1"/>
  <c r="Q53" i="41"/>
  <c r="Q14" i="44"/>
  <c r="Q24" i="44" s="1"/>
  <c r="Q35" i="44" s="1"/>
  <c r="Q46" i="44" s="1"/>
  <c r="Q57" i="44" s="1"/>
  <c r="Q68" i="44" s="1"/>
  <c r="Q92" i="44"/>
  <c r="Q102" i="44" s="1"/>
  <c r="Q113" i="44" s="1"/>
  <c r="Q124" i="44" s="1"/>
  <c r="Q135" i="44" s="1"/>
  <c r="Q146" i="44" s="1"/>
  <c r="Q76" i="44"/>
  <c r="Q77" i="44" s="1"/>
  <c r="H93" i="35"/>
  <c r="H96" i="35"/>
  <c r="I96" i="35"/>
  <c r="B8" i="35"/>
  <c r="N71" i="41"/>
  <c r="N93" i="41" s="1"/>
  <c r="N113" i="41" s="1"/>
  <c r="N158" i="8"/>
  <c r="N177" i="8" s="1"/>
  <c r="Q71" i="41"/>
  <c r="Q93" i="41" s="1"/>
  <c r="Q113" i="41" s="1"/>
  <c r="Q158" i="8"/>
  <c r="Q177" i="8" s="1"/>
  <c r="N91" i="35"/>
  <c r="N20" i="35"/>
  <c r="N96" i="35"/>
  <c r="I95" i="35"/>
  <c r="J61" i="35"/>
  <c r="J68" i="41" s="1"/>
  <c r="J90" i="41" s="1"/>
  <c r="J110" i="41" s="1"/>
  <c r="Q20" i="35"/>
  <c r="Q95" i="35"/>
  <c r="Q91" i="35"/>
  <c r="Q93" i="35"/>
  <c r="Q96" i="35"/>
  <c r="Q92" i="35"/>
  <c r="Q94" i="35"/>
  <c r="N95" i="35"/>
  <c r="H95" i="35"/>
  <c r="I94" i="35"/>
  <c r="N61" i="35"/>
  <c r="N68" i="41" s="1"/>
  <c r="N90" i="41" s="1"/>
  <c r="N110" i="41" s="1"/>
  <c r="B16" i="42"/>
  <c r="N94" i="35"/>
  <c r="H94" i="35"/>
  <c r="I92" i="35"/>
  <c r="B12" i="39"/>
  <c r="Q129" i="8"/>
  <c r="Q159" i="8" s="1"/>
  <c r="Q178" i="8" s="1"/>
  <c r="I93" i="35"/>
  <c r="H20" i="35"/>
  <c r="Q148" i="8"/>
  <c r="H41" i="35"/>
  <c r="H55" i="35" s="1"/>
  <c r="M41" i="35"/>
  <c r="M55" i="35" s="1"/>
  <c r="N82" i="35"/>
  <c r="N90" i="35"/>
  <c r="M139" i="8"/>
  <c r="M91" i="35"/>
  <c r="M92" i="35"/>
  <c r="M94" i="35"/>
  <c r="M20" i="35"/>
  <c r="M95" i="35"/>
  <c r="M93" i="35"/>
  <c r="M96" i="35"/>
  <c r="I44" i="44"/>
  <c r="B14" i="42"/>
  <c r="Q90" i="35"/>
  <c r="Q98" i="35"/>
  <c r="Q82" i="35"/>
  <c r="M158" i="8"/>
  <c r="M177" i="8" s="1"/>
  <c r="M71" i="41"/>
  <c r="M93" i="41" s="1"/>
  <c r="M113" i="41" s="1"/>
  <c r="B12" i="44"/>
  <c r="M33" i="8"/>
  <c r="G145" i="8"/>
  <c r="H103" i="44"/>
  <c r="H91" i="35"/>
  <c r="N89" i="35"/>
  <c r="N115" i="35" s="1"/>
  <c r="N117" i="35" s="1"/>
  <c r="N105" i="35"/>
  <c r="M66" i="35"/>
  <c r="M57" i="8"/>
  <c r="M73" i="35" s="1"/>
  <c r="B128" i="35"/>
  <c r="O41" i="35"/>
  <c r="O55" i="35" s="1"/>
  <c r="C22" i="44"/>
  <c r="Q41" i="35"/>
  <c r="Q55" i="35" s="1"/>
  <c r="B34" i="35"/>
  <c r="G52" i="44"/>
  <c r="L41" i="35"/>
  <c r="L55" i="35" s="1"/>
  <c r="G33" i="44"/>
  <c r="C33" i="44" s="1"/>
  <c r="N41" i="35"/>
  <c r="J41" i="35"/>
  <c r="J55" i="35" s="1"/>
  <c r="D29" i="44"/>
  <c r="N13" i="41"/>
  <c r="B33" i="35"/>
  <c r="F48" i="45"/>
  <c r="E36" i="35"/>
  <c r="B35" i="35"/>
  <c r="D22" i="44"/>
  <c r="C29" i="44"/>
  <c r="M26" i="44"/>
  <c r="M27" i="44" s="1"/>
  <c r="H66" i="35"/>
  <c r="H57" i="8"/>
  <c r="H73" i="35" s="1"/>
  <c r="I71" i="41"/>
  <c r="I93" i="41" s="1"/>
  <c r="I113" i="41" s="1"/>
  <c r="I158" i="8"/>
  <c r="I177" i="8" s="1"/>
  <c r="L103" i="44"/>
  <c r="F145" i="8"/>
  <c r="M23" i="41"/>
  <c r="M164" i="8"/>
  <c r="M183" i="8" s="1"/>
  <c r="H71" i="41"/>
  <c r="H93" i="41" s="1"/>
  <c r="H113" i="41" s="1"/>
  <c r="H158" i="8"/>
  <c r="H177" i="8" s="1"/>
  <c r="D36" i="35"/>
  <c r="F64" i="44"/>
  <c r="J57" i="8"/>
  <c r="J73" i="35" s="1"/>
  <c r="J97" i="35" s="1"/>
  <c r="J66" i="35"/>
  <c r="K13" i="41"/>
  <c r="P66" i="35"/>
  <c r="P57" i="8"/>
  <c r="P73" i="35" s="1"/>
  <c r="C41" i="44"/>
  <c r="F52" i="44"/>
  <c r="B21" i="44"/>
  <c r="H43" i="44"/>
  <c r="C32" i="44"/>
  <c r="P71" i="41"/>
  <c r="P93" i="41" s="1"/>
  <c r="P113" i="41" s="1"/>
  <c r="P158" i="8"/>
  <c r="P177" i="8" s="1"/>
  <c r="L66" i="35"/>
  <c r="L57" i="8"/>
  <c r="L73" i="35" s="1"/>
  <c r="E32" i="44"/>
  <c r="N43" i="44"/>
  <c r="K41" i="35"/>
  <c r="K55" i="35" s="1"/>
  <c r="C146" i="8"/>
  <c r="L25" i="44"/>
  <c r="L26" i="44" s="1"/>
  <c r="L27" i="44" s="1"/>
  <c r="J103" i="44"/>
  <c r="B24" i="39"/>
  <c r="K61" i="35"/>
  <c r="K68" i="41" s="1"/>
  <c r="K90" i="41" s="1"/>
  <c r="K110" i="41" s="1"/>
  <c r="I54" i="44"/>
  <c r="D43" i="44"/>
  <c r="P95" i="35"/>
  <c r="P20" i="35"/>
  <c r="P94" i="35"/>
  <c r="P91" i="35"/>
  <c r="P92" i="35"/>
  <c r="P96" i="35"/>
  <c r="P93" i="35"/>
  <c r="L71" i="41"/>
  <c r="L93" i="41" s="1"/>
  <c r="L113" i="41" s="1"/>
  <c r="L158" i="8"/>
  <c r="L177" i="8" s="1"/>
  <c r="B4" i="40"/>
  <c r="B18" i="39"/>
  <c r="O16" i="41"/>
  <c r="G42" i="44"/>
  <c r="C31" i="44"/>
  <c r="I57" i="8"/>
  <c r="I73" i="35" s="1"/>
  <c r="I66" i="35"/>
  <c r="G38" i="35"/>
  <c r="G41" i="35" s="1"/>
  <c r="G41" i="45"/>
  <c r="K62" i="35"/>
  <c r="K69" i="41" s="1"/>
  <c r="K91" i="41" s="1"/>
  <c r="K111" i="41" s="1"/>
  <c r="C36" i="35"/>
  <c r="O13" i="41"/>
  <c r="Q62" i="35"/>
  <c r="Q69" i="41" s="1"/>
  <c r="Q91" i="41" s="1"/>
  <c r="Q111" i="41" s="1"/>
  <c r="L61" i="35"/>
  <c r="L68" i="41" s="1"/>
  <c r="L90" i="41" s="1"/>
  <c r="L110" i="41" s="1"/>
  <c r="M44" i="41"/>
  <c r="M15" i="41" s="1"/>
  <c r="O60" i="35"/>
  <c r="O61" i="35" s="1"/>
  <c r="O68" i="41" s="1"/>
  <c r="O90" i="41" s="1"/>
  <c r="O110" i="41" s="1"/>
  <c r="E50" i="35"/>
  <c r="B50" i="35" s="1"/>
  <c r="J51" i="41"/>
  <c r="J14" i="41"/>
  <c r="N40" i="41"/>
  <c r="N139" i="8"/>
  <c r="N137" i="8"/>
  <c r="N33" i="8"/>
  <c r="N123" i="8"/>
  <c r="N153" i="8" s="1"/>
  <c r="N7" i="40"/>
  <c r="N127" i="8"/>
  <c r="N157" i="8" s="1"/>
  <c r="N132" i="8"/>
  <c r="N162" i="8" s="1"/>
  <c r="E44" i="41"/>
  <c r="E15" i="41" s="1"/>
  <c r="N15" i="41"/>
  <c r="C90" i="44"/>
  <c r="F101" i="44"/>
  <c r="L34" i="44"/>
  <c r="B33" i="41"/>
  <c r="I43" i="41"/>
  <c r="D52" i="35"/>
  <c r="I62" i="35"/>
  <c r="I69" i="41" s="1"/>
  <c r="I91" i="41" s="1"/>
  <c r="P26" i="41"/>
  <c r="P165" i="8"/>
  <c r="P184" i="8" s="1"/>
  <c r="H40" i="41"/>
  <c r="H139" i="8"/>
  <c r="H127" i="8"/>
  <c r="H157" i="8" s="1"/>
  <c r="H176" i="8" s="1"/>
  <c r="H137" i="8"/>
  <c r="H123" i="8"/>
  <c r="H153" i="8" s="1"/>
  <c r="H132" i="8"/>
  <c r="H162" i="8" s="1"/>
  <c r="H181" i="8" s="1"/>
  <c r="H7" i="40"/>
  <c r="H33" i="8"/>
  <c r="F53" i="41"/>
  <c r="F14" i="44"/>
  <c r="F76" i="44"/>
  <c r="F10" i="8"/>
  <c r="F92" i="44"/>
  <c r="C5" i="8"/>
  <c r="F129" i="8"/>
  <c r="F159" i="8" s="1"/>
  <c r="F134" i="8"/>
  <c r="B5" i="8"/>
  <c r="K144" i="8" s="1"/>
  <c r="C155" i="8"/>
  <c r="C165" i="8"/>
  <c r="F148" i="8"/>
  <c r="B156" i="8"/>
  <c r="C156" i="8"/>
  <c r="F131" i="8"/>
  <c r="F161" i="8" s="1"/>
  <c r="J33" i="44"/>
  <c r="D33" i="44" s="1"/>
  <c r="M51" i="41"/>
  <c r="M14" i="41"/>
  <c r="J23" i="41"/>
  <c r="J164" i="8"/>
  <c r="J183" i="8" s="1"/>
  <c r="P23" i="41"/>
  <c r="P164" i="8"/>
  <c r="P183" i="8" s="1"/>
  <c r="F51" i="44"/>
  <c r="I180" i="8"/>
  <c r="J77" i="44"/>
  <c r="I77" i="44"/>
  <c r="C9" i="42"/>
  <c r="B10" i="42"/>
  <c r="B18" i="44"/>
  <c r="K71" i="41"/>
  <c r="K93" i="41" s="1"/>
  <c r="K113" i="41" s="1"/>
  <c r="K158" i="8"/>
  <c r="K177" i="8" s="1"/>
  <c r="M172" i="8"/>
  <c r="G66" i="35"/>
  <c r="G57" i="8"/>
  <c r="G73" i="35" s="1"/>
  <c r="H50" i="41"/>
  <c r="H13" i="41"/>
  <c r="O184" i="8"/>
  <c r="E165" i="8"/>
  <c r="H56" i="41"/>
  <c r="H40" i="44"/>
  <c r="K51" i="41"/>
  <c r="K52" i="41" s="1"/>
  <c r="K14" i="41"/>
  <c r="I18" i="8"/>
  <c r="H6" i="42"/>
  <c r="E7" i="42"/>
  <c r="K53" i="41"/>
  <c r="K54" i="41" s="1"/>
  <c r="K37" i="41" s="1"/>
  <c r="K74" i="41" s="1"/>
  <c r="K96" i="41" s="1"/>
  <c r="K116" i="41" s="1"/>
  <c r="K14" i="44"/>
  <c r="D14" i="44" s="1"/>
  <c r="K92" i="44"/>
  <c r="K76" i="44"/>
  <c r="D76" i="44" s="1"/>
  <c r="K10" i="8"/>
  <c r="K18" i="8" s="1"/>
  <c r="K129" i="8"/>
  <c r="K159" i="8" s="1"/>
  <c r="K178" i="8" s="1"/>
  <c r="K131" i="8"/>
  <c r="K161" i="8" s="1"/>
  <c r="K180" i="8" s="1"/>
  <c r="K148" i="8"/>
  <c r="K134" i="8"/>
  <c r="P40" i="44"/>
  <c r="P44" i="44" s="1"/>
  <c r="P56" i="41"/>
  <c r="N183" i="8"/>
  <c r="J34" i="44"/>
  <c r="J36" i="44" s="1"/>
  <c r="Q51" i="41"/>
  <c r="Q14" i="41"/>
  <c r="N113" i="44"/>
  <c r="M11" i="41"/>
  <c r="G71" i="41"/>
  <c r="G93" i="41" s="1"/>
  <c r="G113" i="41" s="1"/>
  <c r="G158" i="8"/>
  <c r="G177" i="8" s="1"/>
  <c r="H54" i="41"/>
  <c r="H37" i="41" s="1"/>
  <c r="H74" i="41" s="1"/>
  <c r="H96" i="41" s="1"/>
  <c r="H116" i="41" s="1"/>
  <c r="G34" i="44"/>
  <c r="F66" i="35"/>
  <c r="F57" i="8"/>
  <c r="O42" i="44"/>
  <c r="O44" i="44" s="1"/>
  <c r="E31" i="44"/>
  <c r="O66" i="35"/>
  <c r="O57" i="8"/>
  <c r="Q146" i="8"/>
  <c r="K34" i="44"/>
  <c r="H51" i="41"/>
  <c r="H14" i="41"/>
  <c r="N43" i="41"/>
  <c r="N62" i="35"/>
  <c r="N69" i="41" s="1"/>
  <c r="N91" i="41" s="1"/>
  <c r="E52" i="35"/>
  <c r="J40" i="41"/>
  <c r="J139" i="8"/>
  <c r="J7" i="40"/>
  <c r="J123" i="8"/>
  <c r="J153" i="8" s="1"/>
  <c r="J33" i="8"/>
  <c r="J127" i="8"/>
  <c r="J157" i="8" s="1"/>
  <c r="J176" i="8" s="1"/>
  <c r="J132" i="8"/>
  <c r="J162" i="8" s="1"/>
  <c r="J181" i="8" s="1"/>
  <c r="J137" i="8"/>
  <c r="I24" i="44"/>
  <c r="G40" i="44"/>
  <c r="G56" i="41"/>
  <c r="K94" i="35"/>
  <c r="K95" i="35"/>
  <c r="K96" i="35"/>
  <c r="K91" i="35"/>
  <c r="K20" i="35"/>
  <c r="K92" i="35"/>
  <c r="K93" i="35"/>
  <c r="I51" i="44"/>
  <c r="P146" i="8"/>
  <c r="O145" i="8"/>
  <c r="D146" i="8"/>
  <c r="P77" i="44"/>
  <c r="K112" i="44"/>
  <c r="N34" i="44"/>
  <c r="E23" i="44"/>
  <c r="D34" i="41"/>
  <c r="D35" i="41" s="1"/>
  <c r="I35" i="41"/>
  <c r="M50" i="41"/>
  <c r="M13" i="41"/>
  <c r="J177" i="8"/>
  <c r="O112" i="44"/>
  <c r="E30" i="44"/>
  <c r="N41" i="44"/>
  <c r="I15" i="41"/>
  <c r="F71" i="41"/>
  <c r="F158" i="8"/>
  <c r="Q50" i="41"/>
  <c r="Q13" i="41"/>
  <c r="E146" i="8"/>
  <c r="E155" i="8"/>
  <c r="O174" i="8"/>
  <c r="K146" i="8"/>
  <c r="F61" i="35"/>
  <c r="F68" i="41" s="1"/>
  <c r="C60" i="35"/>
  <c r="H70" i="41"/>
  <c r="H92" i="41" s="1"/>
  <c r="H112" i="41" s="1"/>
  <c r="H61" i="35"/>
  <c r="H68" i="41" s="1"/>
  <c r="H90" i="41" s="1"/>
  <c r="H110" i="41" s="1"/>
  <c r="J54" i="41"/>
  <c r="J37" i="41" s="1"/>
  <c r="J74" i="41" s="1"/>
  <c r="J96" i="41" s="1"/>
  <c r="J116" i="41" s="1"/>
  <c r="N25" i="44"/>
  <c r="M61" i="35"/>
  <c r="M68" i="41" s="1"/>
  <c r="M90" i="41" s="1"/>
  <c r="M110" i="41" s="1"/>
  <c r="M70" i="41"/>
  <c r="M92" i="41" s="1"/>
  <c r="M112" i="41" s="1"/>
  <c r="J40" i="44"/>
  <c r="J44" i="44" s="1"/>
  <c r="J56" i="41"/>
  <c r="F42" i="41"/>
  <c r="F41" i="35"/>
  <c r="S155" i="8"/>
  <c r="T155" i="8"/>
  <c r="U155" i="8"/>
  <c r="V155" i="8"/>
  <c r="F174" i="8"/>
  <c r="B155" i="8"/>
  <c r="E22" i="44"/>
  <c r="H34" i="44"/>
  <c r="H36" i="44" s="1"/>
  <c r="P42" i="41"/>
  <c r="P54" i="41" s="1"/>
  <c r="P37" i="41" s="1"/>
  <c r="P74" i="41" s="1"/>
  <c r="P96" i="41" s="1"/>
  <c r="P116" i="41" s="1"/>
  <c r="E38" i="35"/>
  <c r="P41" i="35"/>
  <c r="G53" i="41"/>
  <c r="G14" i="44"/>
  <c r="G10" i="8"/>
  <c r="G18" i="8" s="1"/>
  <c r="F27" i="45" s="1"/>
  <c r="G92" i="44"/>
  <c r="G76" i="44"/>
  <c r="G129" i="8"/>
  <c r="G159" i="8" s="1"/>
  <c r="G178" i="8" s="1"/>
  <c r="G148" i="8"/>
  <c r="G131" i="8"/>
  <c r="G161" i="8" s="1"/>
  <c r="G180" i="8" s="1"/>
  <c r="G134" i="8"/>
  <c r="O33" i="44"/>
  <c r="F34" i="44"/>
  <c r="C23" i="44"/>
  <c r="P34" i="44"/>
  <c r="P36" i="44" s="1"/>
  <c r="B19" i="44"/>
  <c r="M38" i="42"/>
  <c r="M50" i="42" s="1"/>
  <c r="M17" i="35"/>
  <c r="M19" i="39"/>
  <c r="O34" i="44"/>
  <c r="B20" i="44"/>
  <c r="G20" i="35"/>
  <c r="G92" i="35"/>
  <c r="G94" i="35"/>
  <c r="G96" i="35"/>
  <c r="G95" i="35"/>
  <c r="G93" i="35"/>
  <c r="G91" i="35"/>
  <c r="H23" i="41"/>
  <c r="H164" i="8"/>
  <c r="H183" i="8" s="1"/>
  <c r="B4" i="35"/>
  <c r="B128" i="8"/>
  <c r="B71" i="41" s="1"/>
  <c r="B145" i="8"/>
  <c r="J145" i="8"/>
  <c r="H145" i="8"/>
  <c r="Q145" i="8"/>
  <c r="B50" i="8"/>
  <c r="B66" i="35" s="1"/>
  <c r="I145" i="8"/>
  <c r="L145" i="8"/>
  <c r="M145" i="8"/>
  <c r="N145" i="8"/>
  <c r="P145" i="8"/>
  <c r="B125" i="8"/>
  <c r="F45" i="41"/>
  <c r="C6" i="40"/>
  <c r="O14" i="44"/>
  <c r="O53" i="41"/>
  <c r="O92" i="44"/>
  <c r="O76" i="44"/>
  <c r="O10" i="8"/>
  <c r="O129" i="8"/>
  <c r="O159" i="8" s="1"/>
  <c r="O131" i="8"/>
  <c r="O161" i="8" s="1"/>
  <c r="E156" i="8"/>
  <c r="O148" i="8"/>
  <c r="O134" i="8"/>
  <c r="E5" i="8"/>
  <c r="F43" i="41"/>
  <c r="F62" i="35"/>
  <c r="F69" i="41" s="1"/>
  <c r="C52" i="35"/>
  <c r="I178" i="8"/>
  <c r="P61" i="35"/>
  <c r="P68" i="41" s="1"/>
  <c r="P90" i="41" s="1"/>
  <c r="P110" i="41" s="1"/>
  <c r="K57" i="8"/>
  <c r="K66" i="35"/>
  <c r="J50" i="41"/>
  <c r="J13" i="41"/>
  <c r="H25" i="44"/>
  <c r="H26" i="44" s="1"/>
  <c r="H27" i="44" s="1"/>
  <c r="I42" i="41"/>
  <c r="D38" i="35"/>
  <c r="I41" i="35"/>
  <c r="I34" i="44"/>
  <c r="D23" i="44"/>
  <c r="Q112" i="44"/>
  <c r="P103" i="44"/>
  <c r="M112" i="44"/>
  <c r="P25" i="44"/>
  <c r="P26" i="44" s="1"/>
  <c r="P27" i="44" s="1"/>
  <c r="O52" i="44"/>
  <c r="B88" i="44"/>
  <c r="Q40" i="41"/>
  <c r="Q137" i="8"/>
  <c r="Q7" i="40"/>
  <c r="G104" i="45" s="1"/>
  <c r="F109" i="45" s="1"/>
  <c r="Q127" i="8"/>
  <c r="Q157" i="8" s="1"/>
  <c r="Q176" i="8" s="1"/>
  <c r="Q123" i="8"/>
  <c r="Q153" i="8" s="1"/>
  <c r="Q132" i="8"/>
  <c r="Q162" i="8" s="1"/>
  <c r="Q181" i="8" s="1"/>
  <c r="M34" i="44"/>
  <c r="M36" i="44" s="1"/>
  <c r="Q41" i="44"/>
  <c r="Q56" i="41"/>
  <c r="P112" i="44"/>
  <c r="O43" i="41"/>
  <c r="C4" i="35"/>
  <c r="C128" i="8"/>
  <c r="C71" i="41" s="1"/>
  <c r="C125" i="8"/>
  <c r="C50" i="8"/>
  <c r="C66" i="35" s="1"/>
  <c r="C145" i="8"/>
  <c r="L77" i="44"/>
  <c r="G51" i="41"/>
  <c r="G14" i="41"/>
  <c r="O71" i="41"/>
  <c r="O93" i="41" s="1"/>
  <c r="O113" i="41" s="1"/>
  <c r="O158" i="8"/>
  <c r="P51" i="41"/>
  <c r="P14" i="41"/>
  <c r="N101" i="44"/>
  <c r="E90" i="44"/>
  <c r="N35" i="44"/>
  <c r="D5" i="8"/>
  <c r="V165" i="8"/>
  <c r="G184" i="8"/>
  <c r="U165" i="8"/>
  <c r="S165" i="8"/>
  <c r="T165" i="8"/>
  <c r="E29" i="44"/>
  <c r="N40" i="44"/>
  <c r="N56" i="41"/>
  <c r="D155" i="8"/>
  <c r="K174" i="8"/>
  <c r="C44" i="41"/>
  <c r="F15" i="41"/>
  <c r="D165" i="8"/>
  <c r="I184" i="8"/>
  <c r="L50" i="41"/>
  <c r="L13" i="41"/>
  <c r="L54" i="41"/>
  <c r="L37" i="41" s="1"/>
  <c r="L74" i="41" s="1"/>
  <c r="L96" i="41" s="1"/>
  <c r="L116" i="41" s="1"/>
  <c r="B146" i="8"/>
  <c r="J146" i="8"/>
  <c r="M146" i="8"/>
  <c r="N146" i="8"/>
  <c r="O146" i="8"/>
  <c r="G146" i="8"/>
  <c r="I146" i="8"/>
  <c r="L146" i="8"/>
  <c r="J25" i="44"/>
  <c r="J26" i="44" s="1"/>
  <c r="J27" i="44" s="1"/>
  <c r="H112" i="44"/>
  <c r="L40" i="44"/>
  <c r="L56" i="41"/>
  <c r="L112" i="44"/>
  <c r="L114" i="44" s="1"/>
  <c r="L23" i="41"/>
  <c r="L164" i="8"/>
  <c r="L183" i="8" s="1"/>
  <c r="G61" i="35"/>
  <c r="G68" i="41" s="1"/>
  <c r="G90" i="41" s="1"/>
  <c r="G110" i="41" s="1"/>
  <c r="G62" i="35"/>
  <c r="G69" i="41" s="1"/>
  <c r="G91" i="41" s="1"/>
  <c r="G111" i="41" s="1"/>
  <c r="I61" i="35"/>
  <c r="I68" i="41" s="1"/>
  <c r="I90" i="41" s="1"/>
  <c r="D60" i="35"/>
  <c r="Q34" i="44"/>
  <c r="I72" i="45" s="1"/>
  <c r="E4" i="35"/>
  <c r="E128" i="8"/>
  <c r="E71" i="41" s="1"/>
  <c r="E50" i="8"/>
  <c r="E66" i="35" s="1"/>
  <c r="E145" i="8"/>
  <c r="E125" i="8"/>
  <c r="E8" i="42"/>
  <c r="D30" i="44"/>
  <c r="K41" i="44"/>
  <c r="K56" i="41"/>
  <c r="M18" i="40"/>
  <c r="M19" i="40" s="1"/>
  <c r="M8" i="40"/>
  <c r="M9" i="40" s="1"/>
  <c r="M42" i="44"/>
  <c r="M44" i="44"/>
  <c r="D31" i="44"/>
  <c r="D90" i="44"/>
  <c r="I101" i="44"/>
  <c r="C34" i="41"/>
  <c r="F35" i="41"/>
  <c r="J112" i="44"/>
  <c r="J114" i="44"/>
  <c r="H77" i="44"/>
  <c r="I23" i="41"/>
  <c r="I164" i="8"/>
  <c r="L51" i="41"/>
  <c r="L14" i="41"/>
  <c r="F96" i="35"/>
  <c r="F20" i="35"/>
  <c r="F93" i="35"/>
  <c r="F94" i="35"/>
  <c r="F95" i="35"/>
  <c r="F91" i="35"/>
  <c r="F92" i="35"/>
  <c r="L40" i="41"/>
  <c r="L139" i="8"/>
  <c r="L137" i="8"/>
  <c r="L127" i="8"/>
  <c r="L157" i="8" s="1"/>
  <c r="L176" i="8" s="1"/>
  <c r="L123" i="8"/>
  <c r="L153" i="8" s="1"/>
  <c r="L33" i="8"/>
  <c r="L7" i="40"/>
  <c r="L132" i="8"/>
  <c r="L162" i="8" s="1"/>
  <c r="L181" i="8" s="1"/>
  <c r="M45" i="41"/>
  <c r="M54" i="41" s="1"/>
  <c r="M37" i="41" s="1"/>
  <c r="M74" i="41" s="1"/>
  <c r="M96" i="41" s="1"/>
  <c r="M116" i="41" s="1"/>
  <c r="D6" i="40"/>
  <c r="O92" i="35"/>
  <c r="O94" i="35"/>
  <c r="O96" i="35"/>
  <c r="O93" i="35"/>
  <c r="O95" i="35"/>
  <c r="O91" i="35"/>
  <c r="P40" i="41"/>
  <c r="P70" i="41" s="1"/>
  <c r="P92" i="41" s="1"/>
  <c r="P112" i="41" s="1"/>
  <c r="P139" i="8"/>
  <c r="P123" i="8"/>
  <c r="P153" i="8" s="1"/>
  <c r="P132" i="8"/>
  <c r="P162" i="8" s="1"/>
  <c r="P181" i="8" s="1"/>
  <c r="P127" i="8"/>
  <c r="P157" i="8" s="1"/>
  <c r="P176" i="8" s="1"/>
  <c r="P137" i="8"/>
  <c r="P33" i="8"/>
  <c r="P7" i="40"/>
  <c r="G112" i="44"/>
  <c r="F44" i="44"/>
  <c r="H146" i="8"/>
  <c r="I102" i="44"/>
  <c r="D92" i="44"/>
  <c r="N33" i="44"/>
  <c r="E34" i="41"/>
  <c r="E35" i="41" s="1"/>
  <c r="N35" i="41"/>
  <c r="D4" i="35"/>
  <c r="D128" i="8"/>
  <c r="D71" i="41" s="1"/>
  <c r="D50" i="8"/>
  <c r="D66" i="35" s="1"/>
  <c r="D145" i="8"/>
  <c r="D125" i="8"/>
  <c r="Q164" i="8" l="1"/>
  <c r="Q183" i="8" s="1"/>
  <c r="Q139" i="8"/>
  <c r="E45" i="41"/>
  <c r="E16" i="41" s="1"/>
  <c r="Q51" i="44"/>
  <c r="F73" i="45"/>
  <c r="Q44" i="44"/>
  <c r="H73" i="45" s="1"/>
  <c r="G73" i="45"/>
  <c r="Q89" i="35"/>
  <c r="Q115" i="35" s="1"/>
  <c r="Q117" i="35" s="1"/>
  <c r="Q120" i="35" s="1"/>
  <c r="Q105" i="35"/>
  <c r="Q54" i="41"/>
  <c r="Q37" i="41" s="1"/>
  <c r="Q74" i="41" s="1"/>
  <c r="Q96" i="41" s="1"/>
  <c r="Q116" i="41" s="1"/>
  <c r="F67" i="45"/>
  <c r="G67" i="45" s="1"/>
  <c r="Q114" i="44"/>
  <c r="Q25" i="44"/>
  <c r="O144" i="8"/>
  <c r="F144" i="8"/>
  <c r="C158" i="8"/>
  <c r="Q103" i="44"/>
  <c r="G48" i="45"/>
  <c r="F86" i="45"/>
  <c r="M170" i="8"/>
  <c r="P79" i="44"/>
  <c r="P83" i="44" s="1"/>
  <c r="P97" i="44" s="1"/>
  <c r="P108" i="44" s="1"/>
  <c r="P119" i="44" s="1"/>
  <c r="P130" i="44" s="1"/>
  <c r="P141" i="44" s="1"/>
  <c r="G144" i="8"/>
  <c r="D53" i="41"/>
  <c r="C38" i="35"/>
  <c r="M89" i="35"/>
  <c r="M115" i="35" s="1"/>
  <c r="M117" i="35" s="1"/>
  <c r="M120" i="35" s="1"/>
  <c r="M97" i="35"/>
  <c r="M105" i="35"/>
  <c r="M151" i="8"/>
  <c r="M78" i="44" s="1"/>
  <c r="M90" i="35"/>
  <c r="M82" i="35"/>
  <c r="M98" i="35"/>
  <c r="D10" i="8"/>
  <c r="N120" i="35"/>
  <c r="B31" i="44"/>
  <c r="N55" i="35"/>
  <c r="G63" i="44"/>
  <c r="B36" i="35"/>
  <c r="N44" i="44"/>
  <c r="F47" i="45"/>
  <c r="E33" i="44"/>
  <c r="B33" i="44" s="1"/>
  <c r="B29" i="44"/>
  <c r="B22" i="44"/>
  <c r="M37" i="44"/>
  <c r="M38" i="44" s="1"/>
  <c r="N54" i="44"/>
  <c r="E43" i="44"/>
  <c r="J89" i="35"/>
  <c r="J115" i="35" s="1"/>
  <c r="J117" i="35" s="1"/>
  <c r="I65" i="44"/>
  <c r="D65" i="44" s="1"/>
  <c r="D54" i="44"/>
  <c r="L89" i="35"/>
  <c r="L115" i="35" s="1"/>
  <c r="L117" i="35" s="1"/>
  <c r="L120" i="35" s="1"/>
  <c r="L105" i="35"/>
  <c r="L97" i="35"/>
  <c r="D158" i="8"/>
  <c r="D40" i="44"/>
  <c r="L82" i="35"/>
  <c r="L98" i="35"/>
  <c r="L90" i="35"/>
  <c r="P97" i="35"/>
  <c r="P105" i="35"/>
  <c r="P89" i="35"/>
  <c r="P115" i="35" s="1"/>
  <c r="P117" i="35" s="1"/>
  <c r="P120" i="35" s="1"/>
  <c r="H97" i="35"/>
  <c r="H105" i="35"/>
  <c r="H89" i="35"/>
  <c r="H115" i="35" s="1"/>
  <c r="H117" i="35" s="1"/>
  <c r="H120" i="35" s="1"/>
  <c r="I90" i="35"/>
  <c r="I82" i="35"/>
  <c r="I98" i="35"/>
  <c r="H54" i="44"/>
  <c r="C43" i="44"/>
  <c r="B30" i="44"/>
  <c r="D159" i="8"/>
  <c r="P82" i="35"/>
  <c r="P90" i="35"/>
  <c r="P98" i="35"/>
  <c r="H98" i="35"/>
  <c r="H82" i="35"/>
  <c r="H90" i="35"/>
  <c r="I89" i="35"/>
  <c r="I115" i="35" s="1"/>
  <c r="I117" i="35" s="1"/>
  <c r="I120" i="35" s="1"/>
  <c r="I105" i="35"/>
  <c r="I97" i="35"/>
  <c r="F63" i="44"/>
  <c r="C52" i="44"/>
  <c r="J105" i="35"/>
  <c r="G53" i="44"/>
  <c r="C42" i="44"/>
  <c r="P37" i="44"/>
  <c r="P38" i="44" s="1"/>
  <c r="H79" i="44"/>
  <c r="H81" i="44" s="1"/>
  <c r="H96" i="44" s="1"/>
  <c r="F55" i="44"/>
  <c r="B165" i="8"/>
  <c r="B23" i="44"/>
  <c r="G44" i="44"/>
  <c r="B32" i="44"/>
  <c r="J90" i="35"/>
  <c r="J98" i="35"/>
  <c r="J82" i="35"/>
  <c r="G55" i="35"/>
  <c r="G39" i="45"/>
  <c r="G42" i="41"/>
  <c r="C42" i="41" s="1"/>
  <c r="D44" i="41"/>
  <c r="D15" i="41" s="1"/>
  <c r="J52" i="41"/>
  <c r="J72" i="41" s="1"/>
  <c r="J94" i="41" s="1"/>
  <c r="J114" i="41" s="1"/>
  <c r="C56" i="41"/>
  <c r="D56" i="41"/>
  <c r="O62" i="35"/>
  <c r="O69" i="41" s="1"/>
  <c r="O91" i="41" s="1"/>
  <c r="O111" i="41" s="1"/>
  <c r="E60" i="35"/>
  <c r="E62" i="35" s="1"/>
  <c r="E69" i="41" s="1"/>
  <c r="Q52" i="41"/>
  <c r="Q60" i="41" s="1"/>
  <c r="M52" i="41"/>
  <c r="M159" i="42" s="1"/>
  <c r="P123" i="44"/>
  <c r="I62" i="44"/>
  <c r="I66" i="44" s="1"/>
  <c r="J18" i="40"/>
  <c r="J19" i="40" s="1"/>
  <c r="J8" i="40"/>
  <c r="J9" i="40" s="1"/>
  <c r="J37" i="44"/>
  <c r="J38" i="44" s="1"/>
  <c r="H51" i="44"/>
  <c r="G82" i="35"/>
  <c r="G90" i="35"/>
  <c r="G98" i="35"/>
  <c r="C144" i="8"/>
  <c r="C148" i="8"/>
  <c r="C129" i="8"/>
  <c r="C131" i="8"/>
  <c r="C134" i="8"/>
  <c r="C23" i="41" s="1"/>
  <c r="H8" i="40"/>
  <c r="H9" i="40" s="1"/>
  <c r="H18" i="40"/>
  <c r="H19" i="40" s="1"/>
  <c r="L45" i="44"/>
  <c r="L47" i="44" s="1"/>
  <c r="N46" i="41"/>
  <c r="N11" i="41"/>
  <c r="K73" i="35"/>
  <c r="D57" i="8"/>
  <c r="D73" i="35" s="1"/>
  <c r="F93" i="41"/>
  <c r="T71" i="41"/>
  <c r="U71" i="41"/>
  <c r="V71" i="41"/>
  <c r="W71" i="41"/>
  <c r="D92" i="35"/>
  <c r="D93" i="35"/>
  <c r="D94" i="35"/>
  <c r="D96" i="35"/>
  <c r="D20" i="35"/>
  <c r="D91" i="35"/>
  <c r="D95" i="35"/>
  <c r="I35" i="44"/>
  <c r="I36" i="44" s="1"/>
  <c r="F102" i="44"/>
  <c r="C92" i="44"/>
  <c r="I111" i="41"/>
  <c r="N176" i="8"/>
  <c r="L172" i="8"/>
  <c r="G123" i="44"/>
  <c r="E148" i="8"/>
  <c r="E129" i="8"/>
  <c r="E144" i="8"/>
  <c r="E131" i="8"/>
  <c r="E134" i="8"/>
  <c r="E23" i="41" s="1"/>
  <c r="M53" i="44"/>
  <c r="M55" i="44" s="1"/>
  <c r="D42" i="44"/>
  <c r="L123" i="44"/>
  <c r="C15" i="41"/>
  <c r="O23" i="41"/>
  <c r="O164" i="8"/>
  <c r="O102" i="44"/>
  <c r="E92" i="44"/>
  <c r="O45" i="44"/>
  <c r="P45" i="44"/>
  <c r="P47" i="44" s="1"/>
  <c r="P55" i="35"/>
  <c r="E41" i="35"/>
  <c r="N26" i="44"/>
  <c r="N70" i="41"/>
  <c r="N92" i="41" s="1"/>
  <c r="J80" i="41"/>
  <c r="J102" i="41" s="1"/>
  <c r="J122" i="41" s="1"/>
  <c r="J167" i="8"/>
  <c r="J186" i="8" s="1"/>
  <c r="J46" i="41"/>
  <c r="J11" i="41"/>
  <c r="J70" i="41"/>
  <c r="J92" i="41" s="1"/>
  <c r="J112" i="41" s="1"/>
  <c r="K45" i="44"/>
  <c r="B57" i="8"/>
  <c r="B73" i="35" s="1"/>
  <c r="C57" i="8"/>
  <c r="C73" i="35" s="1"/>
  <c r="F73" i="35"/>
  <c r="M46" i="41"/>
  <c r="F18" i="8"/>
  <c r="B10" i="8"/>
  <c r="C10" i="8"/>
  <c r="H172" i="8"/>
  <c r="D62" i="35"/>
  <c r="D69" i="41" s="1"/>
  <c r="N8" i="40"/>
  <c r="N9" i="40" s="1"/>
  <c r="N18" i="40"/>
  <c r="E158" i="8"/>
  <c r="O177" i="8"/>
  <c r="M123" i="44"/>
  <c r="O18" i="8"/>
  <c r="E10" i="8"/>
  <c r="F90" i="41"/>
  <c r="T68" i="41"/>
  <c r="U68" i="41"/>
  <c r="V68" i="41"/>
  <c r="W68" i="41"/>
  <c r="D61" i="35"/>
  <c r="D68" i="41" s="1"/>
  <c r="N51" i="44"/>
  <c r="E40" i="44"/>
  <c r="N46" i="44"/>
  <c r="C93" i="35"/>
  <c r="C20" i="35"/>
  <c r="C91" i="35"/>
  <c r="C92" i="35"/>
  <c r="C94" i="35"/>
  <c r="C96" i="35"/>
  <c r="C95" i="35"/>
  <c r="Q52" i="44"/>
  <c r="Q18" i="40"/>
  <c r="Q8" i="40"/>
  <c r="Q9" i="40" s="1"/>
  <c r="I25" i="44"/>
  <c r="Q123" i="44"/>
  <c r="Q125" i="44" s="1"/>
  <c r="O54" i="41"/>
  <c r="O37" i="41" s="1"/>
  <c r="O74" i="41" s="1"/>
  <c r="O96" i="41" s="1"/>
  <c r="O116" i="41" s="1"/>
  <c r="E53" i="41"/>
  <c r="B93" i="35"/>
  <c r="B20" i="35"/>
  <c r="B95" i="35"/>
  <c r="B96" i="35"/>
  <c r="B91" i="35"/>
  <c r="B92" i="35"/>
  <c r="B94" i="35"/>
  <c r="M25" i="39"/>
  <c r="M26" i="39" s="1"/>
  <c r="M20" i="39"/>
  <c r="M21" i="39" s="1"/>
  <c r="J51" i="44"/>
  <c r="N36" i="44"/>
  <c r="F82" i="35"/>
  <c r="F90" i="35"/>
  <c r="F98" i="35"/>
  <c r="C40" i="44"/>
  <c r="F79" i="44"/>
  <c r="C76" i="44"/>
  <c r="F77" i="44"/>
  <c r="N79" i="44"/>
  <c r="M79" i="44"/>
  <c r="Q79" i="44"/>
  <c r="H80" i="41"/>
  <c r="H102" i="41" s="1"/>
  <c r="H122" i="41" s="1"/>
  <c r="H167" i="8"/>
  <c r="H186" i="8" s="1"/>
  <c r="I51" i="41"/>
  <c r="D51" i="41" s="1"/>
  <c r="D43" i="41"/>
  <c r="D14" i="41" s="1"/>
  <c r="I14" i="41"/>
  <c r="F112" i="44"/>
  <c r="C101" i="44"/>
  <c r="N172" i="8"/>
  <c r="D129" i="8"/>
  <c r="D144" i="8"/>
  <c r="D131" i="8"/>
  <c r="D148" i="8"/>
  <c r="D134" i="8"/>
  <c r="D23" i="41" s="1"/>
  <c r="P46" i="41"/>
  <c r="P11" i="41"/>
  <c r="J123" i="44"/>
  <c r="J125" i="44" s="1"/>
  <c r="L51" i="44"/>
  <c r="L55" i="44" s="1"/>
  <c r="Q80" i="41"/>
  <c r="Q102" i="41" s="1"/>
  <c r="Q122" i="41" s="1"/>
  <c r="Q167" i="8"/>
  <c r="Q186" i="8" s="1"/>
  <c r="O24" i="44"/>
  <c r="E14" i="44"/>
  <c r="M19" i="35"/>
  <c r="M39" i="35"/>
  <c r="M21" i="35"/>
  <c r="G79" i="44"/>
  <c r="G77" i="44"/>
  <c r="P50" i="41"/>
  <c r="E42" i="41"/>
  <c r="E13" i="41" s="1"/>
  <c r="P13" i="41"/>
  <c r="N52" i="44"/>
  <c r="E41" i="44"/>
  <c r="E34" i="44"/>
  <c r="N45" i="44"/>
  <c r="N47" i="44" s="1"/>
  <c r="G45" i="44"/>
  <c r="N124" i="44"/>
  <c r="K40" i="41"/>
  <c r="K139" i="8"/>
  <c r="K137" i="8"/>
  <c r="K127" i="8"/>
  <c r="K157" i="8" s="1"/>
  <c r="K176" i="8" s="1"/>
  <c r="K7" i="40"/>
  <c r="K123" i="8"/>
  <c r="K153" i="8" s="1"/>
  <c r="K33" i="8"/>
  <c r="K132" i="8"/>
  <c r="K162" i="8" s="1"/>
  <c r="K181" i="8" s="1"/>
  <c r="I139" i="8"/>
  <c r="I40" i="41"/>
  <c r="D18" i="8"/>
  <c r="I123" i="8"/>
  <c r="I153" i="8" s="1"/>
  <c r="I33" i="8"/>
  <c r="I127" i="8"/>
  <c r="I157" i="8" s="1"/>
  <c r="I137" i="8"/>
  <c r="I7" i="40"/>
  <c r="I132" i="8"/>
  <c r="I162" i="8" s="1"/>
  <c r="I79" i="44"/>
  <c r="F24" i="44"/>
  <c r="F25" i="44" s="1"/>
  <c r="C14" i="44"/>
  <c r="B90" i="44"/>
  <c r="N38" i="42"/>
  <c r="N17" i="35"/>
  <c r="N19" i="39"/>
  <c r="I50" i="41"/>
  <c r="D42" i="41"/>
  <c r="D13" i="41" s="1"/>
  <c r="I13" i="41"/>
  <c r="O79" i="44"/>
  <c r="O77" i="44"/>
  <c r="E77" i="44" s="1"/>
  <c r="E76" i="44"/>
  <c r="I54" i="41"/>
  <c r="D91" i="41" s="1"/>
  <c r="I110" i="41"/>
  <c r="M22" i="40"/>
  <c r="M20" i="40"/>
  <c r="P19" i="39"/>
  <c r="P38" i="42"/>
  <c r="P17" i="35"/>
  <c r="B34" i="41"/>
  <c r="B35" i="41" s="1"/>
  <c r="C35" i="41"/>
  <c r="L44" i="44"/>
  <c r="N112" i="44"/>
  <c r="N114" i="44" s="1"/>
  <c r="E101" i="44"/>
  <c r="N103" i="44"/>
  <c r="O51" i="41"/>
  <c r="O52" i="41" s="1"/>
  <c r="O14" i="41"/>
  <c r="M45" i="44"/>
  <c r="D34" i="44"/>
  <c r="I45" i="44"/>
  <c r="B52" i="35"/>
  <c r="C62" i="35"/>
  <c r="C69" i="41" s="1"/>
  <c r="B6" i="40"/>
  <c r="B90" i="35"/>
  <c r="B98" i="35"/>
  <c r="B82" i="35"/>
  <c r="M40" i="42"/>
  <c r="M51" i="42"/>
  <c r="M65" i="42" s="1"/>
  <c r="J81" i="42" s="1"/>
  <c r="M64" i="42"/>
  <c r="I81" i="42" s="1"/>
  <c r="M55" i="42"/>
  <c r="M69" i="42" s="1"/>
  <c r="N81" i="42" s="1"/>
  <c r="M58" i="42"/>
  <c r="M72" i="42" s="1"/>
  <c r="Q81" i="42" s="1"/>
  <c r="M49" i="42"/>
  <c r="M56" i="42"/>
  <c r="M57" i="42"/>
  <c r="M71" i="42" s="1"/>
  <c r="P81" i="42" s="1"/>
  <c r="M150" i="42"/>
  <c r="M53" i="42"/>
  <c r="M47" i="42"/>
  <c r="M48" i="42"/>
  <c r="M52" i="42"/>
  <c r="C34" i="44"/>
  <c r="F45" i="44"/>
  <c r="G102" i="44"/>
  <c r="G103" i="44" s="1"/>
  <c r="H37" i="44"/>
  <c r="H38" i="44" s="1"/>
  <c r="J38" i="42"/>
  <c r="J17" i="35"/>
  <c r="J19" i="39"/>
  <c r="N111" i="41"/>
  <c r="O73" i="35"/>
  <c r="E57" i="8"/>
  <c r="E73" i="35" s="1"/>
  <c r="K79" i="44"/>
  <c r="K77" i="44"/>
  <c r="D77" i="44" s="1"/>
  <c r="H52" i="41"/>
  <c r="F62" i="44"/>
  <c r="V161" i="8"/>
  <c r="S161" i="8"/>
  <c r="T161" i="8"/>
  <c r="U161" i="8"/>
  <c r="B161" i="8"/>
  <c r="C161" i="8"/>
  <c r="F180" i="8"/>
  <c r="B144" i="8"/>
  <c r="M144" i="8"/>
  <c r="N144" i="8"/>
  <c r="B148" i="8"/>
  <c r="Q144" i="8"/>
  <c r="B129" i="8"/>
  <c r="B131" i="8"/>
  <c r="B134" i="8"/>
  <c r="B23" i="41" s="1"/>
  <c r="J144" i="8"/>
  <c r="P144" i="8"/>
  <c r="H144" i="8"/>
  <c r="L144" i="8"/>
  <c r="I144" i="8"/>
  <c r="F54" i="41"/>
  <c r="C53" i="41"/>
  <c r="N80" i="41"/>
  <c r="N102" i="41" s="1"/>
  <c r="N167" i="8"/>
  <c r="N151" i="8" s="1"/>
  <c r="Q45" i="44"/>
  <c r="I73" i="45" s="1"/>
  <c r="Q172" i="8"/>
  <c r="O63" i="44"/>
  <c r="O53" i="44"/>
  <c r="E42" i="44"/>
  <c r="L80" i="41"/>
  <c r="L102" i="41" s="1"/>
  <c r="L122" i="41" s="1"/>
  <c r="L167" i="8"/>
  <c r="L186" i="8" s="1"/>
  <c r="L46" i="41"/>
  <c r="L11" i="41"/>
  <c r="L70" i="41"/>
  <c r="L92" i="41" s="1"/>
  <c r="L112" i="41" s="1"/>
  <c r="I113" i="44"/>
  <c r="I112" i="44"/>
  <c r="D101" i="44"/>
  <c r="I103" i="44"/>
  <c r="H123" i="44"/>
  <c r="H125" i="44" s="1"/>
  <c r="L52" i="41"/>
  <c r="L79" i="44"/>
  <c r="Q46" i="41"/>
  <c r="Q11" i="41"/>
  <c r="Q70" i="41"/>
  <c r="Q92" i="41" s="1"/>
  <c r="Q112" i="41" s="1"/>
  <c r="F91" i="41"/>
  <c r="O180" i="8"/>
  <c r="E161" i="8"/>
  <c r="C45" i="41"/>
  <c r="F16" i="41"/>
  <c r="G40" i="41"/>
  <c r="G139" i="8"/>
  <c r="G123" i="8"/>
  <c r="G153" i="8" s="1"/>
  <c r="G137" i="8"/>
  <c r="G127" i="8"/>
  <c r="G157" i="8" s="1"/>
  <c r="G176" i="8" s="1"/>
  <c r="G7" i="40"/>
  <c r="G33" i="8"/>
  <c r="G132" i="8"/>
  <c r="G162" i="8" s="1"/>
  <c r="G181" i="8" s="1"/>
  <c r="H45" i="44"/>
  <c r="C41" i="35"/>
  <c r="F55" i="35"/>
  <c r="C61" i="35"/>
  <c r="C68" i="41" s="1"/>
  <c r="K123" i="44"/>
  <c r="G51" i="44"/>
  <c r="J172" i="8"/>
  <c r="N51" i="41"/>
  <c r="N14" i="41"/>
  <c r="E43" i="41"/>
  <c r="E14" i="41" s="1"/>
  <c r="N54" i="41"/>
  <c r="O82" i="35"/>
  <c r="O90" i="35"/>
  <c r="O98" i="35"/>
  <c r="P51" i="44"/>
  <c r="K102" i="44"/>
  <c r="D102" i="44" s="1"/>
  <c r="K159" i="42"/>
  <c r="K72" i="41"/>
  <c r="K94" i="41" s="1"/>
  <c r="K114" i="41" s="1"/>
  <c r="K60" i="41"/>
  <c r="J79" i="44"/>
  <c r="F23" i="41"/>
  <c r="F164" i="8"/>
  <c r="H38" i="42"/>
  <c r="H19" i="39"/>
  <c r="H17" i="35"/>
  <c r="H46" i="41"/>
  <c r="H11" i="41"/>
  <c r="C90" i="35"/>
  <c r="C98" i="35"/>
  <c r="C82" i="35"/>
  <c r="F50" i="41"/>
  <c r="F13" i="41"/>
  <c r="P172" i="8"/>
  <c r="J45" i="44"/>
  <c r="J47" i="44" s="1"/>
  <c r="M16" i="41"/>
  <c r="D45" i="41"/>
  <c r="D16" i="41" s="1"/>
  <c r="P8" i="40"/>
  <c r="P9" i="40" s="1"/>
  <c r="P18" i="40"/>
  <c r="P19" i="40" s="1"/>
  <c r="E82" i="35"/>
  <c r="E90" i="35"/>
  <c r="E98" i="35"/>
  <c r="P80" i="41"/>
  <c r="P102" i="41" s="1"/>
  <c r="P122" i="41" s="1"/>
  <c r="P167" i="8"/>
  <c r="P186" i="8" s="1"/>
  <c r="L18" i="40"/>
  <c r="L19" i="40" s="1"/>
  <c r="L8" i="40"/>
  <c r="L9" i="40" s="1"/>
  <c r="I183" i="8"/>
  <c r="K52" i="44"/>
  <c r="K55" i="44" s="1"/>
  <c r="D41" i="44"/>
  <c r="E91" i="35"/>
  <c r="E93" i="35"/>
  <c r="E94" i="35"/>
  <c r="E20" i="35"/>
  <c r="E95" i="35"/>
  <c r="E96" i="35"/>
  <c r="E92" i="35"/>
  <c r="D82" i="35"/>
  <c r="D90" i="35"/>
  <c r="D98" i="35"/>
  <c r="L38" i="42"/>
  <c r="L17" i="35"/>
  <c r="L19" i="39"/>
  <c r="K44" i="44"/>
  <c r="Q36" i="44"/>
  <c r="J72" i="45" s="1"/>
  <c r="H114" i="44"/>
  <c r="E56" i="41"/>
  <c r="P114" i="44"/>
  <c r="Q19" i="39"/>
  <c r="Q38" i="42"/>
  <c r="Q17" i="35"/>
  <c r="Q19" i="35" s="1"/>
  <c r="M114" i="44"/>
  <c r="D41" i="35"/>
  <c r="I55" i="35"/>
  <c r="D55" i="35" s="1"/>
  <c r="K90" i="35"/>
  <c r="K98" i="35"/>
  <c r="K82" i="35"/>
  <c r="F51" i="41"/>
  <c r="C51" i="41" s="1"/>
  <c r="C43" i="41"/>
  <c r="F14" i="41"/>
  <c r="E159" i="8"/>
  <c r="O178" i="8"/>
  <c r="G23" i="41"/>
  <c r="G164" i="8"/>
  <c r="G183" i="8" s="1"/>
  <c r="G24" i="44"/>
  <c r="G25" i="44" s="1"/>
  <c r="B38" i="35"/>
  <c r="T158" i="8"/>
  <c r="F177" i="8"/>
  <c r="U158" i="8"/>
  <c r="S158" i="8"/>
  <c r="B158" i="8"/>
  <c r="V158" i="8"/>
  <c r="O123" i="44"/>
  <c r="I55" i="44"/>
  <c r="K23" i="41"/>
  <c r="K164" i="8"/>
  <c r="K183" i="8" s="1"/>
  <c r="K24" i="44"/>
  <c r="H44" i="44"/>
  <c r="G89" i="35"/>
  <c r="G97" i="35"/>
  <c r="G105" i="35"/>
  <c r="D161" i="8"/>
  <c r="U159" i="8"/>
  <c r="V159" i="8"/>
  <c r="S159" i="8"/>
  <c r="T159" i="8"/>
  <c r="F178" i="8"/>
  <c r="B159" i="8"/>
  <c r="C159" i="8"/>
  <c r="L36" i="44"/>
  <c r="L37" i="44" s="1"/>
  <c r="L38" i="44" s="1"/>
  <c r="N181" i="8"/>
  <c r="E44" i="44" l="1"/>
  <c r="Q55" i="44"/>
  <c r="H74" i="45" s="1"/>
  <c r="G74" i="45"/>
  <c r="Q26" i="44"/>
  <c r="Q27" i="44" s="1"/>
  <c r="J71" i="45"/>
  <c r="Q62" i="44"/>
  <c r="F75" i="45" s="1"/>
  <c r="F74" i="45"/>
  <c r="F58" i="45"/>
  <c r="Q170" i="8"/>
  <c r="B43" i="44"/>
  <c r="B56" i="41"/>
  <c r="P85" i="44"/>
  <c r="P98" i="44" s="1"/>
  <c r="P109" i="44" s="1"/>
  <c r="P120" i="44" s="1"/>
  <c r="P131" i="44" s="1"/>
  <c r="P142" i="44" s="1"/>
  <c r="H83" i="44"/>
  <c r="H97" i="44" s="1"/>
  <c r="H108" i="44" s="1"/>
  <c r="H119" i="44" s="1"/>
  <c r="H130" i="44" s="1"/>
  <c r="H141" i="44" s="1"/>
  <c r="P87" i="44"/>
  <c r="P99" i="44" s="1"/>
  <c r="P110" i="44" s="1"/>
  <c r="P121" i="44" s="1"/>
  <c r="P132" i="44" s="1"/>
  <c r="P143" i="44" s="1"/>
  <c r="H85" i="44"/>
  <c r="H98" i="44" s="1"/>
  <c r="H109" i="44" s="1"/>
  <c r="H120" i="44" s="1"/>
  <c r="H131" i="44" s="1"/>
  <c r="H142" i="44" s="1"/>
  <c r="Q151" i="8"/>
  <c r="Q78" i="44" s="1"/>
  <c r="P81" i="44"/>
  <c r="P96" i="44" s="1"/>
  <c r="P107" i="44" s="1"/>
  <c r="H87" i="44"/>
  <c r="H99" i="44" s="1"/>
  <c r="H110" i="44" s="1"/>
  <c r="H121" i="44" s="1"/>
  <c r="H132" i="44" s="1"/>
  <c r="H143" i="44" s="1"/>
  <c r="Q19" i="40"/>
  <c r="Q22" i="40" s="1"/>
  <c r="G109" i="45"/>
  <c r="K103" i="44"/>
  <c r="G115" i="35"/>
  <c r="C77" i="44"/>
  <c r="B44" i="41"/>
  <c r="B15" i="41" s="1"/>
  <c r="C63" i="44"/>
  <c r="V69" i="41"/>
  <c r="E55" i="35"/>
  <c r="C55" i="35"/>
  <c r="B53" i="41"/>
  <c r="G26" i="44"/>
  <c r="G27" i="44" s="1"/>
  <c r="G55" i="44"/>
  <c r="J48" i="44"/>
  <c r="J49" i="44" s="1"/>
  <c r="J55" i="41"/>
  <c r="J27" i="41" s="1"/>
  <c r="J78" i="41" s="1"/>
  <c r="J100" i="41" s="1"/>
  <c r="J120" i="41" s="1"/>
  <c r="M55" i="41"/>
  <c r="M24" i="41" s="1"/>
  <c r="M77" i="41" s="1"/>
  <c r="M99" i="41" s="1"/>
  <c r="M119" i="41" s="1"/>
  <c r="P55" i="41"/>
  <c r="P24" i="41" s="1"/>
  <c r="P77" i="41" s="1"/>
  <c r="P99" i="41" s="1"/>
  <c r="P119" i="41" s="1"/>
  <c r="H55" i="44"/>
  <c r="P48" i="44"/>
  <c r="P49" i="44" s="1"/>
  <c r="L48" i="44"/>
  <c r="L49" i="44" s="1"/>
  <c r="D44" i="44"/>
  <c r="B41" i="44"/>
  <c r="H55" i="41"/>
  <c r="H24" i="41" s="1"/>
  <c r="H77" i="41" s="1"/>
  <c r="H99" i="41" s="1"/>
  <c r="H119" i="41" s="1"/>
  <c r="C44" i="44"/>
  <c r="J170" i="8"/>
  <c r="F66" i="44"/>
  <c r="L170" i="8"/>
  <c r="J151" i="8"/>
  <c r="J78" i="44" s="1"/>
  <c r="B14" i="44"/>
  <c r="B40" i="44"/>
  <c r="H65" i="44"/>
  <c r="C65" i="44" s="1"/>
  <c r="C54" i="44"/>
  <c r="B92" i="44"/>
  <c r="P151" i="8"/>
  <c r="P78" i="44" s="1"/>
  <c r="G64" i="44"/>
  <c r="C64" i="44" s="1"/>
  <c r="C53" i="44"/>
  <c r="E54" i="44"/>
  <c r="B54" i="44" s="1"/>
  <c r="N65" i="44"/>
  <c r="E65" i="44" s="1"/>
  <c r="B65" i="44" s="1"/>
  <c r="J159" i="42"/>
  <c r="G50" i="41"/>
  <c r="G52" i="41" s="1"/>
  <c r="G13" i="41"/>
  <c r="G54" i="41"/>
  <c r="G37" i="41" s="1"/>
  <c r="G74" i="41" s="1"/>
  <c r="G96" i="41" s="1"/>
  <c r="G116" i="41" s="1"/>
  <c r="B60" i="35"/>
  <c r="B62" i="35" s="1"/>
  <c r="B69" i="41" s="1"/>
  <c r="E61" i="35"/>
  <c r="E68" i="41" s="1"/>
  <c r="J60" i="41"/>
  <c r="J61" i="41" s="1"/>
  <c r="J62" i="41" s="1"/>
  <c r="Q72" i="41"/>
  <c r="Q94" i="41" s="1"/>
  <c r="Q114" i="41" s="1"/>
  <c r="Q159" i="42"/>
  <c r="T69" i="41"/>
  <c r="U69" i="41"/>
  <c r="W69" i="41"/>
  <c r="M60" i="41"/>
  <c r="M61" i="41" s="1"/>
  <c r="M62" i="41" s="1"/>
  <c r="M72" i="41"/>
  <c r="M94" i="41" s="1"/>
  <c r="M114" i="41" s="1"/>
  <c r="D90" i="41"/>
  <c r="N78" i="44"/>
  <c r="K35" i="44"/>
  <c r="M56" i="44"/>
  <c r="M58" i="44" s="1"/>
  <c r="I52" i="41"/>
  <c r="D50" i="41"/>
  <c r="N62" i="42"/>
  <c r="G82" i="42" s="1"/>
  <c r="N54" i="42"/>
  <c r="N57" i="42"/>
  <c r="N71" i="42" s="1"/>
  <c r="P82" i="42" s="1"/>
  <c r="N51" i="42"/>
  <c r="N40" i="42"/>
  <c r="N52" i="42"/>
  <c r="N66" i="42" s="1"/>
  <c r="K82" i="42" s="1"/>
  <c r="N58" i="42"/>
  <c r="N50" i="42"/>
  <c r="N64" i="42" s="1"/>
  <c r="I82" i="42" s="1"/>
  <c r="N151" i="42"/>
  <c r="N47" i="42"/>
  <c r="N61" i="42" s="1"/>
  <c r="F82" i="42" s="1"/>
  <c r="N48" i="42"/>
  <c r="N49" i="42"/>
  <c r="N56" i="42"/>
  <c r="N53" i="42"/>
  <c r="E50" i="41"/>
  <c r="P52" i="41"/>
  <c r="O35" i="44"/>
  <c r="O36" i="44" s="1"/>
  <c r="E36" i="44" s="1"/>
  <c r="E24" i="44"/>
  <c r="J62" i="44"/>
  <c r="J66" i="44" s="1"/>
  <c r="O40" i="41"/>
  <c r="O139" i="8"/>
  <c r="O137" i="8"/>
  <c r="O123" i="8"/>
  <c r="O153" i="8" s="1"/>
  <c r="O33" i="8"/>
  <c r="O127" i="8"/>
  <c r="O157" i="8" s="1"/>
  <c r="O7" i="40"/>
  <c r="O132" i="8"/>
  <c r="O162" i="8" s="1"/>
  <c r="E18" i="8"/>
  <c r="C105" i="35"/>
  <c r="C89" i="35"/>
  <c r="C97" i="35"/>
  <c r="O113" i="44"/>
  <c r="E102" i="44"/>
  <c r="L134" i="44"/>
  <c r="L136" i="44" s="1"/>
  <c r="N158" i="42"/>
  <c r="N17" i="41"/>
  <c r="N18" i="41" s="1"/>
  <c r="N38" i="41"/>
  <c r="N75" i="41" s="1"/>
  <c r="N97" i="41" s="1"/>
  <c r="L22" i="40"/>
  <c r="L20" i="40"/>
  <c r="I123" i="44"/>
  <c r="D112" i="44"/>
  <c r="Q56" i="44"/>
  <c r="J49" i="42"/>
  <c r="J63" i="42" s="1"/>
  <c r="H78" i="42" s="1"/>
  <c r="J52" i="42"/>
  <c r="J66" i="42" s="1"/>
  <c r="K78" i="42" s="1"/>
  <c r="J58" i="42"/>
  <c r="J47" i="42"/>
  <c r="J61" i="42" s="1"/>
  <c r="F78" i="42" s="1"/>
  <c r="J53" i="42"/>
  <c r="J67" i="42" s="1"/>
  <c r="L78" i="42" s="1"/>
  <c r="J56" i="42"/>
  <c r="J57" i="42"/>
  <c r="J48" i="42"/>
  <c r="J62" i="42" s="1"/>
  <c r="G78" i="42" s="1"/>
  <c r="J40" i="42"/>
  <c r="J54" i="42"/>
  <c r="J68" i="42" s="1"/>
  <c r="M78" i="42" s="1"/>
  <c r="J147" i="42"/>
  <c r="J55" i="42"/>
  <c r="J69" i="42" s="1"/>
  <c r="N78" i="42" s="1"/>
  <c r="J50" i="42"/>
  <c r="J64" i="42" s="1"/>
  <c r="I78" i="42" s="1"/>
  <c r="F56" i="44"/>
  <c r="C45" i="44"/>
  <c r="P170" i="8"/>
  <c r="J85" i="44"/>
  <c r="J98" i="44" s="1"/>
  <c r="J109" i="44" s="1"/>
  <c r="J120" i="44" s="1"/>
  <c r="J131" i="44" s="1"/>
  <c r="J142" i="44" s="1"/>
  <c r="J83" i="44"/>
  <c r="J97" i="44" s="1"/>
  <c r="J108" i="44" s="1"/>
  <c r="J119" i="44" s="1"/>
  <c r="J130" i="44" s="1"/>
  <c r="J141" i="44" s="1"/>
  <c r="J81" i="44"/>
  <c r="J96" i="44" s="1"/>
  <c r="J87" i="44"/>
  <c r="J99" i="44" s="1"/>
  <c r="J110" i="44" s="1"/>
  <c r="J121" i="44" s="1"/>
  <c r="J132" i="44" s="1"/>
  <c r="J143" i="44" s="1"/>
  <c r="Q158" i="42"/>
  <c r="Q82" i="41"/>
  <c r="Q17" i="41"/>
  <c r="Q18" i="41" s="1"/>
  <c r="Q38" i="41"/>
  <c r="Q75" i="41" s="1"/>
  <c r="Q97" i="41" s="1"/>
  <c r="Q117" i="41" s="1"/>
  <c r="I114" i="44"/>
  <c r="K85" i="44"/>
  <c r="K98" i="44" s="1"/>
  <c r="K109" i="44" s="1"/>
  <c r="K120" i="44" s="1"/>
  <c r="K131" i="44" s="1"/>
  <c r="K142" i="44" s="1"/>
  <c r="K83" i="44"/>
  <c r="K97" i="44" s="1"/>
  <c r="K108" i="44" s="1"/>
  <c r="K119" i="44" s="1"/>
  <c r="K130" i="44" s="1"/>
  <c r="K141" i="44" s="1"/>
  <c r="K81" i="44"/>
  <c r="K96" i="44" s="1"/>
  <c r="K87" i="44"/>
  <c r="K99" i="44" s="1"/>
  <c r="K110" i="44" s="1"/>
  <c r="K121" i="44" s="1"/>
  <c r="K132" i="44" s="1"/>
  <c r="K143" i="44" s="1"/>
  <c r="B34" i="44"/>
  <c r="D7" i="40"/>
  <c r="D8" i="40" s="1"/>
  <c r="I18" i="40"/>
  <c r="I8" i="40"/>
  <c r="I9" i="40" s="1"/>
  <c r="K46" i="41"/>
  <c r="K61" i="41" s="1"/>
  <c r="K62" i="41" s="1"/>
  <c r="K11" i="41"/>
  <c r="K70" i="41"/>
  <c r="K92" i="41" s="1"/>
  <c r="K112" i="41" s="1"/>
  <c r="N56" i="44"/>
  <c r="E45" i="44"/>
  <c r="P158" i="42"/>
  <c r="P82" i="41"/>
  <c r="P17" i="41"/>
  <c r="P18" i="41" s="1"/>
  <c r="P38" i="41"/>
  <c r="P75" i="41" s="1"/>
  <c r="P97" i="41" s="1"/>
  <c r="P117" i="41" s="1"/>
  <c r="M134" i="44"/>
  <c r="M136" i="44" s="1"/>
  <c r="H170" i="8"/>
  <c r="B105" i="35"/>
  <c r="B89" i="35"/>
  <c r="B97" i="35"/>
  <c r="O183" i="8"/>
  <c r="E164" i="8"/>
  <c r="L125" i="44"/>
  <c r="L55" i="41"/>
  <c r="O64" i="44"/>
  <c r="E64" i="44" s="1"/>
  <c r="E53" i="44"/>
  <c r="O55" i="44"/>
  <c r="D54" i="41"/>
  <c r="D37" i="41" s="1"/>
  <c r="D74" i="41" s="1"/>
  <c r="D93" i="41"/>
  <c r="I37" i="41"/>
  <c r="I74" i="41" s="1"/>
  <c r="I96" i="41" s="1"/>
  <c r="H107" i="44"/>
  <c r="F26" i="44"/>
  <c r="C25" i="44"/>
  <c r="I80" i="41"/>
  <c r="I102" i="41" s="1"/>
  <c r="I167" i="8"/>
  <c r="I151" i="8" s="1"/>
  <c r="G85" i="44"/>
  <c r="G98" i="44" s="1"/>
  <c r="G109" i="44" s="1"/>
  <c r="G120" i="44" s="1"/>
  <c r="G131" i="44" s="1"/>
  <c r="G142" i="44" s="1"/>
  <c r="G83" i="44"/>
  <c r="G97" i="44" s="1"/>
  <c r="G108" i="44" s="1"/>
  <c r="G119" i="44" s="1"/>
  <c r="G130" i="44" s="1"/>
  <c r="G141" i="44" s="1"/>
  <c r="G81" i="44"/>
  <c r="G96" i="44" s="1"/>
  <c r="G87" i="44"/>
  <c r="G99" i="44" s="1"/>
  <c r="G110" i="44" s="1"/>
  <c r="G121" i="44" s="1"/>
  <c r="G132" i="44" s="1"/>
  <c r="G143" i="44" s="1"/>
  <c r="B101" i="44"/>
  <c r="Q85" i="44"/>
  <c r="Q98" i="44" s="1"/>
  <c r="Q109" i="44" s="1"/>
  <c r="Q120" i="44" s="1"/>
  <c r="Q131" i="44" s="1"/>
  <c r="Q142" i="44" s="1"/>
  <c r="Q83" i="44"/>
  <c r="Q97" i="44" s="1"/>
  <c r="Q108" i="44" s="1"/>
  <c r="Q119" i="44" s="1"/>
  <c r="Q130" i="44" s="1"/>
  <c r="Q141" i="44" s="1"/>
  <c r="Q81" i="44"/>
  <c r="Q96" i="44" s="1"/>
  <c r="Q87" i="44"/>
  <c r="Q99" i="44" s="1"/>
  <c r="Q110" i="44" s="1"/>
  <c r="Q121" i="44" s="1"/>
  <c r="Q132" i="44" s="1"/>
  <c r="Q143" i="44" s="1"/>
  <c r="M27" i="39"/>
  <c r="M29" i="39" s="1"/>
  <c r="Q63" i="44"/>
  <c r="N57" i="44"/>
  <c r="M125" i="44"/>
  <c r="H151" i="8"/>
  <c r="H78" i="44" s="1"/>
  <c r="N112" i="41"/>
  <c r="P56" i="44"/>
  <c r="P58" i="44" s="1"/>
  <c r="B42" i="44"/>
  <c r="J22" i="40"/>
  <c r="J20" i="40"/>
  <c r="O159" i="42"/>
  <c r="O72" i="41"/>
  <c r="O94" i="41" s="1"/>
  <c r="O114" i="41" s="1"/>
  <c r="O60" i="41"/>
  <c r="P21" i="35"/>
  <c r="P19" i="35"/>
  <c r="P39" i="35"/>
  <c r="D157" i="8"/>
  <c r="I176" i="8"/>
  <c r="K38" i="42"/>
  <c r="K17" i="35"/>
  <c r="K19" i="39"/>
  <c r="N135" i="44"/>
  <c r="F123" i="44"/>
  <c r="C112" i="44"/>
  <c r="M85" i="44"/>
  <c r="M98" i="44" s="1"/>
  <c r="M109" i="44" s="1"/>
  <c r="M120" i="44" s="1"/>
  <c r="M131" i="44" s="1"/>
  <c r="M142" i="44" s="1"/>
  <c r="M83" i="44"/>
  <c r="M97" i="44" s="1"/>
  <c r="M108" i="44" s="1"/>
  <c r="M119" i="44" s="1"/>
  <c r="M130" i="44" s="1"/>
  <c r="M141" i="44" s="1"/>
  <c r="M81" i="44"/>
  <c r="M96" i="44" s="1"/>
  <c r="M87" i="44"/>
  <c r="M99" i="44" s="1"/>
  <c r="M110" i="44" s="1"/>
  <c r="M121" i="44" s="1"/>
  <c r="M132" i="44" s="1"/>
  <c r="M143" i="44" s="1"/>
  <c r="K56" i="44"/>
  <c r="F103" i="44"/>
  <c r="F113" i="41"/>
  <c r="L56" i="44"/>
  <c r="L58" i="44" s="1"/>
  <c r="P62" i="44"/>
  <c r="P66" i="44" s="1"/>
  <c r="H56" i="44"/>
  <c r="H58" i="44" s="1"/>
  <c r="G46" i="41"/>
  <c r="G11" i="41"/>
  <c r="G70" i="41"/>
  <c r="G92" i="41" s="1"/>
  <c r="G112" i="41" s="1"/>
  <c r="H82" i="41"/>
  <c r="H158" i="42"/>
  <c r="H17" i="41"/>
  <c r="H18" i="41" s="1"/>
  <c r="H38" i="41"/>
  <c r="H75" i="41" s="1"/>
  <c r="H97" i="41" s="1"/>
  <c r="H117" i="41" s="1"/>
  <c r="G62" i="44"/>
  <c r="G38" i="42"/>
  <c r="G19" i="39"/>
  <c r="G17" i="35"/>
  <c r="L159" i="42"/>
  <c r="L72" i="41"/>
  <c r="L94" i="41" s="1"/>
  <c r="L114" i="41" s="1"/>
  <c r="L60" i="41"/>
  <c r="L61" i="41" s="1"/>
  <c r="L62" i="41" s="1"/>
  <c r="I124" i="44"/>
  <c r="N122" i="41"/>
  <c r="O89" i="35"/>
  <c r="O115" i="35" s="1"/>
  <c r="O97" i="35"/>
  <c r="O105" i="35"/>
  <c r="O134" i="44"/>
  <c r="C14" i="41"/>
  <c r="B43" i="41"/>
  <c r="B14" i="41" s="1"/>
  <c r="K63" i="44"/>
  <c r="D63" i="44" s="1"/>
  <c r="D52" i="44"/>
  <c r="B42" i="41"/>
  <c r="B13" i="41" s="1"/>
  <c r="C13" i="41"/>
  <c r="H21" i="35"/>
  <c r="H19" i="35"/>
  <c r="H39" i="35"/>
  <c r="E54" i="41"/>
  <c r="E37" i="41" s="1"/>
  <c r="E74" i="41" s="1"/>
  <c r="E93" i="41"/>
  <c r="N37" i="41"/>
  <c r="N74" i="41" s="1"/>
  <c r="N96" i="41" s="1"/>
  <c r="E90" i="41"/>
  <c r="K134" i="44"/>
  <c r="J120" i="35"/>
  <c r="C51" i="44"/>
  <c r="E91" i="41"/>
  <c r="M63" i="42"/>
  <c r="H81" i="42" s="1"/>
  <c r="D45" i="44"/>
  <c r="I56" i="44"/>
  <c r="P47" i="42"/>
  <c r="P61" i="42" s="1"/>
  <c r="F84" i="42" s="1"/>
  <c r="P49" i="42"/>
  <c r="P63" i="42" s="1"/>
  <c r="H84" i="42" s="1"/>
  <c r="P53" i="42"/>
  <c r="P55" i="42"/>
  <c r="P50" i="42"/>
  <c r="P64" i="42" s="1"/>
  <c r="I84" i="42" s="1"/>
  <c r="P48" i="42"/>
  <c r="P54" i="42"/>
  <c r="P68" i="42" s="1"/>
  <c r="M84" i="42" s="1"/>
  <c r="P40" i="42"/>
  <c r="P56" i="42"/>
  <c r="P58" i="42"/>
  <c r="P51" i="42"/>
  <c r="P52" i="42"/>
  <c r="P66" i="42" s="1"/>
  <c r="K84" i="42" s="1"/>
  <c r="P153" i="42"/>
  <c r="F35" i="44"/>
  <c r="F36" i="44" s="1"/>
  <c r="C24" i="44"/>
  <c r="I38" i="42"/>
  <c r="I17" i="35"/>
  <c r="I19" i="39"/>
  <c r="K172" i="8"/>
  <c r="N63" i="44"/>
  <c r="E52" i="44"/>
  <c r="M53" i="35"/>
  <c r="M56" i="35" s="1"/>
  <c r="M129" i="35"/>
  <c r="M42" i="35"/>
  <c r="M43" i="35" s="1"/>
  <c r="M118" i="35"/>
  <c r="M121" i="35" s="1"/>
  <c r="N85" i="44"/>
  <c r="N98" i="44" s="1"/>
  <c r="N83" i="44"/>
  <c r="N97" i="44" s="1"/>
  <c r="N81" i="44"/>
  <c r="N96" i="44" s="1"/>
  <c r="N87" i="44"/>
  <c r="N99" i="44" s="1"/>
  <c r="N27" i="44"/>
  <c r="O56" i="44"/>
  <c r="M64" i="44"/>
  <c r="D64" i="44" s="1"/>
  <c r="D53" i="44"/>
  <c r="G134" i="44"/>
  <c r="D105" i="35"/>
  <c r="D89" i="35"/>
  <c r="D97" i="35"/>
  <c r="H20" i="40"/>
  <c r="H22" i="40"/>
  <c r="G172" i="8"/>
  <c r="N186" i="8"/>
  <c r="N170" i="8" s="1"/>
  <c r="E105" i="35"/>
  <c r="E89" i="35"/>
  <c r="E97" i="35"/>
  <c r="L25" i="39"/>
  <c r="L26" i="39" s="1"/>
  <c r="L20" i="39"/>
  <c r="L21" i="39" s="1"/>
  <c r="F111" i="41"/>
  <c r="H134" i="44"/>
  <c r="H136" i="44" s="1"/>
  <c r="P20" i="39"/>
  <c r="P21" i="39" s="1"/>
  <c r="P25" i="39"/>
  <c r="P26" i="39" s="1"/>
  <c r="G56" i="44"/>
  <c r="L62" i="44"/>
  <c r="B77" i="44"/>
  <c r="Q134" i="44"/>
  <c r="N19" i="40"/>
  <c r="F40" i="41"/>
  <c r="F139" i="8"/>
  <c r="C18" i="8"/>
  <c r="F127" i="8"/>
  <c r="F157" i="8" s="1"/>
  <c r="F33" i="8"/>
  <c r="F123" i="8"/>
  <c r="F153" i="8" s="1"/>
  <c r="B18" i="8"/>
  <c r="F147" i="8" s="1"/>
  <c r="F7" i="40"/>
  <c r="F137" i="8"/>
  <c r="F132" i="8"/>
  <c r="F162" i="8" s="1"/>
  <c r="F113" i="44"/>
  <c r="F114" i="44" s="1"/>
  <c r="C102" i="44"/>
  <c r="K105" i="35"/>
  <c r="K89" i="35"/>
  <c r="K115" i="35" s="1"/>
  <c r="K97" i="35"/>
  <c r="D51" i="44"/>
  <c r="L85" i="44"/>
  <c r="L98" i="44" s="1"/>
  <c r="L109" i="44" s="1"/>
  <c r="L120" i="44" s="1"/>
  <c r="L131" i="44" s="1"/>
  <c r="L142" i="44" s="1"/>
  <c r="L83" i="44"/>
  <c r="L97" i="44" s="1"/>
  <c r="L108" i="44" s="1"/>
  <c r="L119" i="44" s="1"/>
  <c r="L130" i="44" s="1"/>
  <c r="L141" i="44" s="1"/>
  <c r="L81" i="44"/>
  <c r="L96" i="44" s="1"/>
  <c r="L87" i="44"/>
  <c r="L99" i="44" s="1"/>
  <c r="L110" i="44" s="1"/>
  <c r="L121" i="44" s="1"/>
  <c r="L132" i="44" s="1"/>
  <c r="L143" i="44" s="1"/>
  <c r="Q39" i="35"/>
  <c r="Q21" i="35"/>
  <c r="F36" i="45"/>
  <c r="D164" i="8"/>
  <c r="C50" i="41"/>
  <c r="F52" i="41"/>
  <c r="H20" i="39"/>
  <c r="H21" i="39" s="1"/>
  <c r="H25" i="39"/>
  <c r="H26" i="39" s="1"/>
  <c r="G8" i="40"/>
  <c r="G9" i="40" s="1"/>
  <c r="G18" i="40"/>
  <c r="G19" i="40" s="1"/>
  <c r="D153" i="8"/>
  <c r="I172" i="8"/>
  <c r="K18" i="40"/>
  <c r="K19" i="40" s="1"/>
  <c r="K8" i="40"/>
  <c r="K9" i="40" s="1"/>
  <c r="G35" i="44"/>
  <c r="Q47" i="42"/>
  <c r="Q61" i="42" s="1"/>
  <c r="F85" i="42" s="1"/>
  <c r="Q53" i="42"/>
  <c r="Q56" i="42"/>
  <c r="Q70" i="42" s="1"/>
  <c r="O85" i="42" s="1"/>
  <c r="Q50" i="42"/>
  <c r="Q64" i="42" s="1"/>
  <c r="I85" i="42" s="1"/>
  <c r="Q48" i="42"/>
  <c r="Q62" i="42" s="1"/>
  <c r="G85" i="42" s="1"/>
  <c r="Q51" i="42"/>
  <c r="Q54" i="42"/>
  <c r="Q57" i="42"/>
  <c r="Q71" i="42" s="1"/>
  <c r="P85" i="42" s="1"/>
  <c r="Q55" i="42"/>
  <c r="Q40" i="42"/>
  <c r="Q49" i="42"/>
  <c r="Q63" i="42" s="1"/>
  <c r="H85" i="42" s="1"/>
  <c r="Q154" i="42"/>
  <c r="Q52" i="42"/>
  <c r="Q66" i="42" s="1"/>
  <c r="K85" i="42" s="1"/>
  <c r="L19" i="35"/>
  <c r="L39" i="35"/>
  <c r="L21" i="35"/>
  <c r="P20" i="40"/>
  <c r="P22" i="40"/>
  <c r="J56" i="44"/>
  <c r="J58" i="44" s="1"/>
  <c r="H56" i="42"/>
  <c r="H70" i="42" s="1"/>
  <c r="O76" i="42" s="1"/>
  <c r="H50" i="42"/>
  <c r="H64" i="42" s="1"/>
  <c r="I76" i="42" s="1"/>
  <c r="H48" i="42"/>
  <c r="H62" i="42" s="1"/>
  <c r="G76" i="42" s="1"/>
  <c r="H54" i="42"/>
  <c r="H68" i="42" s="1"/>
  <c r="M76" i="42" s="1"/>
  <c r="H52" i="42"/>
  <c r="H66" i="42" s="1"/>
  <c r="K76" i="42" s="1"/>
  <c r="H40" i="42"/>
  <c r="H58" i="42"/>
  <c r="H145" i="42"/>
  <c r="H55" i="42"/>
  <c r="H57" i="42"/>
  <c r="H71" i="42" s="1"/>
  <c r="P76" i="42" s="1"/>
  <c r="H53" i="42"/>
  <c r="H67" i="42" s="1"/>
  <c r="L76" i="42" s="1"/>
  <c r="H51" i="42"/>
  <c r="H47" i="42"/>
  <c r="K113" i="44"/>
  <c r="D113" i="44" s="1"/>
  <c r="Q61" i="41"/>
  <c r="Q62" i="41" s="1"/>
  <c r="B41" i="35"/>
  <c r="B45" i="41"/>
  <c r="B16" i="41" s="1"/>
  <c r="C16" i="41"/>
  <c r="D103" i="44"/>
  <c r="L82" i="41"/>
  <c r="L158" i="42"/>
  <c r="L17" i="41"/>
  <c r="L18" i="41" s="1"/>
  <c r="L38" i="41"/>
  <c r="L75" i="41" s="1"/>
  <c r="L97" i="41" s="1"/>
  <c r="L117" i="41" s="1"/>
  <c r="J25" i="39"/>
  <c r="J26" i="39" s="1"/>
  <c r="J20" i="39"/>
  <c r="J21" i="39" s="1"/>
  <c r="G113" i="44"/>
  <c r="G114" i="44" s="1"/>
  <c r="M67" i="42"/>
  <c r="L81" i="42" s="1"/>
  <c r="M66" i="42"/>
  <c r="K81" i="42" s="1"/>
  <c r="N20" i="39"/>
  <c r="N21" i="39" s="1"/>
  <c r="N25" i="39"/>
  <c r="I85" i="44"/>
  <c r="I98" i="44" s="1"/>
  <c r="I83" i="44"/>
  <c r="I97" i="44" s="1"/>
  <c r="I81" i="44"/>
  <c r="I96" i="44" s="1"/>
  <c r="I87" i="44"/>
  <c r="I99" i="44" s="1"/>
  <c r="D139" i="8"/>
  <c r="D33" i="8"/>
  <c r="D123" i="8"/>
  <c r="D132" i="8"/>
  <c r="D127" i="8"/>
  <c r="D137" i="8"/>
  <c r="D80" i="41" s="1"/>
  <c r="B76" i="44"/>
  <c r="N37" i="44"/>
  <c r="N48" i="44" s="1"/>
  <c r="I26" i="44"/>
  <c r="I37" i="44" s="1"/>
  <c r="N55" i="44"/>
  <c r="F110" i="41"/>
  <c r="M158" i="42"/>
  <c r="M82" i="41"/>
  <c r="M17" i="41"/>
  <c r="M18" i="41" s="1"/>
  <c r="M38" i="41"/>
  <c r="M75" i="41" s="1"/>
  <c r="M97" i="41" s="1"/>
  <c r="M117" i="41" s="1"/>
  <c r="L151" i="8"/>
  <c r="L78" i="44" s="1"/>
  <c r="D24" i="44"/>
  <c r="P134" i="44"/>
  <c r="P136" i="44"/>
  <c r="O85" i="44"/>
  <c r="O98" i="44" s="1"/>
  <c r="O109" i="44" s="1"/>
  <c r="O120" i="44" s="1"/>
  <c r="O131" i="44" s="1"/>
  <c r="O142" i="44" s="1"/>
  <c r="O83" i="44"/>
  <c r="O97" i="44" s="1"/>
  <c r="O108" i="44" s="1"/>
  <c r="O119" i="44" s="1"/>
  <c r="O130" i="44" s="1"/>
  <c r="O141" i="44" s="1"/>
  <c r="O81" i="44"/>
  <c r="O96" i="44" s="1"/>
  <c r="O87" i="44"/>
  <c r="O99" i="44" s="1"/>
  <c r="O110" i="44" s="1"/>
  <c r="O121" i="44" s="1"/>
  <c r="O132" i="44" s="1"/>
  <c r="O143" i="44" s="1"/>
  <c r="K25" i="44"/>
  <c r="K26" i="44" s="1"/>
  <c r="K27" i="44" s="1"/>
  <c r="Q25" i="39"/>
  <c r="Q26" i="39" s="1"/>
  <c r="Q20" i="39"/>
  <c r="Q21" i="39" s="1"/>
  <c r="L48" i="42"/>
  <c r="L62" i="42" s="1"/>
  <c r="G80" i="42" s="1"/>
  <c r="L50" i="42"/>
  <c r="L54" i="42"/>
  <c r="L68" i="42" s="1"/>
  <c r="M80" i="42" s="1"/>
  <c r="L58" i="42"/>
  <c r="L64" i="42"/>
  <c r="I80" i="42" s="1"/>
  <c r="L40" i="42"/>
  <c r="L55" i="42"/>
  <c r="L49" i="42"/>
  <c r="L63" i="42" s="1"/>
  <c r="H80" i="42" s="1"/>
  <c r="L47" i="42"/>
  <c r="L57" i="42"/>
  <c r="L71" i="42" s="1"/>
  <c r="P80" i="42" s="1"/>
  <c r="L51" i="42"/>
  <c r="L56" i="42"/>
  <c r="L52" i="42"/>
  <c r="L66" i="42" s="1"/>
  <c r="K80" i="42" s="1"/>
  <c r="L149" i="42"/>
  <c r="B164" i="8"/>
  <c r="U164" i="8"/>
  <c r="V164" i="8"/>
  <c r="C164" i="8"/>
  <c r="F183" i="8"/>
  <c r="S164" i="8"/>
  <c r="T164" i="8"/>
  <c r="P55" i="44"/>
  <c r="E51" i="41"/>
  <c r="B51" i="41" s="1"/>
  <c r="N52" i="41"/>
  <c r="H47" i="44"/>
  <c r="H48" i="44" s="1"/>
  <c r="H49" i="44" s="1"/>
  <c r="G80" i="41"/>
  <c r="G102" i="41" s="1"/>
  <c r="G122" i="41" s="1"/>
  <c r="G167" i="8"/>
  <c r="G186" i="8" s="1"/>
  <c r="Q47" i="44"/>
  <c r="J73" i="45" s="1"/>
  <c r="F37" i="41"/>
  <c r="F74" i="41" s="1"/>
  <c r="F96" i="41" s="1"/>
  <c r="H159" i="42"/>
  <c r="H72" i="41"/>
  <c r="H94" i="41" s="1"/>
  <c r="H114" i="41" s="1"/>
  <c r="H60" i="41"/>
  <c r="H61" i="41" s="1"/>
  <c r="H62" i="41" s="1"/>
  <c r="J39" i="35"/>
  <c r="J21" i="35"/>
  <c r="J19" i="35"/>
  <c r="M62" i="42"/>
  <c r="G81" i="42" s="1"/>
  <c r="M61" i="42"/>
  <c r="F81" i="42" s="1"/>
  <c r="M70" i="42"/>
  <c r="O81" i="42" s="1"/>
  <c r="B5" i="41"/>
  <c r="M47" i="44"/>
  <c r="M48" i="44" s="1"/>
  <c r="M49" i="44" s="1"/>
  <c r="N123" i="44"/>
  <c r="N125" i="44" s="1"/>
  <c r="E112" i="44"/>
  <c r="N19" i="35"/>
  <c r="N21" i="35"/>
  <c r="N39" i="35"/>
  <c r="I181" i="8"/>
  <c r="D162" i="8"/>
  <c r="I46" i="41"/>
  <c r="D40" i="41"/>
  <c r="I11" i="41"/>
  <c r="I70" i="41"/>
  <c r="I92" i="41" s="1"/>
  <c r="K80" i="41"/>
  <c r="K102" i="41" s="1"/>
  <c r="K122" i="41" s="1"/>
  <c r="K167" i="8"/>
  <c r="K186" i="8" s="1"/>
  <c r="O25" i="44"/>
  <c r="J134" i="44"/>
  <c r="F85" i="44"/>
  <c r="F98" i="44" s="1"/>
  <c r="F83" i="44"/>
  <c r="F97" i="44" s="1"/>
  <c r="F81" i="44"/>
  <c r="F96" i="44" s="1"/>
  <c r="F87" i="44"/>
  <c r="F99" i="44" s="1"/>
  <c r="J55" i="44"/>
  <c r="D55" i="44" s="1"/>
  <c r="N62" i="44"/>
  <c r="E51" i="44"/>
  <c r="F105" i="35"/>
  <c r="F89" i="35"/>
  <c r="F115" i="35" s="1"/>
  <c r="F97" i="35"/>
  <c r="J82" i="41"/>
  <c r="J158" i="42"/>
  <c r="J17" i="41"/>
  <c r="J18" i="41" s="1"/>
  <c r="J38" i="41"/>
  <c r="J75" i="41" s="1"/>
  <c r="J97" i="41" s="1"/>
  <c r="J117" i="41" s="1"/>
  <c r="O103" i="44"/>
  <c r="E103" i="44" s="1"/>
  <c r="D35" i="44"/>
  <c r="I46" i="44"/>
  <c r="H62" i="44"/>
  <c r="H66" i="44" s="1"/>
  <c r="P125" i="44"/>
  <c r="Q37" i="44" l="1"/>
  <c r="Q38" i="44" s="1"/>
  <c r="G58" i="45"/>
  <c r="Q66" i="44"/>
  <c r="H75" i="45" s="1"/>
  <c r="G75" i="45"/>
  <c r="Q58" i="44"/>
  <c r="J74" i="45" s="1"/>
  <c r="I74" i="45"/>
  <c r="Q55" i="41"/>
  <c r="Q24" i="41" s="1"/>
  <c r="Q77" i="41" s="1"/>
  <c r="Q99" i="41" s="1"/>
  <c r="Q119" i="41" s="1"/>
  <c r="Q48" i="44"/>
  <c r="Q49" i="44" s="1"/>
  <c r="D147" i="8"/>
  <c r="Q20" i="40"/>
  <c r="P111" i="44"/>
  <c r="P100" i="44"/>
  <c r="P104" i="44" s="1"/>
  <c r="P105" i="44" s="1"/>
  <c r="H100" i="44"/>
  <c r="H104" i="44" s="1"/>
  <c r="H105" i="44" s="1"/>
  <c r="H111" i="44"/>
  <c r="F85" i="45"/>
  <c r="J24" i="41"/>
  <c r="J77" i="41" s="1"/>
  <c r="J99" i="41" s="1"/>
  <c r="J119" i="41" s="1"/>
  <c r="P27" i="39"/>
  <c r="P29" i="39" s="1"/>
  <c r="O66" i="44"/>
  <c r="M66" i="44"/>
  <c r="B55" i="35"/>
  <c r="I125" i="44"/>
  <c r="G117" i="35"/>
  <c r="G120" i="35" s="1"/>
  <c r="G66" i="44"/>
  <c r="C66" i="44" s="1"/>
  <c r="C55" i="44"/>
  <c r="M27" i="41"/>
  <c r="M78" i="41" s="1"/>
  <c r="M100" i="41" s="1"/>
  <c r="M120" i="41" s="1"/>
  <c r="B61" i="35"/>
  <c r="B68" i="41" s="1"/>
  <c r="P27" i="41"/>
  <c r="P78" i="41" s="1"/>
  <c r="P100" i="41" s="1"/>
  <c r="P120" i="41" s="1"/>
  <c r="H27" i="41"/>
  <c r="H78" i="41" s="1"/>
  <c r="H100" i="41" s="1"/>
  <c r="H120" i="41" s="1"/>
  <c r="L59" i="44"/>
  <c r="L60" i="44" s="1"/>
  <c r="B44" i="44"/>
  <c r="E63" i="44"/>
  <c r="B63" i="44" s="1"/>
  <c r="M59" i="44"/>
  <c r="M60" i="44" s="1"/>
  <c r="D62" i="44"/>
  <c r="J59" i="44"/>
  <c r="J60" i="44" s="1"/>
  <c r="B53" i="44"/>
  <c r="L66" i="44"/>
  <c r="B90" i="41"/>
  <c r="C90" i="41"/>
  <c r="C62" i="44"/>
  <c r="E62" i="44"/>
  <c r="F40" i="45"/>
  <c r="F104" i="45" s="1"/>
  <c r="F46" i="45"/>
  <c r="B102" i="44"/>
  <c r="B64" i="44"/>
  <c r="E55" i="44"/>
  <c r="K114" i="44"/>
  <c r="D114" i="44" s="1"/>
  <c r="B93" i="41"/>
  <c r="B91" i="41"/>
  <c r="C54" i="41"/>
  <c r="B54" i="41" s="1"/>
  <c r="B37" i="41" s="1"/>
  <c r="B74" i="41" s="1"/>
  <c r="C91" i="41"/>
  <c r="C93" i="41"/>
  <c r="G60" i="41"/>
  <c r="G61" i="41" s="1"/>
  <c r="G62" i="41" s="1"/>
  <c r="G159" i="42"/>
  <c r="G72" i="41"/>
  <c r="G94" i="41" s="1"/>
  <c r="G114" i="41" s="1"/>
  <c r="L27" i="39"/>
  <c r="L29" i="39" s="1"/>
  <c r="J27" i="39"/>
  <c r="J29" i="39" s="1"/>
  <c r="Q27" i="39"/>
  <c r="Q29" i="39" s="1"/>
  <c r="B50" i="41"/>
  <c r="I38" i="44"/>
  <c r="I55" i="41"/>
  <c r="C114" i="44"/>
  <c r="N49" i="44"/>
  <c r="J145" i="44"/>
  <c r="J147" i="44" s="1"/>
  <c r="N66" i="44"/>
  <c r="J136" i="44"/>
  <c r="I82" i="41"/>
  <c r="I158" i="42"/>
  <c r="I17" i="41"/>
  <c r="I18" i="41" s="1"/>
  <c r="D46" i="41"/>
  <c r="I38" i="41"/>
  <c r="I75" i="41" s="1"/>
  <c r="I97" i="41" s="1"/>
  <c r="I107" i="44"/>
  <c r="D96" i="44"/>
  <c r="I100" i="44"/>
  <c r="G46" i="44"/>
  <c r="F80" i="41"/>
  <c r="F102" i="41" s="1"/>
  <c r="F167" i="8"/>
  <c r="F151" i="8" s="1"/>
  <c r="H145" i="44"/>
  <c r="H147" i="44" s="1"/>
  <c r="G170" i="8"/>
  <c r="M122" i="35"/>
  <c r="M123" i="35"/>
  <c r="D19" i="39"/>
  <c r="D20" i="39" s="1"/>
  <c r="D21" i="39" s="1"/>
  <c r="I25" i="39"/>
  <c r="I20" i="39"/>
  <c r="I21" i="39" s="1"/>
  <c r="F134" i="44"/>
  <c r="C123" i="44"/>
  <c r="P53" i="35"/>
  <c r="P56" i="35" s="1"/>
  <c r="P118" i="35"/>
  <c r="P121" i="35" s="1"/>
  <c r="P129" i="35"/>
  <c r="P42" i="35"/>
  <c r="P43" i="35" s="1"/>
  <c r="Q107" i="44"/>
  <c r="Q111" i="44" s="1"/>
  <c r="Q100" i="44"/>
  <c r="Q104" i="44" s="1"/>
  <c r="D167" i="8"/>
  <c r="I186" i="8"/>
  <c r="O124" i="44"/>
  <c r="O125" i="44" s="1"/>
  <c r="E113" i="44"/>
  <c r="O147" i="8"/>
  <c r="K46" i="44"/>
  <c r="K47" i="44" s="1"/>
  <c r="I108" i="44"/>
  <c r="D97" i="44"/>
  <c r="J67" i="44"/>
  <c r="J69" i="44" s="1"/>
  <c r="F46" i="41"/>
  <c r="C40" i="41"/>
  <c r="F11" i="41"/>
  <c r="F70" i="41"/>
  <c r="G151" i="8"/>
  <c r="G78" i="44" s="1"/>
  <c r="O67" i="44"/>
  <c r="I39" i="35"/>
  <c r="I21" i="35"/>
  <c r="I19" i="35"/>
  <c r="D56" i="44"/>
  <c r="I67" i="44"/>
  <c r="E96" i="41"/>
  <c r="N116" i="41"/>
  <c r="I135" i="44"/>
  <c r="G158" i="42"/>
  <c r="G82" i="41"/>
  <c r="G17" i="41"/>
  <c r="G18" i="41" s="1"/>
  <c r="G38" i="41"/>
  <c r="G75" i="41" s="1"/>
  <c r="G97" i="41" s="1"/>
  <c r="G117" i="41" s="1"/>
  <c r="K67" i="44"/>
  <c r="I122" i="41"/>
  <c r="D102" i="41"/>
  <c r="P161" i="42"/>
  <c r="S175" i="42" s="1"/>
  <c r="I19" i="40"/>
  <c r="D18" i="40"/>
  <c r="D19" i="40" s="1"/>
  <c r="D123" i="44"/>
  <c r="I134" i="44"/>
  <c r="O8" i="40"/>
  <c r="O9" i="40" s="1"/>
  <c r="O18" i="40"/>
  <c r="E7" i="40"/>
  <c r="E8" i="40" s="1"/>
  <c r="L70" i="42"/>
  <c r="O80" i="42" s="1"/>
  <c r="D25" i="44"/>
  <c r="I109" i="44"/>
  <c r="D98" i="44"/>
  <c r="K22" i="40"/>
  <c r="K20" i="40"/>
  <c r="F8" i="40"/>
  <c r="F9" i="40" s="1"/>
  <c r="C7" i="40"/>
  <c r="F18" i="40"/>
  <c r="N20" i="40"/>
  <c r="N22" i="40"/>
  <c r="G98" i="45" s="1"/>
  <c r="G67" i="44"/>
  <c r="I53" i="42"/>
  <c r="I56" i="42"/>
  <c r="I67" i="42"/>
  <c r="L77" i="42" s="1"/>
  <c r="I48" i="42"/>
  <c r="I62" i="42" s="1"/>
  <c r="G77" i="42" s="1"/>
  <c r="I51" i="42"/>
  <c r="I54" i="42"/>
  <c r="I68" i="42" s="1"/>
  <c r="M77" i="42" s="1"/>
  <c r="I40" i="42"/>
  <c r="I49" i="42"/>
  <c r="I63" i="42" s="1"/>
  <c r="H77" i="42" s="1"/>
  <c r="I58" i="42"/>
  <c r="I55" i="42"/>
  <c r="I146" i="42"/>
  <c r="I47" i="42"/>
  <c r="I61" i="42" s="1"/>
  <c r="F77" i="42" s="1"/>
  <c r="I57" i="42"/>
  <c r="I71" i="42" s="1"/>
  <c r="P77" i="42" s="1"/>
  <c r="I52" i="42"/>
  <c r="N146" i="44"/>
  <c r="D9" i="40"/>
  <c r="B45" i="44"/>
  <c r="N161" i="42"/>
  <c r="S173" i="42" s="1"/>
  <c r="O176" i="8"/>
  <c r="E157" i="8"/>
  <c r="J161" i="42"/>
  <c r="S169" i="42" s="1"/>
  <c r="J160" i="42"/>
  <c r="O107" i="44"/>
  <c r="O111" i="44" s="1"/>
  <c r="O100" i="44"/>
  <c r="O104" i="44" s="1"/>
  <c r="O105" i="44" s="1"/>
  <c r="I27" i="44"/>
  <c r="D27" i="44" s="1"/>
  <c r="D26" i="44"/>
  <c r="N26" i="39"/>
  <c r="N27" i="39" s="1"/>
  <c r="N29" i="39" s="1"/>
  <c r="I170" i="8"/>
  <c r="G20" i="40"/>
  <c r="G22" i="40"/>
  <c r="K117" i="35"/>
  <c r="D115" i="35"/>
  <c r="B139" i="8"/>
  <c r="B33" i="8"/>
  <c r="B147" i="8"/>
  <c r="B123" i="8"/>
  <c r="B127" i="8"/>
  <c r="B132" i="8"/>
  <c r="M147" i="8"/>
  <c r="B137" i="8"/>
  <c r="B80" i="41" s="1"/>
  <c r="H147" i="8"/>
  <c r="J147" i="8"/>
  <c r="L147" i="8"/>
  <c r="P147" i="8"/>
  <c r="Q147" i="8"/>
  <c r="N147" i="8"/>
  <c r="G147" i="8"/>
  <c r="K147" i="8"/>
  <c r="I147" i="8"/>
  <c r="G145" i="44"/>
  <c r="M57" i="35"/>
  <c r="M58" i="35" s="1"/>
  <c r="F37" i="44"/>
  <c r="B51" i="44"/>
  <c r="O145" i="44"/>
  <c r="H59" i="44"/>
  <c r="H60" i="44" s="1"/>
  <c r="L67" i="44"/>
  <c r="L69" i="44" s="1"/>
  <c r="M107" i="44"/>
  <c r="M100" i="44"/>
  <c r="M104" i="44" s="1"/>
  <c r="K20" i="39"/>
  <c r="K21" i="39" s="1"/>
  <c r="K25" i="39"/>
  <c r="K26" i="39" s="1"/>
  <c r="N68" i="44"/>
  <c r="C26" i="44"/>
  <c r="F27" i="44"/>
  <c r="C27" i="44" s="1"/>
  <c r="N58" i="44"/>
  <c r="J107" i="44"/>
  <c r="J111" i="44" s="1"/>
  <c r="J100" i="44"/>
  <c r="J104" i="44" s="1"/>
  <c r="N82" i="41"/>
  <c r="O38" i="42"/>
  <c r="O17" i="35"/>
  <c r="O19" i="39"/>
  <c r="F107" i="44"/>
  <c r="C96" i="44"/>
  <c r="F100" i="44"/>
  <c r="F104" i="44" s="1"/>
  <c r="L61" i="42"/>
  <c r="F80" i="42" s="1"/>
  <c r="L161" i="42"/>
  <c r="S171" i="42" s="1"/>
  <c r="L160" i="42"/>
  <c r="Q65" i="42"/>
  <c r="J85" i="42" s="1"/>
  <c r="Q53" i="35"/>
  <c r="Q56" i="35" s="1"/>
  <c r="Q118" i="35"/>
  <c r="Q121" i="35" s="1"/>
  <c r="Q42" i="35"/>
  <c r="Q43" i="35" s="1"/>
  <c r="Q129" i="35"/>
  <c r="B153" i="8"/>
  <c r="C153" i="8"/>
  <c r="S153" i="8"/>
  <c r="T153" i="8"/>
  <c r="U153" i="8"/>
  <c r="V153" i="8"/>
  <c r="F172" i="8"/>
  <c r="Q145" i="44"/>
  <c r="Q147" i="44" s="1"/>
  <c r="P118" i="44"/>
  <c r="N110" i="44"/>
  <c r="E99" i="44"/>
  <c r="B24" i="44"/>
  <c r="B52" i="44"/>
  <c r="O117" i="35"/>
  <c r="E115" i="35"/>
  <c r="H161" i="42"/>
  <c r="S167" i="42" s="1"/>
  <c r="H160" i="42"/>
  <c r="H67" i="44"/>
  <c r="H69" i="44" s="1"/>
  <c r="K19" i="35"/>
  <c r="K39" i="35"/>
  <c r="K21" i="35"/>
  <c r="P59" i="44"/>
  <c r="P60" i="44" s="1"/>
  <c r="L24" i="41"/>
  <c r="L77" i="41" s="1"/>
  <c r="L99" i="41" s="1"/>
  <c r="L119" i="41" s="1"/>
  <c r="L27" i="41"/>
  <c r="L78" i="41" s="1"/>
  <c r="L100" i="41" s="1"/>
  <c r="L120" i="41" s="1"/>
  <c r="N67" i="44"/>
  <c r="N69" i="44" s="1"/>
  <c r="E56" i="44"/>
  <c r="F67" i="44"/>
  <c r="C56" i="44"/>
  <c r="J71" i="42"/>
  <c r="P78" i="42" s="1"/>
  <c r="O172" i="8"/>
  <c r="E153" i="8"/>
  <c r="I159" i="42"/>
  <c r="I72" i="41"/>
  <c r="I94" i="41" s="1"/>
  <c r="D52" i="41"/>
  <c r="I60" i="41"/>
  <c r="J53" i="35"/>
  <c r="J56" i="35" s="1"/>
  <c r="J118" i="35"/>
  <c r="J121" i="35" s="1"/>
  <c r="J42" i="35"/>
  <c r="J43" i="35" s="1"/>
  <c r="J129" i="35"/>
  <c r="N129" i="35"/>
  <c r="N53" i="35"/>
  <c r="N42" i="35"/>
  <c r="N118" i="35"/>
  <c r="N159" i="42"/>
  <c r="N160" i="42" s="1"/>
  <c r="N72" i="41"/>
  <c r="N94" i="41" s="1"/>
  <c r="E52" i="41"/>
  <c r="N60" i="41"/>
  <c r="I57" i="44"/>
  <c r="I47" i="44"/>
  <c r="C115" i="35"/>
  <c r="F117" i="35"/>
  <c r="F108" i="44"/>
  <c r="C97" i="44"/>
  <c r="I112" i="41"/>
  <c r="D92" i="41"/>
  <c r="C96" i="41"/>
  <c r="B96" i="41"/>
  <c r="F116" i="41"/>
  <c r="L72" i="42"/>
  <c r="Q80" i="42" s="1"/>
  <c r="L65" i="42"/>
  <c r="J80" i="42" s="1"/>
  <c r="M161" i="42"/>
  <c r="S172" i="42" s="1"/>
  <c r="M160" i="42"/>
  <c r="N38" i="44"/>
  <c r="N55" i="41"/>
  <c r="D38" i="42"/>
  <c r="D40" i="42" s="1"/>
  <c r="D17" i="35"/>
  <c r="H61" i="42"/>
  <c r="F76" i="42" s="1"/>
  <c r="L129" i="35"/>
  <c r="L118" i="35"/>
  <c r="L121" i="35" s="1"/>
  <c r="L42" i="35"/>
  <c r="L43" i="35" s="1"/>
  <c r="L53" i="35"/>
  <c r="L56" i="35" s="1"/>
  <c r="Q67" i="42"/>
  <c r="L85" i="42" s="1"/>
  <c r="Q69" i="42"/>
  <c r="N85" i="42" s="1"/>
  <c r="I78" i="44"/>
  <c r="H27" i="39"/>
  <c r="H29" i="39" s="1"/>
  <c r="F38" i="42"/>
  <c r="F19" i="39"/>
  <c r="F17" i="35"/>
  <c r="Q136" i="44"/>
  <c r="N107" i="44"/>
  <c r="E96" i="44"/>
  <c r="N100" i="44"/>
  <c r="C35" i="44"/>
  <c r="F46" i="44"/>
  <c r="F47" i="44" s="1"/>
  <c r="P70" i="42"/>
  <c r="O84" i="42" s="1"/>
  <c r="P72" i="42"/>
  <c r="Q84" i="42" s="1"/>
  <c r="K66" i="44"/>
  <c r="G19" i="35"/>
  <c r="G21" i="35"/>
  <c r="G39" i="35"/>
  <c r="G40" i="45" s="1"/>
  <c r="K40" i="42"/>
  <c r="K55" i="42"/>
  <c r="K69" i="42" s="1"/>
  <c r="N79" i="42" s="1"/>
  <c r="K58" i="42"/>
  <c r="K72" i="42" s="1"/>
  <c r="Q79" i="42" s="1"/>
  <c r="K47" i="42"/>
  <c r="K61" i="42" s="1"/>
  <c r="F79" i="42" s="1"/>
  <c r="K53" i="42"/>
  <c r="K67" i="42" s="1"/>
  <c r="L79" i="42" s="1"/>
  <c r="K56" i="42"/>
  <c r="K70" i="42" s="1"/>
  <c r="O79" i="42" s="1"/>
  <c r="K50" i="42"/>
  <c r="K48" i="42"/>
  <c r="K148" i="42"/>
  <c r="K57" i="42"/>
  <c r="K71" i="42" s="1"/>
  <c r="P79" i="42" s="1"/>
  <c r="K51" i="42"/>
  <c r="K65" i="42" s="1"/>
  <c r="J79" i="42" s="1"/>
  <c r="K54" i="42"/>
  <c r="K49" i="42"/>
  <c r="K63" i="42" s="1"/>
  <c r="H79" i="42" s="1"/>
  <c r="P67" i="44"/>
  <c r="P69" i="44" s="1"/>
  <c r="G107" i="44"/>
  <c r="G111" i="44" s="1"/>
  <c r="G100" i="44"/>
  <c r="G104" i="44" s="1"/>
  <c r="G105" i="44" s="1"/>
  <c r="M145" i="44"/>
  <c r="M147" i="44" s="1"/>
  <c r="K107" i="44"/>
  <c r="K111" i="44" s="1"/>
  <c r="K100" i="44"/>
  <c r="K104" i="44" s="1"/>
  <c r="K105" i="44" s="1"/>
  <c r="Q161" i="42"/>
  <c r="S176" i="42" s="1"/>
  <c r="Q160" i="42"/>
  <c r="L145" i="44"/>
  <c r="L147" i="44" s="1"/>
  <c r="O80" i="41"/>
  <c r="O102" i="41" s="1"/>
  <c r="O167" i="8"/>
  <c r="O151" i="8" s="1"/>
  <c r="N67" i="42"/>
  <c r="L82" i="42" s="1"/>
  <c r="N72" i="42"/>
  <c r="Q82" i="42" s="1"/>
  <c r="F109" i="44"/>
  <c r="C98" i="44"/>
  <c r="G124" i="44"/>
  <c r="G125" i="44" s="1"/>
  <c r="L107" i="44"/>
  <c r="L111" i="44" s="1"/>
  <c r="L100" i="44"/>
  <c r="L104" i="44" s="1"/>
  <c r="F124" i="44"/>
  <c r="F125" i="44" s="1"/>
  <c r="C113" i="44"/>
  <c r="F176" i="8"/>
  <c r="S157" i="8"/>
  <c r="T157" i="8"/>
  <c r="B157" i="8"/>
  <c r="C157" i="8"/>
  <c r="V157" i="8"/>
  <c r="U157" i="8"/>
  <c r="N108" i="44"/>
  <c r="E97" i="44"/>
  <c r="K170" i="8"/>
  <c r="P65" i="42"/>
  <c r="J84" i="42" s="1"/>
  <c r="P67" i="42"/>
  <c r="L84" i="42" s="1"/>
  <c r="G20" i="39"/>
  <c r="G21" i="39" s="1"/>
  <c r="G25" i="39"/>
  <c r="G26" i="39" s="1"/>
  <c r="B112" i="44"/>
  <c r="H118" i="44"/>
  <c r="Q67" i="44"/>
  <c r="E139" i="8"/>
  <c r="E33" i="8"/>
  <c r="E123" i="8"/>
  <c r="E127" i="8"/>
  <c r="E147" i="8"/>
  <c r="E132" i="8"/>
  <c r="E137" i="8"/>
  <c r="E80" i="41" s="1"/>
  <c r="O46" i="44"/>
  <c r="O47" i="44" s="1"/>
  <c r="E35" i="44"/>
  <c r="N70" i="42"/>
  <c r="O82" i="42" s="1"/>
  <c r="N68" i="42"/>
  <c r="M82" i="42" s="1"/>
  <c r="M67" i="44"/>
  <c r="M69" i="44" s="1"/>
  <c r="O26" i="44"/>
  <c r="E25" i="44"/>
  <c r="F110" i="44"/>
  <c r="C99" i="44"/>
  <c r="D11" i="41"/>
  <c r="D70" i="41"/>
  <c r="N134" i="44"/>
  <c r="N136" i="44" s="1"/>
  <c r="E123" i="44"/>
  <c r="L69" i="42"/>
  <c r="N80" i="42" s="1"/>
  <c r="P145" i="44"/>
  <c r="P147" i="44" s="1"/>
  <c r="I110" i="44"/>
  <c r="D99" i="44"/>
  <c r="K124" i="44"/>
  <c r="H65" i="42"/>
  <c r="J76" i="42" s="1"/>
  <c r="H72" i="42"/>
  <c r="Q76" i="42" s="1"/>
  <c r="H69" i="42"/>
  <c r="N76" i="42" s="1"/>
  <c r="Q68" i="42"/>
  <c r="M85" i="42" s="1"/>
  <c r="G36" i="44"/>
  <c r="F159" i="42"/>
  <c r="F72" i="41"/>
  <c r="F60" i="41"/>
  <c r="C52" i="41"/>
  <c r="B162" i="8"/>
  <c r="T162" i="8"/>
  <c r="U162" i="8"/>
  <c r="V162" i="8"/>
  <c r="C162" i="8"/>
  <c r="S162" i="8"/>
  <c r="F181" i="8"/>
  <c r="C139" i="8"/>
  <c r="C123" i="8"/>
  <c r="C33" i="8"/>
  <c r="C127" i="8"/>
  <c r="C147" i="8"/>
  <c r="C137" i="8"/>
  <c r="C80" i="41" s="1"/>
  <c r="C132" i="8"/>
  <c r="N109" i="44"/>
  <c r="E98" i="44"/>
  <c r="K151" i="8"/>
  <c r="K78" i="44" s="1"/>
  <c r="P69" i="42"/>
  <c r="N84" i="42" s="1"/>
  <c r="P62" i="42"/>
  <c r="G84" i="42" s="1"/>
  <c r="K145" i="44"/>
  <c r="H129" i="35"/>
  <c r="H53" i="35"/>
  <c r="H56" i="35" s="1"/>
  <c r="H118" i="35"/>
  <c r="H121" i="35" s="1"/>
  <c r="H42" i="35"/>
  <c r="H43" i="35" s="1"/>
  <c r="G47" i="42"/>
  <c r="G53" i="42"/>
  <c r="G67" i="42" s="1"/>
  <c r="L75" i="42" s="1"/>
  <c r="G57" i="42"/>
  <c r="G71" i="42" s="1"/>
  <c r="G51" i="42"/>
  <c r="G65" i="42" s="1"/>
  <c r="J75" i="42" s="1"/>
  <c r="G40" i="42"/>
  <c r="G49" i="42"/>
  <c r="G63" i="42" s="1"/>
  <c r="H75" i="42" s="1"/>
  <c r="G56" i="42"/>
  <c r="G70" i="42" s="1"/>
  <c r="O75" i="42" s="1"/>
  <c r="G58" i="42"/>
  <c r="G72" i="42" s="1"/>
  <c r="Q75" i="42" s="1"/>
  <c r="G55" i="42"/>
  <c r="G69" i="42" s="1"/>
  <c r="N75" i="42" s="1"/>
  <c r="G144" i="42"/>
  <c r="G52" i="42"/>
  <c r="G50" i="42"/>
  <c r="G64" i="42" s="1"/>
  <c r="I75" i="42" s="1"/>
  <c r="G54" i="42"/>
  <c r="G68" i="42" s="1"/>
  <c r="M75" i="42" s="1"/>
  <c r="C103" i="44"/>
  <c r="B103" i="44" s="1"/>
  <c r="I116" i="41"/>
  <c r="D96" i="41"/>
  <c r="K82" i="41"/>
  <c r="K158" i="42"/>
  <c r="K17" i="41"/>
  <c r="K18" i="41" s="1"/>
  <c r="K38" i="41"/>
  <c r="K75" i="41" s="1"/>
  <c r="K97" i="41" s="1"/>
  <c r="K117" i="41" s="1"/>
  <c r="J72" i="42"/>
  <c r="Q78" i="42" s="1"/>
  <c r="J70" i="42"/>
  <c r="O78" i="42" s="1"/>
  <c r="N117" i="41"/>
  <c r="O114" i="44"/>
  <c r="O181" i="8"/>
  <c r="E162" i="8"/>
  <c r="O46" i="41"/>
  <c r="O61" i="41" s="1"/>
  <c r="O62" i="41" s="1"/>
  <c r="O11" i="41"/>
  <c r="O70" i="41"/>
  <c r="O92" i="41" s="1"/>
  <c r="E40" i="41"/>
  <c r="P159" i="42"/>
  <c r="P160" i="42" s="1"/>
  <c r="P72" i="41"/>
  <c r="P94" i="41" s="1"/>
  <c r="P114" i="41" s="1"/>
  <c r="P60" i="41"/>
  <c r="P61" i="41" s="1"/>
  <c r="P62" i="41" s="1"/>
  <c r="N65" i="42"/>
  <c r="J82" i="42" s="1"/>
  <c r="N63" i="42"/>
  <c r="H82" i="42" s="1"/>
  <c r="K36" i="44"/>
  <c r="Q59" i="44" l="1"/>
  <c r="Q60" i="44" s="1"/>
  <c r="Q27" i="41"/>
  <c r="Q78" i="41" s="1"/>
  <c r="Q100" i="41" s="1"/>
  <c r="Q120" i="41" s="1"/>
  <c r="Q69" i="44"/>
  <c r="J75" i="45" s="1"/>
  <c r="I75" i="45"/>
  <c r="P115" i="44"/>
  <c r="P116" i="44" s="1"/>
  <c r="H115" i="44"/>
  <c r="H116" i="44" s="1"/>
  <c r="E66" i="44"/>
  <c r="F81" i="45"/>
  <c r="F98" i="45"/>
  <c r="D46" i="44"/>
  <c r="B113" i="44"/>
  <c r="G85" i="45"/>
  <c r="G81" i="45"/>
  <c r="N43" i="35"/>
  <c r="G37" i="44"/>
  <c r="G38" i="44" s="1"/>
  <c r="B55" i="44"/>
  <c r="B56" i="44"/>
  <c r="C67" i="44"/>
  <c r="C37" i="41"/>
  <c r="C74" i="41" s="1"/>
  <c r="M70" i="44"/>
  <c r="M71" i="44" s="1"/>
  <c r="J70" i="44"/>
  <c r="J71" i="44" s="1"/>
  <c r="H70" i="44"/>
  <c r="H71" i="44" s="1"/>
  <c r="D66" i="44"/>
  <c r="L70" i="44"/>
  <c r="L71" i="44" s="1"/>
  <c r="B62" i="44"/>
  <c r="P70" i="44"/>
  <c r="P71" i="44" s="1"/>
  <c r="B25" i="44"/>
  <c r="F111" i="44"/>
  <c r="C111" i="44" s="1"/>
  <c r="L57" i="35"/>
  <c r="L58" i="35" s="1"/>
  <c r="Q57" i="35"/>
  <c r="Q58" i="35" s="1"/>
  <c r="H57" i="35"/>
  <c r="H58" i="35" s="1"/>
  <c r="P57" i="35"/>
  <c r="P58" i="35" s="1"/>
  <c r="B115" i="35"/>
  <c r="O78" i="44"/>
  <c r="E151" i="8"/>
  <c r="E78" i="44" s="1"/>
  <c r="F48" i="44"/>
  <c r="K37" i="44"/>
  <c r="K48" i="44" s="1"/>
  <c r="K49" i="44" s="1"/>
  <c r="D36" i="44"/>
  <c r="O112" i="41"/>
  <c r="E92" i="41"/>
  <c r="C125" i="44"/>
  <c r="B52" i="41"/>
  <c r="C72" i="41"/>
  <c r="C159" i="42"/>
  <c r="K135" i="44"/>
  <c r="K136" i="44" s="1"/>
  <c r="F121" i="44"/>
  <c r="C110" i="44"/>
  <c r="H129" i="44"/>
  <c r="H133" i="44" s="1"/>
  <c r="N118" i="44"/>
  <c r="E107" i="44"/>
  <c r="B97" i="44"/>
  <c r="E72" i="41"/>
  <c r="E159" i="42"/>
  <c r="Q123" i="35"/>
  <c r="Q122" i="35"/>
  <c r="M118" i="44"/>
  <c r="C36" i="44"/>
  <c r="D20" i="40"/>
  <c r="D22" i="40"/>
  <c r="I146" i="44"/>
  <c r="D39" i="35"/>
  <c r="D42" i="35" s="1"/>
  <c r="I42" i="35"/>
  <c r="I43" i="35" s="1"/>
  <c r="I118" i="35"/>
  <c r="I53" i="35"/>
  <c r="I129" i="35"/>
  <c r="F82" i="41"/>
  <c r="F158" i="42"/>
  <c r="F17" i="41"/>
  <c r="F18" i="41" s="1"/>
  <c r="C46" i="41"/>
  <c r="F38" i="41"/>
  <c r="F75" i="41" s="1"/>
  <c r="F97" i="41" s="1"/>
  <c r="G57" i="44"/>
  <c r="G58" i="44" s="1"/>
  <c r="I117" i="41"/>
  <c r="D97" i="41"/>
  <c r="N120" i="44"/>
  <c r="E109" i="44"/>
  <c r="F61" i="41"/>
  <c r="C60" i="41"/>
  <c r="N119" i="44"/>
  <c r="E108" i="44"/>
  <c r="G135" i="44"/>
  <c r="G136" i="44" s="1"/>
  <c r="G53" i="35"/>
  <c r="G56" i="35" s="1"/>
  <c r="G118" i="35"/>
  <c r="G121" i="35" s="1"/>
  <c r="G42" i="35"/>
  <c r="G129" i="35"/>
  <c r="F119" i="44"/>
  <c r="C108" i="44"/>
  <c r="N114" i="41"/>
  <c r="E94" i="41"/>
  <c r="N121" i="44"/>
  <c r="E110" i="44"/>
  <c r="F38" i="44"/>
  <c r="F55" i="41"/>
  <c r="I20" i="40"/>
  <c r="I22" i="40"/>
  <c r="P123" i="35"/>
  <c r="P122" i="35"/>
  <c r="D17" i="41"/>
  <c r="D18" i="41" s="1"/>
  <c r="D158" i="42"/>
  <c r="D38" i="41"/>
  <c r="D75" i="41" s="1"/>
  <c r="F105" i="44"/>
  <c r="C105" i="44" s="1"/>
  <c r="C104" i="44"/>
  <c r="F94" i="41"/>
  <c r="T72" i="41"/>
  <c r="U72" i="41"/>
  <c r="V72" i="41"/>
  <c r="W72" i="41"/>
  <c r="I121" i="44"/>
  <c r="D110" i="44"/>
  <c r="O27" i="44"/>
  <c r="E27" i="44" s="1"/>
  <c r="B27" i="44" s="1"/>
  <c r="E26" i="44"/>
  <c r="B26" i="44" s="1"/>
  <c r="E38" i="42"/>
  <c r="E40" i="42" s="1"/>
  <c r="E17" i="35"/>
  <c r="G27" i="39"/>
  <c r="G29" i="39" s="1"/>
  <c r="F135" i="44"/>
  <c r="F136" i="44" s="1"/>
  <c r="C124" i="44"/>
  <c r="K62" i="42"/>
  <c r="G79" i="42" s="1"/>
  <c r="F21" i="35"/>
  <c r="F19" i="35"/>
  <c r="F39" i="35"/>
  <c r="C117" i="35"/>
  <c r="F120" i="35"/>
  <c r="C120" i="35" s="1"/>
  <c r="J122" i="35"/>
  <c r="J123" i="35"/>
  <c r="P129" i="44"/>
  <c r="P133" i="44" s="1"/>
  <c r="C100" i="44"/>
  <c r="E9" i="40"/>
  <c r="I58" i="44"/>
  <c r="E134" i="44"/>
  <c r="N145" i="44"/>
  <c r="E145" i="44" s="1"/>
  <c r="E47" i="44"/>
  <c r="L105" i="44"/>
  <c r="L115" i="44"/>
  <c r="B98" i="44"/>
  <c r="O37" i="44"/>
  <c r="G118" i="44"/>
  <c r="F57" i="44"/>
  <c r="C46" i="44"/>
  <c r="F20" i="39"/>
  <c r="F21" i="39" s="1"/>
  <c r="C19" i="39"/>
  <c r="F25" i="39"/>
  <c r="N121" i="35"/>
  <c r="J57" i="35"/>
  <c r="J58" i="35" s="1"/>
  <c r="K42" i="35"/>
  <c r="K43" i="35" s="1"/>
  <c r="K118" i="35"/>
  <c r="K53" i="35"/>
  <c r="K56" i="35" s="1"/>
  <c r="K129" i="35"/>
  <c r="P122" i="44"/>
  <c r="B96" i="44"/>
  <c r="J105" i="44"/>
  <c r="J115" i="44"/>
  <c r="O19" i="40"/>
  <c r="E18" i="40"/>
  <c r="E19" i="40" s="1"/>
  <c r="B123" i="44"/>
  <c r="I161" i="42"/>
  <c r="S168" i="42" s="1"/>
  <c r="I160" i="42"/>
  <c r="G115" i="44"/>
  <c r="G116" i="44" s="1"/>
  <c r="I27" i="41"/>
  <c r="I78" i="41" s="1"/>
  <c r="I100" i="41" s="1"/>
  <c r="I24" i="41"/>
  <c r="I77" i="41" s="1"/>
  <c r="I99" i="41" s="1"/>
  <c r="K161" i="42"/>
  <c r="S170" i="42" s="1"/>
  <c r="K160" i="42"/>
  <c r="O57" i="44"/>
  <c r="O58" i="44" s="1"/>
  <c r="E58" i="44" s="1"/>
  <c r="E46" i="44"/>
  <c r="F120" i="44"/>
  <c r="C109" i="44"/>
  <c r="O186" i="8"/>
  <c r="E167" i="8"/>
  <c r="B35" i="44"/>
  <c r="F48" i="42"/>
  <c r="F54" i="42"/>
  <c r="F68" i="42" s="1"/>
  <c r="M74" i="42" s="1"/>
  <c r="F57" i="42"/>
  <c r="F51" i="42"/>
  <c r="F65" i="42" s="1"/>
  <c r="J74" i="42" s="1"/>
  <c r="F40" i="42"/>
  <c r="F49" i="42"/>
  <c r="F63" i="42" s="1"/>
  <c r="H74" i="42" s="1"/>
  <c r="F52" i="42"/>
  <c r="F55" i="42"/>
  <c r="F69" i="42" s="1"/>
  <c r="N74" i="42" s="1"/>
  <c r="F58" i="42"/>
  <c r="F50" i="42"/>
  <c r="F56" i="42"/>
  <c r="F70" i="42" s="1"/>
  <c r="O74" i="42" s="1"/>
  <c r="F71" i="42"/>
  <c r="F143" i="42"/>
  <c r="F53" i="42"/>
  <c r="F67" i="42" s="1"/>
  <c r="L74" i="42" s="1"/>
  <c r="D47" i="44"/>
  <c r="I48" i="44"/>
  <c r="D60" i="41"/>
  <c r="I61" i="41"/>
  <c r="O20" i="39"/>
  <c r="O21" i="39" s="1"/>
  <c r="O25" i="39"/>
  <c r="E19" i="39"/>
  <c r="E20" i="39" s="1"/>
  <c r="E21" i="39" s="1"/>
  <c r="K27" i="39"/>
  <c r="K29" i="39" s="1"/>
  <c r="B38" i="42"/>
  <c r="B40" i="42" s="1"/>
  <c r="B17" i="35"/>
  <c r="D67" i="44"/>
  <c r="Q105" i="44"/>
  <c r="Q115" i="44"/>
  <c r="C134" i="44"/>
  <c r="F145" i="44"/>
  <c r="C145" i="44" s="1"/>
  <c r="D100" i="44"/>
  <c r="I104" i="44"/>
  <c r="O82" i="41"/>
  <c r="O158" i="42"/>
  <c r="O17" i="41"/>
  <c r="O18" i="41" s="1"/>
  <c r="O38" i="41"/>
  <c r="O75" i="41" s="1"/>
  <c r="O97" i="41" s="1"/>
  <c r="E46" i="41"/>
  <c r="O115" i="44"/>
  <c r="O116" i="44" s="1"/>
  <c r="E114" i="44"/>
  <c r="B114" i="44" s="1"/>
  <c r="H123" i="35"/>
  <c r="H122" i="35"/>
  <c r="L118" i="44"/>
  <c r="L122" i="44" s="1"/>
  <c r="O122" i="41"/>
  <c r="E102" i="41"/>
  <c r="K118" i="44"/>
  <c r="E100" i="44"/>
  <c r="N104" i="44"/>
  <c r="D19" i="35"/>
  <c r="D21" i="35"/>
  <c r="I68" i="44"/>
  <c r="N56" i="35"/>
  <c r="N57" i="35" s="1"/>
  <c r="D72" i="41"/>
  <c r="D159" i="42"/>
  <c r="F78" i="44"/>
  <c r="B151" i="8"/>
  <c r="B78" i="44" s="1"/>
  <c r="C151" i="8"/>
  <c r="C78" i="44" s="1"/>
  <c r="F118" i="44"/>
  <c r="C107" i="44"/>
  <c r="O19" i="35"/>
  <c r="O39" i="35"/>
  <c r="O21" i="35"/>
  <c r="J118" i="44"/>
  <c r="J122" i="44" s="1"/>
  <c r="O118" i="44"/>
  <c r="I70" i="42"/>
  <c r="O77" i="42" s="1"/>
  <c r="I120" i="44"/>
  <c r="D109" i="44"/>
  <c r="D134" i="44"/>
  <c r="I145" i="44"/>
  <c r="D145" i="44" s="1"/>
  <c r="F92" i="41"/>
  <c r="T70" i="41"/>
  <c r="U70" i="41"/>
  <c r="V70" i="41"/>
  <c r="W70" i="41"/>
  <c r="I119" i="44"/>
  <c r="D108" i="44"/>
  <c r="K57" i="44"/>
  <c r="K58" i="44"/>
  <c r="B167" i="8"/>
  <c r="F186" i="8"/>
  <c r="F170" i="8" s="1"/>
  <c r="S167" i="8"/>
  <c r="C167" i="8"/>
  <c r="T167" i="8"/>
  <c r="U167" i="8"/>
  <c r="V167" i="8"/>
  <c r="C38" i="42"/>
  <c r="C40" i="42" s="1"/>
  <c r="C17" i="35"/>
  <c r="K64" i="42"/>
  <c r="I79" i="42" s="1"/>
  <c r="D151" i="8"/>
  <c r="D78" i="44" s="1"/>
  <c r="I114" i="41"/>
  <c r="D94" i="41"/>
  <c r="E67" i="44"/>
  <c r="O48" i="42"/>
  <c r="O62" i="42" s="1"/>
  <c r="G83" i="42" s="1"/>
  <c r="O54" i="42"/>
  <c r="O57" i="42"/>
  <c r="O51" i="42"/>
  <c r="O40" i="42"/>
  <c r="O52" i="42"/>
  <c r="O55" i="42"/>
  <c r="O58" i="42"/>
  <c r="O53" i="42"/>
  <c r="O67" i="42" s="1"/>
  <c r="L83" i="42" s="1"/>
  <c r="O61" i="42"/>
  <c r="F83" i="42" s="1"/>
  <c r="O50" i="42"/>
  <c r="O49" i="42"/>
  <c r="O63" i="42" s="1"/>
  <c r="H83" i="42" s="1"/>
  <c r="O152" i="42"/>
  <c r="O47" i="42"/>
  <c r="N59" i="44"/>
  <c r="N70" i="44" s="1"/>
  <c r="M105" i="44"/>
  <c r="I65" i="42"/>
  <c r="J77" i="42" s="1"/>
  <c r="C18" i="40"/>
  <c r="F19" i="40"/>
  <c r="G161" i="42"/>
  <c r="S166" i="42" s="1"/>
  <c r="G160" i="42"/>
  <c r="Q118" i="44"/>
  <c r="I26" i="39"/>
  <c r="I27" i="39" s="1"/>
  <c r="I29" i="39" s="1"/>
  <c r="D25" i="39"/>
  <c r="D26" i="39" s="1"/>
  <c r="D27" i="39" s="1"/>
  <c r="D29" i="39" s="1"/>
  <c r="F122" i="41"/>
  <c r="C102" i="41"/>
  <c r="B102" i="41"/>
  <c r="I111" i="44"/>
  <c r="E125" i="44"/>
  <c r="E11" i="41"/>
  <c r="E70" i="41"/>
  <c r="G61" i="42"/>
  <c r="F75" i="42" s="1"/>
  <c r="G66" i="42"/>
  <c r="K75" i="42" s="1"/>
  <c r="K125" i="44"/>
  <c r="B99" i="44"/>
  <c r="H122" i="44"/>
  <c r="K115" i="44"/>
  <c r="K116" i="44" s="1"/>
  <c r="K68" i="42"/>
  <c r="M79" i="42" s="1"/>
  <c r="N111" i="44"/>
  <c r="E111" i="44" s="1"/>
  <c r="L122" i="35"/>
  <c r="L123" i="35"/>
  <c r="N24" i="41"/>
  <c r="N77" i="41" s="1"/>
  <c r="N99" i="41" s="1"/>
  <c r="N27" i="41"/>
  <c r="N78" i="41" s="1"/>
  <c r="N100" i="41" s="1"/>
  <c r="E60" i="41"/>
  <c r="N61" i="41"/>
  <c r="O170" i="8"/>
  <c r="O120" i="35"/>
  <c r="E120" i="35" s="1"/>
  <c r="E117" i="35"/>
  <c r="M111" i="44"/>
  <c r="M115" i="44" s="1"/>
  <c r="K120" i="35"/>
  <c r="D120" i="35" s="1"/>
  <c r="D117" i="35"/>
  <c r="I69" i="42"/>
  <c r="N77" i="42" s="1"/>
  <c r="I72" i="42"/>
  <c r="Q77" i="42" s="1"/>
  <c r="I66" i="42"/>
  <c r="K77" i="42" s="1"/>
  <c r="B7" i="40"/>
  <c r="B8" i="40" s="1"/>
  <c r="B9" i="40" s="1"/>
  <c r="C8" i="40"/>
  <c r="C9" i="40" s="1"/>
  <c r="I136" i="44"/>
  <c r="D124" i="44"/>
  <c r="C11" i="41"/>
  <c r="B40" i="41"/>
  <c r="C70" i="41"/>
  <c r="O135" i="44"/>
  <c r="O136" i="44" s="1"/>
  <c r="E124" i="44"/>
  <c r="G47" i="44"/>
  <c r="I118" i="44"/>
  <c r="D107" i="44"/>
  <c r="H126" i="44" l="1"/>
  <c r="Q70" i="44"/>
  <c r="Q71" i="44" s="1"/>
  <c r="P126" i="44"/>
  <c r="P137" i="44" s="1"/>
  <c r="B66" i="44"/>
  <c r="N58" i="35"/>
  <c r="D135" i="44"/>
  <c r="G55" i="41"/>
  <c r="C55" i="41" s="1"/>
  <c r="C37" i="44"/>
  <c r="G51" i="45"/>
  <c r="I147" i="44"/>
  <c r="K90" i="42"/>
  <c r="K117" i="42" s="1"/>
  <c r="N147" i="44"/>
  <c r="G88" i="42"/>
  <c r="G129" i="42" s="1"/>
  <c r="G143" i="42" s="1"/>
  <c r="F115" i="44"/>
  <c r="C115" i="44" s="1"/>
  <c r="K94" i="42"/>
  <c r="K121" i="42" s="1"/>
  <c r="I122" i="44"/>
  <c r="G55" i="45"/>
  <c r="G48" i="44"/>
  <c r="G49" i="44" s="1"/>
  <c r="F51" i="45"/>
  <c r="F55" i="45"/>
  <c r="B67" i="44"/>
  <c r="G90" i="42"/>
  <c r="G131" i="42" s="1"/>
  <c r="G145" i="42" s="1"/>
  <c r="K59" i="44"/>
  <c r="K60" i="44" s="1"/>
  <c r="G43" i="35"/>
  <c r="G36" i="45"/>
  <c r="M116" i="44"/>
  <c r="N71" i="44"/>
  <c r="C136" i="44"/>
  <c r="K129" i="44"/>
  <c r="D104" i="44"/>
  <c r="I105" i="44"/>
  <c r="D105" i="44" s="1"/>
  <c r="I115" i="44"/>
  <c r="M94" i="42"/>
  <c r="P94" i="42"/>
  <c r="Q94" i="42"/>
  <c r="H94" i="42"/>
  <c r="J94" i="42"/>
  <c r="N94" i="42"/>
  <c r="F131" i="44"/>
  <c r="C120" i="44"/>
  <c r="I120" i="41"/>
  <c r="O20" i="40"/>
  <c r="O22" i="40"/>
  <c r="F68" i="44"/>
  <c r="F69" i="44" s="1"/>
  <c r="C57" i="44"/>
  <c r="G129" i="44"/>
  <c r="F27" i="41"/>
  <c r="F78" i="41" s="1"/>
  <c r="F100" i="41" s="1"/>
  <c r="F24" i="41"/>
  <c r="F77" i="41" s="1"/>
  <c r="F99" i="41" s="1"/>
  <c r="F130" i="44"/>
  <c r="C119" i="44"/>
  <c r="N131" i="44"/>
  <c r="E120" i="44"/>
  <c r="M129" i="44"/>
  <c r="M133" i="44" s="1"/>
  <c r="D136" i="44"/>
  <c r="E61" i="41"/>
  <c r="E62" i="41" s="1"/>
  <c r="N62" i="41"/>
  <c r="F20" i="40"/>
  <c r="F22" i="40"/>
  <c r="O90" i="42"/>
  <c r="O131" i="42" s="1"/>
  <c r="O145" i="42" s="1"/>
  <c r="F112" i="41"/>
  <c r="B92" i="41"/>
  <c r="C92" i="41"/>
  <c r="J129" i="44"/>
  <c r="J133" i="44" s="1"/>
  <c r="K122" i="44"/>
  <c r="M97" i="42"/>
  <c r="P97" i="42"/>
  <c r="H97" i="42"/>
  <c r="J97" i="42"/>
  <c r="N97" i="42"/>
  <c r="Q97" i="42"/>
  <c r="L97" i="42"/>
  <c r="M90" i="42"/>
  <c r="L90" i="42"/>
  <c r="Q90" i="42"/>
  <c r="P90" i="42"/>
  <c r="J90" i="42"/>
  <c r="N90" i="42"/>
  <c r="G97" i="42"/>
  <c r="I97" i="42"/>
  <c r="O38" i="44"/>
  <c r="E38" i="44" s="1"/>
  <c r="O55" i="41"/>
  <c r="E37" i="44"/>
  <c r="E19" i="35"/>
  <c r="E21" i="35"/>
  <c r="C38" i="44"/>
  <c r="F161" i="42"/>
  <c r="S165" i="42" s="1"/>
  <c r="F160" i="42"/>
  <c r="M122" i="44"/>
  <c r="M126" i="44" s="1"/>
  <c r="B110" i="44"/>
  <c r="K68" i="44"/>
  <c r="D68" i="44" s="1"/>
  <c r="D57" i="44"/>
  <c r="E17" i="41"/>
  <c r="E18" i="41" s="1"/>
  <c r="E158" i="42"/>
  <c r="E160" i="42" s="1"/>
  <c r="E38" i="41"/>
  <c r="E75" i="41" s="1"/>
  <c r="B145" i="44"/>
  <c r="F64" i="42"/>
  <c r="I74" i="42" s="1"/>
  <c r="N122" i="35"/>
  <c r="N123" i="35"/>
  <c r="G146" i="44"/>
  <c r="G147" i="44" s="1"/>
  <c r="N129" i="44"/>
  <c r="E118" i="44"/>
  <c r="F132" i="44"/>
  <c r="C121" i="44"/>
  <c r="G94" i="42"/>
  <c r="C47" i="44"/>
  <c r="B47" i="44" s="1"/>
  <c r="D125" i="44"/>
  <c r="M88" i="42"/>
  <c r="L88" i="42"/>
  <c r="N88" i="42"/>
  <c r="P88" i="42"/>
  <c r="Q88" i="42"/>
  <c r="H88" i="42"/>
  <c r="J88" i="42"/>
  <c r="Q129" i="44"/>
  <c r="Q133" i="44" s="1"/>
  <c r="O146" i="44"/>
  <c r="E146" i="44" s="1"/>
  <c r="O147" i="44"/>
  <c r="E135" i="44"/>
  <c r="Q122" i="44"/>
  <c r="Q126" i="44" s="1"/>
  <c r="O66" i="42"/>
  <c r="K83" i="42" s="1"/>
  <c r="O69" i="42"/>
  <c r="N83" i="42" s="1"/>
  <c r="M96" i="42" s="1"/>
  <c r="O53" i="35"/>
  <c r="O118" i="35"/>
  <c r="O129" i="35"/>
  <c r="E129" i="35" s="1"/>
  <c r="O42" i="35"/>
  <c r="O43" i="35" s="1"/>
  <c r="E39" i="35"/>
  <c r="E42" i="35" s="1"/>
  <c r="O117" i="41"/>
  <c r="E97" i="41"/>
  <c r="I94" i="42"/>
  <c r="O26" i="39"/>
  <c r="O27" i="39" s="1"/>
  <c r="O29" i="39" s="1"/>
  <c r="E25" i="39"/>
  <c r="E26" i="39" s="1"/>
  <c r="E27" i="39" s="1"/>
  <c r="E29" i="39" s="1"/>
  <c r="F94" i="42"/>
  <c r="F135" i="42" s="1"/>
  <c r="F72" i="42"/>
  <c r="Q74" i="42" s="1"/>
  <c r="O68" i="44"/>
  <c r="E68" i="44" s="1"/>
  <c r="E57" i="44"/>
  <c r="C25" i="39"/>
  <c r="F26" i="39"/>
  <c r="F27" i="39" s="1"/>
  <c r="F29" i="39" s="1"/>
  <c r="L116" i="44"/>
  <c r="L126" i="44"/>
  <c r="F114" i="41"/>
  <c r="C94" i="41"/>
  <c r="B94" i="41"/>
  <c r="D129" i="35"/>
  <c r="N122" i="44"/>
  <c r="K38" i="44"/>
  <c r="D38" i="44" s="1"/>
  <c r="K55" i="41"/>
  <c r="D37" i="44"/>
  <c r="F49" i="44"/>
  <c r="E136" i="44"/>
  <c r="B18" i="40"/>
  <c r="B19" i="40" s="1"/>
  <c r="C19" i="40"/>
  <c r="N120" i="41"/>
  <c r="K88" i="42"/>
  <c r="D111" i="44"/>
  <c r="B111" i="44" s="1"/>
  <c r="O64" i="42"/>
  <c r="I83" i="42" s="1"/>
  <c r="O72" i="42"/>
  <c r="Q83" i="42" s="1"/>
  <c r="I130" i="44"/>
  <c r="D119" i="44"/>
  <c r="K97" i="42"/>
  <c r="L129" i="44"/>
  <c r="B134" i="44"/>
  <c r="K57" i="35"/>
  <c r="K58" i="35" s="1"/>
  <c r="C20" i="39"/>
  <c r="C21" i="39" s="1"/>
  <c r="B19" i="39"/>
  <c r="B20" i="39" s="1"/>
  <c r="B21" i="39" s="1"/>
  <c r="N132" i="44"/>
  <c r="E121" i="44"/>
  <c r="G123" i="35"/>
  <c r="G122" i="35"/>
  <c r="N130" i="44"/>
  <c r="E119" i="44"/>
  <c r="D53" i="35"/>
  <c r="D56" i="35" s="1"/>
  <c r="D57" i="35" s="1"/>
  <c r="I56" i="35"/>
  <c r="I57" i="35" s="1"/>
  <c r="I58" i="35" s="1"/>
  <c r="K146" i="44"/>
  <c r="K147" i="44" s="1"/>
  <c r="N60" i="44"/>
  <c r="B107" i="44"/>
  <c r="N105" i="44"/>
  <c r="E105" i="44" s="1"/>
  <c r="E104" i="44"/>
  <c r="N115" i="44"/>
  <c r="O161" i="42"/>
  <c r="S174" i="42" s="1"/>
  <c r="O160" i="42"/>
  <c r="Q116" i="44"/>
  <c r="D61" i="41"/>
  <c r="D62" i="41" s="1"/>
  <c r="I62" i="41"/>
  <c r="P74" i="42"/>
  <c r="P75" i="42"/>
  <c r="K121" i="35"/>
  <c r="B100" i="44"/>
  <c r="B120" i="35"/>
  <c r="G57" i="35"/>
  <c r="B60" i="41"/>
  <c r="G68" i="44"/>
  <c r="G69" i="44" s="1"/>
  <c r="D118" i="35"/>
  <c r="D121" i="35" s="1"/>
  <c r="I121" i="35"/>
  <c r="I90" i="42"/>
  <c r="G96" i="42"/>
  <c r="I69" i="44"/>
  <c r="B11" i="41"/>
  <c r="B70" i="41"/>
  <c r="N119" i="41"/>
  <c r="H127" i="44"/>
  <c r="H137" i="44"/>
  <c r="O94" i="42"/>
  <c r="O135" i="42" s="1"/>
  <c r="O149" i="42" s="1"/>
  <c r="I131" i="44"/>
  <c r="D120" i="44"/>
  <c r="O129" i="44"/>
  <c r="O133" i="44" s="1"/>
  <c r="F122" i="44"/>
  <c r="F66" i="42"/>
  <c r="K74" i="42" s="1"/>
  <c r="F90" i="42"/>
  <c r="F131" i="42" s="1"/>
  <c r="I88" i="42"/>
  <c r="F58" i="44"/>
  <c r="O48" i="44"/>
  <c r="O59" i="44" s="1"/>
  <c r="D58" i="44"/>
  <c r="I59" i="44"/>
  <c r="B117" i="35"/>
  <c r="B124" i="44"/>
  <c r="I132" i="44"/>
  <c r="D121" i="44"/>
  <c r="F62" i="41"/>
  <c r="C61" i="41"/>
  <c r="B97" i="41"/>
  <c r="F117" i="41"/>
  <c r="C97" i="41"/>
  <c r="B125" i="44"/>
  <c r="O88" i="42"/>
  <c r="O129" i="42" s="1"/>
  <c r="O143" i="42" s="1"/>
  <c r="O92" i="42"/>
  <c r="O133" i="42" s="1"/>
  <c r="O147" i="42" s="1"/>
  <c r="I129" i="44"/>
  <c r="D118" i="44"/>
  <c r="O71" i="42"/>
  <c r="P83" i="42" s="1"/>
  <c r="O65" i="42"/>
  <c r="J83" i="42" s="1"/>
  <c r="I92" i="42" s="1"/>
  <c r="O68" i="42"/>
  <c r="M83" i="42" s="1"/>
  <c r="N95" i="42" s="1"/>
  <c r="C19" i="35"/>
  <c r="C21" i="35"/>
  <c r="O122" i="44"/>
  <c r="O126" i="44" s="1"/>
  <c r="O127" i="44" s="1"/>
  <c r="F129" i="44"/>
  <c r="C118" i="44"/>
  <c r="B19" i="35"/>
  <c r="B21" i="35"/>
  <c r="D48" i="44"/>
  <c r="I49" i="44"/>
  <c r="D49" i="44" s="1"/>
  <c r="F97" i="42"/>
  <c r="F138" i="42" s="1"/>
  <c r="F62" i="42"/>
  <c r="G74" i="42" s="1"/>
  <c r="B109" i="44"/>
  <c r="I119" i="41"/>
  <c r="E20" i="40"/>
  <c r="E22" i="40"/>
  <c r="J116" i="44"/>
  <c r="J126" i="44"/>
  <c r="B46" i="44"/>
  <c r="G122" i="44"/>
  <c r="G126" i="44" s="1"/>
  <c r="P140" i="44"/>
  <c r="P144" i="44" s="1"/>
  <c r="F53" i="35"/>
  <c r="F118" i="35"/>
  <c r="F42" i="35"/>
  <c r="F43" i="35" s="1"/>
  <c r="F129" i="35"/>
  <c r="C129" i="35" s="1"/>
  <c r="C39" i="35"/>
  <c r="F146" i="44"/>
  <c r="C146" i="44" s="1"/>
  <c r="C135" i="44"/>
  <c r="D160" i="42"/>
  <c r="B108" i="44"/>
  <c r="C17" i="41"/>
  <c r="C18" i="41" s="1"/>
  <c r="B46" i="41"/>
  <c r="C158" i="42"/>
  <c r="C160" i="42" s="1"/>
  <c r="C38" i="41"/>
  <c r="C75" i="41" s="1"/>
  <c r="D43" i="35"/>
  <c r="B36" i="44"/>
  <c r="H140" i="44"/>
  <c r="H144" i="44" s="1"/>
  <c r="B72" i="41"/>
  <c r="B159" i="42"/>
  <c r="P127" i="44" l="1"/>
  <c r="F77" i="45"/>
  <c r="G115" i="42"/>
  <c r="G101" i="42"/>
  <c r="F116" i="44"/>
  <c r="C116" i="44" s="1"/>
  <c r="K103" i="42"/>
  <c r="K135" i="42"/>
  <c r="K149" i="42" s="1"/>
  <c r="K107" i="42"/>
  <c r="K131" i="42"/>
  <c r="K145" i="42" s="1"/>
  <c r="F107" i="42"/>
  <c r="G27" i="41"/>
  <c r="G78" i="41" s="1"/>
  <c r="G100" i="41" s="1"/>
  <c r="G120" i="41" s="1"/>
  <c r="C48" i="44"/>
  <c r="C49" i="44"/>
  <c r="O91" i="42"/>
  <c r="O132" i="42" s="1"/>
  <c r="O146" i="42" s="1"/>
  <c r="O115" i="42"/>
  <c r="G24" i="41"/>
  <c r="G77" i="41" s="1"/>
  <c r="G99" i="41" s="1"/>
  <c r="G119" i="41" s="1"/>
  <c r="E43" i="35"/>
  <c r="G103" i="42"/>
  <c r="K96" i="42"/>
  <c r="K137" i="42" s="1"/>
  <c r="K151" i="42" s="1"/>
  <c r="G117" i="42"/>
  <c r="F96" i="42"/>
  <c r="F137" i="42" s="1"/>
  <c r="F151" i="42" s="1"/>
  <c r="F98" i="42"/>
  <c r="F111" i="42" s="1"/>
  <c r="F126" i="44"/>
  <c r="C126" i="44" s="1"/>
  <c r="G59" i="44"/>
  <c r="G60" i="44" s="1"/>
  <c r="B37" i="44"/>
  <c r="F103" i="42"/>
  <c r="O98" i="42"/>
  <c r="O139" i="42" s="1"/>
  <c r="O153" i="42" s="1"/>
  <c r="O69" i="44"/>
  <c r="O70" i="44" s="1"/>
  <c r="B135" i="44"/>
  <c r="K69" i="44"/>
  <c r="K70" i="44" s="1"/>
  <c r="K71" i="44" s="1"/>
  <c r="B105" i="44"/>
  <c r="G58" i="35"/>
  <c r="F91" i="42"/>
  <c r="F104" i="42" s="1"/>
  <c r="I96" i="42"/>
  <c r="I137" i="42" s="1"/>
  <c r="D122" i="44"/>
  <c r="B104" i="44"/>
  <c r="K126" i="44"/>
  <c r="K127" i="44" s="1"/>
  <c r="O101" i="42"/>
  <c r="N133" i="44"/>
  <c r="E133" i="44" s="1"/>
  <c r="O117" i="42"/>
  <c r="O103" i="42"/>
  <c r="B129" i="35"/>
  <c r="O164" i="42"/>
  <c r="O165" i="42" s="1"/>
  <c r="O166" i="42" s="1"/>
  <c r="M127" i="44"/>
  <c r="M137" i="44"/>
  <c r="O60" i="44"/>
  <c r="E60" i="44" s="1"/>
  <c r="E59" i="44"/>
  <c r="M137" i="42"/>
  <c r="M151" i="42" s="1"/>
  <c r="M123" i="42"/>
  <c r="M109" i="42"/>
  <c r="C69" i="44"/>
  <c r="N136" i="42"/>
  <c r="N122" i="42"/>
  <c r="N108" i="42"/>
  <c r="D147" i="44"/>
  <c r="G127" i="44"/>
  <c r="O105" i="42"/>
  <c r="N116" i="44"/>
  <c r="E116" i="44" s="1"/>
  <c r="E115" i="44"/>
  <c r="N126" i="44"/>
  <c r="N143" i="44"/>
  <c r="E143" i="44" s="1"/>
  <c r="E132" i="44"/>
  <c r="L140" i="44"/>
  <c r="L144" i="44" s="1"/>
  <c r="L129" i="42"/>
  <c r="L143" i="42" s="1"/>
  <c r="L115" i="42"/>
  <c r="L101" i="42"/>
  <c r="C132" i="44"/>
  <c r="F143" i="44"/>
  <c r="C143" i="44" s="1"/>
  <c r="H92" i="42"/>
  <c r="O95" i="42"/>
  <c r="H164" i="42"/>
  <c r="Q164" i="42"/>
  <c r="M164" i="42"/>
  <c r="P164" i="42"/>
  <c r="J164" i="42"/>
  <c r="N164" i="42"/>
  <c r="L164" i="42"/>
  <c r="G164" i="42"/>
  <c r="I164" i="42"/>
  <c r="K164" i="42"/>
  <c r="G138" i="42"/>
  <c r="G152" i="42" s="1"/>
  <c r="G110" i="42"/>
  <c r="G124" i="42"/>
  <c r="L96" i="42"/>
  <c r="N138" i="42"/>
  <c r="N110" i="42"/>
  <c r="N124" i="42"/>
  <c r="N142" i="44"/>
  <c r="E142" i="44" s="1"/>
  <c r="E131" i="44"/>
  <c r="G140" i="44"/>
  <c r="G144" i="44" s="1"/>
  <c r="M135" i="42"/>
  <c r="M149" i="42" s="1"/>
  <c r="M121" i="42"/>
  <c r="M107" i="42"/>
  <c r="K140" i="44"/>
  <c r="K144" i="44" s="1"/>
  <c r="K95" i="42"/>
  <c r="D59" i="44"/>
  <c r="I60" i="44"/>
  <c r="D60" i="44" s="1"/>
  <c r="I142" i="44"/>
  <c r="D142" i="44" s="1"/>
  <c r="D131" i="44"/>
  <c r="K138" i="42"/>
  <c r="K152" i="42" s="1"/>
  <c r="K124" i="42"/>
  <c r="K110" i="42"/>
  <c r="F149" i="42"/>
  <c r="M129" i="42"/>
  <c r="M143" i="42" s="1"/>
  <c r="M115" i="42"/>
  <c r="M101" i="42"/>
  <c r="P138" i="44"/>
  <c r="P148" i="44"/>
  <c r="P149" i="44" s="1"/>
  <c r="N92" i="42"/>
  <c r="B38" i="44"/>
  <c r="J96" i="42"/>
  <c r="J138" i="42"/>
  <c r="J152" i="42" s="1"/>
  <c r="J124" i="42"/>
  <c r="J110" i="42"/>
  <c r="O96" i="42"/>
  <c r="B119" i="44"/>
  <c r="G133" i="44"/>
  <c r="G137" i="44" s="1"/>
  <c r="B120" i="44"/>
  <c r="B136" i="44"/>
  <c r="I95" i="42"/>
  <c r="F145" i="42"/>
  <c r="C131" i="42"/>
  <c r="O121" i="42"/>
  <c r="F95" i="42"/>
  <c r="Q127" i="44"/>
  <c r="Q137" i="44"/>
  <c r="D58" i="35"/>
  <c r="Q140" i="44"/>
  <c r="Q144" i="44" s="1"/>
  <c r="O137" i="44"/>
  <c r="O138" i="44" s="1"/>
  <c r="P92" i="42"/>
  <c r="N131" i="42"/>
  <c r="N117" i="42"/>
  <c r="N103" i="42"/>
  <c r="Q96" i="42"/>
  <c r="H138" i="42"/>
  <c r="H152" i="42" s="1"/>
  <c r="H124" i="42"/>
  <c r="H110" i="42"/>
  <c r="C130" i="44"/>
  <c r="F141" i="44"/>
  <c r="C141" i="44" s="1"/>
  <c r="F142" i="44"/>
  <c r="C142" i="44" s="1"/>
  <c r="C131" i="44"/>
  <c r="J95" i="42"/>
  <c r="M89" i="42"/>
  <c r="Q89" i="42"/>
  <c r="P89" i="42"/>
  <c r="L89" i="42"/>
  <c r="H89" i="42"/>
  <c r="J89" i="42"/>
  <c r="N89" i="42"/>
  <c r="I89" i="42"/>
  <c r="K89" i="42"/>
  <c r="I133" i="42"/>
  <c r="I119" i="42"/>
  <c r="I105" i="42"/>
  <c r="J127" i="44"/>
  <c r="J137" i="44"/>
  <c r="F124" i="42"/>
  <c r="B118" i="44"/>
  <c r="C62" i="41"/>
  <c r="B61" i="41"/>
  <c r="B62" i="41" s="1"/>
  <c r="O49" i="44"/>
  <c r="E49" i="44" s="1"/>
  <c r="B49" i="44" s="1"/>
  <c r="E48" i="44"/>
  <c r="B48" i="44" s="1"/>
  <c r="F117" i="42"/>
  <c r="O107" i="42"/>
  <c r="I70" i="44"/>
  <c r="K129" i="42"/>
  <c r="K143" i="42" s="1"/>
  <c r="K101" i="42"/>
  <c r="K115" i="42"/>
  <c r="M99" i="42"/>
  <c r="P99" i="42"/>
  <c r="L99" i="42"/>
  <c r="H99" i="42"/>
  <c r="N99" i="42"/>
  <c r="J99" i="42"/>
  <c r="G99" i="42"/>
  <c r="K99" i="42"/>
  <c r="I99" i="42"/>
  <c r="O121" i="35"/>
  <c r="E118" i="35"/>
  <c r="E121" i="35" s="1"/>
  <c r="J129" i="42"/>
  <c r="J143" i="42" s="1"/>
  <c r="J115" i="42"/>
  <c r="J101" i="42"/>
  <c r="N140" i="44"/>
  <c r="E129" i="44"/>
  <c r="Q92" i="42"/>
  <c r="J131" i="42"/>
  <c r="J145" i="42" s="1"/>
  <c r="J103" i="42"/>
  <c r="J117" i="42"/>
  <c r="P96" i="42"/>
  <c r="P138" i="42"/>
  <c r="P152" i="42" s="1"/>
  <c r="P110" i="42"/>
  <c r="P124" i="42"/>
  <c r="C27" i="41"/>
  <c r="C78" i="41" s="1"/>
  <c r="C24" i="41"/>
  <c r="C77" i="41" s="1"/>
  <c r="B57" i="44"/>
  <c r="N135" i="42"/>
  <c r="N107" i="42"/>
  <c r="N121" i="42"/>
  <c r="G92" i="42"/>
  <c r="Q95" i="42"/>
  <c r="C42" i="35"/>
  <c r="C43" i="35" s="1"/>
  <c r="B39" i="35"/>
  <c r="B42" i="35" s="1"/>
  <c r="B43" i="35" s="1"/>
  <c r="B17" i="41"/>
  <c r="B18" i="41" s="1"/>
  <c r="B158" i="42"/>
  <c r="B160" i="42" s="1"/>
  <c r="B38" i="41"/>
  <c r="B75" i="41" s="1"/>
  <c r="N141" i="44"/>
  <c r="E141" i="44" s="1"/>
  <c r="E130" i="44"/>
  <c r="D130" i="44"/>
  <c r="I141" i="44"/>
  <c r="D141" i="44" s="1"/>
  <c r="K27" i="41"/>
  <c r="K78" i="41" s="1"/>
  <c r="K100" i="41" s="1"/>
  <c r="K24" i="41"/>
  <c r="K77" i="41" s="1"/>
  <c r="K99" i="41" s="1"/>
  <c r="D55" i="41"/>
  <c r="L127" i="44"/>
  <c r="I135" i="42"/>
  <c r="I107" i="42"/>
  <c r="I121" i="42"/>
  <c r="O56" i="35"/>
  <c r="O57" i="35" s="1"/>
  <c r="O58" i="35" s="1"/>
  <c r="E53" i="35"/>
  <c r="E56" i="35" s="1"/>
  <c r="E57" i="35" s="1"/>
  <c r="H129" i="42"/>
  <c r="H115" i="42"/>
  <c r="H101" i="42"/>
  <c r="F92" i="42"/>
  <c r="M92" i="42"/>
  <c r="P131" i="42"/>
  <c r="P145" i="42" s="1"/>
  <c r="P117" i="42"/>
  <c r="P103" i="42"/>
  <c r="H96" i="42"/>
  <c r="M138" i="42"/>
  <c r="M152" i="42" s="1"/>
  <c r="M110" i="42"/>
  <c r="M124" i="42"/>
  <c r="F119" i="41"/>
  <c r="C68" i="44"/>
  <c r="B68" i="44" s="1"/>
  <c r="J135" i="42"/>
  <c r="J149" i="42" s="1"/>
  <c r="J121" i="42"/>
  <c r="J107" i="42"/>
  <c r="D115" i="44"/>
  <c r="I116" i="44"/>
  <c r="D116" i="44" s="1"/>
  <c r="I126" i="44"/>
  <c r="P95" i="42"/>
  <c r="F140" i="44"/>
  <c r="C129" i="44"/>
  <c r="F59" i="44"/>
  <c r="F70" i="44" s="1"/>
  <c r="C58" i="44"/>
  <c r="B58" i="44" s="1"/>
  <c r="M93" i="42"/>
  <c r="L93" i="42"/>
  <c r="J93" i="42"/>
  <c r="P93" i="42"/>
  <c r="H93" i="42"/>
  <c r="Q93" i="42"/>
  <c r="N93" i="42"/>
  <c r="I93" i="42"/>
  <c r="G93" i="42"/>
  <c r="F121" i="35"/>
  <c r="C118" i="35"/>
  <c r="F133" i="44"/>
  <c r="D129" i="44"/>
  <c r="I140" i="44"/>
  <c r="C122" i="44"/>
  <c r="H138" i="44"/>
  <c r="H148" i="44"/>
  <c r="H149" i="44" s="1"/>
  <c r="F93" i="42"/>
  <c r="F147" i="44"/>
  <c r="O89" i="42"/>
  <c r="Q129" i="42"/>
  <c r="Q143" i="42" s="1"/>
  <c r="Q115" i="42"/>
  <c r="Q101" i="42"/>
  <c r="O27" i="41"/>
  <c r="O78" i="41" s="1"/>
  <c r="O100" i="41" s="1"/>
  <c r="O24" i="41"/>
  <c r="O77" i="41" s="1"/>
  <c r="O99" i="41" s="1"/>
  <c r="E55" i="41"/>
  <c r="Q131" i="42"/>
  <c r="Q145" i="42" s="1"/>
  <c r="Q103" i="42"/>
  <c r="Q117" i="42"/>
  <c r="M140" i="44"/>
  <c r="M144" i="44" s="1"/>
  <c r="F120" i="41"/>
  <c r="H135" i="42"/>
  <c r="H149" i="42" s="1"/>
  <c r="H107" i="42"/>
  <c r="H121" i="42"/>
  <c r="O99" i="42"/>
  <c r="H95" i="42"/>
  <c r="I131" i="42"/>
  <c r="I103" i="42"/>
  <c r="I117" i="42"/>
  <c r="F56" i="35"/>
  <c r="F57" i="35" s="1"/>
  <c r="F58" i="35" s="1"/>
  <c r="C53" i="35"/>
  <c r="I133" i="44"/>
  <c r="D132" i="44"/>
  <c r="I143" i="44"/>
  <c r="D143" i="44" s="1"/>
  <c r="F89" i="42"/>
  <c r="I122" i="35"/>
  <c r="I123" i="35"/>
  <c r="C22" i="40"/>
  <c r="C20" i="40"/>
  <c r="F99" i="42"/>
  <c r="P129" i="42"/>
  <c r="P143" i="42" s="1"/>
  <c r="P101" i="42"/>
  <c r="P115" i="42"/>
  <c r="G135" i="42"/>
  <c r="G149" i="42" s="1"/>
  <c r="G107" i="42"/>
  <c r="G121" i="42"/>
  <c r="M91" i="42"/>
  <c r="N91" i="42"/>
  <c r="L91" i="42"/>
  <c r="Q91" i="42"/>
  <c r="J91" i="42"/>
  <c r="H91" i="42"/>
  <c r="P91" i="42"/>
  <c r="G91" i="42"/>
  <c r="K91" i="42"/>
  <c r="L131" i="42"/>
  <c r="L145" i="42" s="1"/>
  <c r="L117" i="42"/>
  <c r="L103" i="42"/>
  <c r="L138" i="42"/>
  <c r="L152" i="42" s="1"/>
  <c r="L124" i="42"/>
  <c r="L110" i="42"/>
  <c r="D146" i="44"/>
  <c r="B146" i="44" s="1"/>
  <c r="E147" i="44"/>
  <c r="Q135" i="42"/>
  <c r="Q149" i="42" s="1"/>
  <c r="Q107" i="42"/>
  <c r="Q121" i="42"/>
  <c r="L95" i="42"/>
  <c r="F152" i="42"/>
  <c r="G137" i="42"/>
  <c r="G151" i="42" s="1"/>
  <c r="G123" i="42"/>
  <c r="G109" i="42"/>
  <c r="F110" i="42"/>
  <c r="I129" i="42"/>
  <c r="I115" i="42"/>
  <c r="I101" i="42"/>
  <c r="O119" i="42"/>
  <c r="O140" i="44"/>
  <c r="O144" i="44" s="1"/>
  <c r="D122" i="35"/>
  <c r="D123" i="35"/>
  <c r="K122" i="35"/>
  <c r="K123" i="35"/>
  <c r="M98" i="42"/>
  <c r="L98" i="42"/>
  <c r="N98" i="42"/>
  <c r="H98" i="42"/>
  <c r="J98" i="42"/>
  <c r="Q98" i="42"/>
  <c r="K98" i="42"/>
  <c r="G98" i="42"/>
  <c r="I98" i="42"/>
  <c r="K92" i="42"/>
  <c r="L133" i="44"/>
  <c r="L137" i="44" s="1"/>
  <c r="B22" i="40"/>
  <c r="B20" i="40"/>
  <c r="E122" i="44"/>
  <c r="B25" i="39"/>
  <c r="B26" i="39" s="1"/>
  <c r="B27" i="39" s="1"/>
  <c r="B29" i="39" s="1"/>
  <c r="C26" i="39"/>
  <c r="C27" i="39" s="1"/>
  <c r="C29" i="39" s="1"/>
  <c r="F121" i="42"/>
  <c r="O93" i="42"/>
  <c r="N129" i="42"/>
  <c r="N101" i="42"/>
  <c r="N115" i="42"/>
  <c r="B121" i="44"/>
  <c r="L92" i="42"/>
  <c r="F164" i="42"/>
  <c r="I138" i="42"/>
  <c r="I124" i="42"/>
  <c r="I110" i="42"/>
  <c r="M131" i="42"/>
  <c r="M145" i="42" s="1"/>
  <c r="M117" i="42"/>
  <c r="M103" i="42"/>
  <c r="Q138" i="42"/>
  <c r="Q152" i="42" s="1"/>
  <c r="Q110" i="42"/>
  <c r="Q124" i="42"/>
  <c r="J140" i="44"/>
  <c r="J144" i="44" s="1"/>
  <c r="P135" i="42"/>
  <c r="P149" i="42" s="1"/>
  <c r="P107" i="42"/>
  <c r="P121" i="42"/>
  <c r="K133" i="44"/>
  <c r="G95" i="42"/>
  <c r="F127" i="44" l="1"/>
  <c r="C127" i="44" s="1"/>
  <c r="K109" i="42"/>
  <c r="O118" i="42"/>
  <c r="C100" i="41"/>
  <c r="O104" i="42"/>
  <c r="F125" i="42"/>
  <c r="B115" i="44"/>
  <c r="E58" i="35"/>
  <c r="G70" i="44"/>
  <c r="G71" i="44" s="1"/>
  <c r="F109" i="42"/>
  <c r="O125" i="42"/>
  <c r="I123" i="42"/>
  <c r="I109" i="42"/>
  <c r="C138" i="42"/>
  <c r="C152" i="42" s="1"/>
  <c r="B131" i="44"/>
  <c r="K123" i="42"/>
  <c r="C133" i="44"/>
  <c r="C99" i="41"/>
  <c r="O111" i="42"/>
  <c r="F139" i="42"/>
  <c r="F153" i="42" s="1"/>
  <c r="F118" i="42"/>
  <c r="F132" i="42"/>
  <c r="F146" i="42" s="1"/>
  <c r="F123" i="42"/>
  <c r="E69" i="44"/>
  <c r="D69" i="44"/>
  <c r="C140" i="44"/>
  <c r="O148" i="44"/>
  <c r="O149" i="44" s="1"/>
  <c r="B100" i="41"/>
  <c r="B116" i="44"/>
  <c r="K137" i="44"/>
  <c r="K138" i="44" s="1"/>
  <c r="B142" i="44"/>
  <c r="O168" i="42"/>
  <c r="T174" i="42" s="1"/>
  <c r="G138" i="44"/>
  <c r="G148" i="44"/>
  <c r="G149" i="44" s="1"/>
  <c r="L138" i="44"/>
  <c r="L148" i="44"/>
  <c r="L149" i="44" s="1"/>
  <c r="F71" i="44"/>
  <c r="C71" i="44" s="1"/>
  <c r="G139" i="42"/>
  <c r="G153" i="42" s="1"/>
  <c r="G111" i="42"/>
  <c r="G125" i="42"/>
  <c r="O130" i="42"/>
  <c r="O144" i="42" s="1"/>
  <c r="O116" i="42"/>
  <c r="O102" i="42"/>
  <c r="G134" i="42"/>
  <c r="G148" i="42" s="1"/>
  <c r="G120" i="42"/>
  <c r="G106" i="42"/>
  <c r="M134" i="42"/>
  <c r="M148" i="42" s="1"/>
  <c r="M106" i="42"/>
  <c r="M120" i="42"/>
  <c r="I127" i="44"/>
  <c r="D127" i="44" s="1"/>
  <c r="D126" i="44"/>
  <c r="I137" i="44"/>
  <c r="K119" i="41"/>
  <c r="D99" i="41"/>
  <c r="G133" i="42"/>
  <c r="G147" i="42" s="1"/>
  <c r="G119" i="42"/>
  <c r="G105" i="42"/>
  <c r="I140" i="42"/>
  <c r="I112" i="42"/>
  <c r="I126" i="42"/>
  <c r="M140" i="42"/>
  <c r="M154" i="42" s="1"/>
  <c r="M126" i="42"/>
  <c r="M112" i="42"/>
  <c r="N130" i="42"/>
  <c r="N116" i="42"/>
  <c r="N102" i="42"/>
  <c r="C145" i="42"/>
  <c r="N133" i="42"/>
  <c r="N105" i="42"/>
  <c r="N119" i="42"/>
  <c r="L137" i="42"/>
  <c r="L151" i="42" s="1"/>
  <c r="L109" i="42"/>
  <c r="L123" i="42"/>
  <c r="E164" i="42"/>
  <c r="N168" i="42"/>
  <c r="T173" i="42" s="1"/>
  <c r="N165" i="42"/>
  <c r="N166" i="42" s="1"/>
  <c r="B143" i="44"/>
  <c r="K139" i="42"/>
  <c r="K153" i="42" s="1"/>
  <c r="K125" i="42"/>
  <c r="K111" i="42"/>
  <c r="I143" i="42"/>
  <c r="D129" i="42"/>
  <c r="D143" i="42" s="1"/>
  <c r="Q132" i="42"/>
  <c r="Q146" i="42" s="1"/>
  <c r="Q104" i="42"/>
  <c r="Q118" i="42"/>
  <c r="F130" i="42"/>
  <c r="F102" i="42"/>
  <c r="F116" i="42"/>
  <c r="C147" i="44"/>
  <c r="B147" i="44" s="1"/>
  <c r="B122" i="44"/>
  <c r="I134" i="42"/>
  <c r="I106" i="42"/>
  <c r="I120" i="42"/>
  <c r="M133" i="42"/>
  <c r="M147" i="42" s="1"/>
  <c r="M105" i="42"/>
  <c r="M119" i="42"/>
  <c r="K120" i="41"/>
  <c r="D100" i="41"/>
  <c r="E140" i="44"/>
  <c r="K140" i="42"/>
  <c r="K154" i="42" s="1"/>
  <c r="K126" i="42"/>
  <c r="K112" i="42"/>
  <c r="J130" i="42"/>
  <c r="J144" i="42" s="1"/>
  <c r="J116" i="42"/>
  <c r="J102" i="42"/>
  <c r="O71" i="44"/>
  <c r="E71" i="44" s="1"/>
  <c r="E70" i="44"/>
  <c r="J165" i="42"/>
  <c r="J166" i="42" s="1"/>
  <c r="J168" i="42"/>
  <c r="T169" i="42" s="1"/>
  <c r="B132" i="44"/>
  <c r="N127" i="44"/>
  <c r="E127" i="44" s="1"/>
  <c r="E126" i="44"/>
  <c r="N137" i="44"/>
  <c r="L133" i="42"/>
  <c r="L147" i="42" s="1"/>
  <c r="L105" i="42"/>
  <c r="L119" i="42"/>
  <c r="Q139" i="42"/>
  <c r="Q153" i="42" s="1"/>
  <c r="Q125" i="42"/>
  <c r="Q111" i="42"/>
  <c r="L132" i="42"/>
  <c r="L146" i="42" s="1"/>
  <c r="L104" i="42"/>
  <c r="L118" i="42"/>
  <c r="I145" i="42"/>
  <c r="D131" i="42"/>
  <c r="D145" i="42" s="1"/>
  <c r="E27" i="41"/>
  <c r="E78" i="41" s="1"/>
  <c r="E24" i="41"/>
  <c r="E77" i="41" s="1"/>
  <c r="D140" i="44"/>
  <c r="N134" i="42"/>
  <c r="N106" i="42"/>
  <c r="N120" i="42"/>
  <c r="F60" i="44"/>
  <c r="C60" i="44" s="1"/>
  <c r="B60" i="44" s="1"/>
  <c r="C59" i="44"/>
  <c r="B59" i="44" s="1"/>
  <c r="F133" i="42"/>
  <c r="F105" i="42"/>
  <c r="F119" i="42"/>
  <c r="N144" i="44"/>
  <c r="E144" i="44" s="1"/>
  <c r="G140" i="42"/>
  <c r="G154" i="42" s="1"/>
  <c r="G126" i="42"/>
  <c r="G112" i="42"/>
  <c r="H130" i="42"/>
  <c r="H144" i="42" s="1"/>
  <c r="H102" i="42"/>
  <c r="H116" i="42"/>
  <c r="B141" i="44"/>
  <c r="E131" i="42"/>
  <c r="E145" i="42" s="1"/>
  <c r="N145" i="42"/>
  <c r="I151" i="42"/>
  <c r="O137" i="42"/>
  <c r="O109" i="42"/>
  <c r="O123" i="42"/>
  <c r="P168" i="42"/>
  <c r="T175" i="42" s="1"/>
  <c r="P165" i="42"/>
  <c r="P166" i="42" s="1"/>
  <c r="J139" i="42"/>
  <c r="J153" i="42" s="1"/>
  <c r="J125" i="42"/>
  <c r="J111" i="42"/>
  <c r="N132" i="42"/>
  <c r="N118" i="42"/>
  <c r="N104" i="42"/>
  <c r="F140" i="42"/>
  <c r="F126" i="42"/>
  <c r="F112" i="42"/>
  <c r="O119" i="41"/>
  <c r="E99" i="41"/>
  <c r="Q134" i="42"/>
  <c r="Q148" i="42" s="1"/>
  <c r="Q120" i="42"/>
  <c r="Q106" i="42"/>
  <c r="B129" i="44"/>
  <c r="E135" i="42"/>
  <c r="E149" i="42" s="1"/>
  <c r="N149" i="42"/>
  <c r="P137" i="42"/>
  <c r="P151" i="42" s="1"/>
  <c r="P123" i="42"/>
  <c r="P109" i="42"/>
  <c r="J140" i="42"/>
  <c r="J154" i="42" s="1"/>
  <c r="J112" i="42"/>
  <c r="J126" i="42"/>
  <c r="L130" i="42"/>
  <c r="L144" i="42" s="1"/>
  <c r="L102" i="42"/>
  <c r="L116" i="42"/>
  <c r="B130" i="44"/>
  <c r="P133" i="42"/>
  <c r="P147" i="42" s="1"/>
  <c r="P105" i="42"/>
  <c r="P119" i="42"/>
  <c r="K136" i="42"/>
  <c r="K150" i="42" s="1"/>
  <c r="K122" i="42"/>
  <c r="K108" i="42"/>
  <c r="M165" i="42"/>
  <c r="M166" i="42" s="1"/>
  <c r="M168" i="42"/>
  <c r="T172" i="42" s="1"/>
  <c r="F137" i="44"/>
  <c r="N150" i="42"/>
  <c r="H139" i="42"/>
  <c r="H153" i="42" s="1"/>
  <c r="H125" i="42"/>
  <c r="H111" i="42"/>
  <c r="K132" i="42"/>
  <c r="K146" i="42" s="1"/>
  <c r="K118" i="42"/>
  <c r="K104" i="42"/>
  <c r="M132" i="42"/>
  <c r="M146" i="42" s="1"/>
  <c r="M118" i="42"/>
  <c r="M104" i="42"/>
  <c r="H136" i="42"/>
  <c r="H150" i="42" s="1"/>
  <c r="H108" i="42"/>
  <c r="H122" i="42"/>
  <c r="O120" i="41"/>
  <c r="E100" i="41"/>
  <c r="I144" i="44"/>
  <c r="D144" i="44" s="1"/>
  <c r="H134" i="42"/>
  <c r="H148" i="42" s="1"/>
  <c r="H106" i="42"/>
  <c r="H120" i="42"/>
  <c r="I149" i="42"/>
  <c r="D135" i="42"/>
  <c r="D149" i="42" s="1"/>
  <c r="N140" i="42"/>
  <c r="N126" i="42"/>
  <c r="N112" i="42"/>
  <c r="P130" i="42"/>
  <c r="P144" i="42" s="1"/>
  <c r="P102" i="42"/>
  <c r="P116" i="42"/>
  <c r="Q138" i="44"/>
  <c r="Q148" i="44"/>
  <c r="Q149" i="44" s="1"/>
  <c r="K165" i="42"/>
  <c r="K166" i="42" s="1"/>
  <c r="K168" i="42"/>
  <c r="T170" i="42" s="1"/>
  <c r="Q165" i="42"/>
  <c r="Q166" i="42" s="1"/>
  <c r="Q168" i="42"/>
  <c r="T176" i="42" s="1"/>
  <c r="J132" i="42"/>
  <c r="J104" i="42"/>
  <c r="J118" i="42"/>
  <c r="E129" i="42"/>
  <c r="E143" i="42" s="1"/>
  <c r="N143" i="42"/>
  <c r="O134" i="42"/>
  <c r="O148" i="42" s="1"/>
  <c r="O106" i="42"/>
  <c r="O120" i="42"/>
  <c r="N139" i="42"/>
  <c r="N111" i="42"/>
  <c r="N125" i="42"/>
  <c r="G132" i="42"/>
  <c r="G146" i="42" s="1"/>
  <c r="G104" i="42"/>
  <c r="G118" i="42"/>
  <c r="D133" i="44"/>
  <c r="P134" i="42"/>
  <c r="P148" i="42" s="1"/>
  <c r="P106" i="42"/>
  <c r="P120" i="42"/>
  <c r="F144" i="44"/>
  <c r="C144" i="44" s="1"/>
  <c r="H137" i="42"/>
  <c r="H151" i="42" s="1"/>
  <c r="H123" i="42"/>
  <c r="H109" i="42"/>
  <c r="B55" i="41"/>
  <c r="H140" i="42"/>
  <c r="H154" i="42" s="1"/>
  <c r="H112" i="42"/>
  <c r="H126" i="42"/>
  <c r="D70" i="44"/>
  <c r="I71" i="44"/>
  <c r="D71" i="44" s="1"/>
  <c r="I147" i="42"/>
  <c r="Q130" i="42"/>
  <c r="Q144" i="42" s="1"/>
  <c r="Q116" i="42"/>
  <c r="Q102" i="42"/>
  <c r="I136" i="42"/>
  <c r="I108" i="42"/>
  <c r="I122" i="42"/>
  <c r="D164" i="42"/>
  <c r="I165" i="42"/>
  <c r="I166" i="42" s="1"/>
  <c r="I168" i="42"/>
  <c r="T168" i="42" s="1"/>
  <c r="H165" i="42"/>
  <c r="H166" i="42" s="1"/>
  <c r="H168" i="42"/>
  <c r="T167" i="42" s="1"/>
  <c r="L136" i="42"/>
  <c r="L150" i="42" s="1"/>
  <c r="L108" i="42"/>
  <c r="L122" i="42"/>
  <c r="I152" i="42"/>
  <c r="D138" i="42"/>
  <c r="D152" i="42" s="1"/>
  <c r="K133" i="42"/>
  <c r="K147" i="42" s="1"/>
  <c r="K105" i="42"/>
  <c r="K119" i="42"/>
  <c r="L139" i="42"/>
  <c r="L153" i="42" s="1"/>
  <c r="L125" i="42"/>
  <c r="L111" i="42"/>
  <c r="P132" i="42"/>
  <c r="P146" i="42" s="1"/>
  <c r="P118" i="42"/>
  <c r="P104" i="42"/>
  <c r="C56" i="35"/>
  <c r="C57" i="35" s="1"/>
  <c r="C58" i="35" s="1"/>
  <c r="B53" i="35"/>
  <c r="B56" i="35" s="1"/>
  <c r="B57" i="35" s="1"/>
  <c r="B58" i="35" s="1"/>
  <c r="O140" i="42"/>
  <c r="O154" i="42" s="1"/>
  <c r="O126" i="42"/>
  <c r="O112" i="42"/>
  <c r="F134" i="42"/>
  <c r="F106" i="42"/>
  <c r="F120" i="42"/>
  <c r="B118" i="35"/>
  <c r="B121" i="35" s="1"/>
  <c r="C121" i="35"/>
  <c r="J134" i="42"/>
  <c r="J148" i="42" s="1"/>
  <c r="J106" i="42"/>
  <c r="J120" i="42"/>
  <c r="H143" i="42"/>
  <c r="C129" i="42"/>
  <c r="E122" i="35"/>
  <c r="E123" i="35"/>
  <c r="L140" i="42"/>
  <c r="L154" i="42" s="1"/>
  <c r="L126" i="42"/>
  <c r="L112" i="42"/>
  <c r="K130" i="42"/>
  <c r="K144" i="42" s="1"/>
  <c r="K102" i="42"/>
  <c r="K116" i="42"/>
  <c r="M130" i="42"/>
  <c r="M144" i="42" s="1"/>
  <c r="M102" i="42"/>
  <c r="M116" i="42"/>
  <c r="F136" i="42"/>
  <c r="F108" i="42"/>
  <c r="F122" i="42"/>
  <c r="J137" i="42"/>
  <c r="J151" i="42" s="1"/>
  <c r="J123" i="42"/>
  <c r="J109" i="42"/>
  <c r="G165" i="42"/>
  <c r="G166" i="42" s="1"/>
  <c r="G168" i="42"/>
  <c r="T166" i="42" s="1"/>
  <c r="O136" i="42"/>
  <c r="O150" i="42" s="1"/>
  <c r="O122" i="42"/>
  <c r="O108" i="42"/>
  <c r="M138" i="44"/>
  <c r="M148" i="44"/>
  <c r="M149" i="44" s="1"/>
  <c r="G136" i="42"/>
  <c r="G150" i="42" s="1"/>
  <c r="G122" i="42"/>
  <c r="G108" i="42"/>
  <c r="C164" i="42"/>
  <c r="F165" i="42"/>
  <c r="F168" i="42"/>
  <c r="T165" i="42" s="1"/>
  <c r="I139" i="42"/>
  <c r="I125" i="42"/>
  <c r="I111" i="42"/>
  <c r="M139" i="42"/>
  <c r="M153" i="42" s="1"/>
  <c r="M125" i="42"/>
  <c r="M111" i="42"/>
  <c r="H132" i="42"/>
  <c r="H146" i="42" s="1"/>
  <c r="H104" i="42"/>
  <c r="H118" i="42"/>
  <c r="F122" i="35"/>
  <c r="F123" i="35"/>
  <c r="L134" i="42"/>
  <c r="L148" i="42" s="1"/>
  <c r="L106" i="42"/>
  <c r="L120" i="42"/>
  <c r="P136" i="42"/>
  <c r="P150" i="42" s="1"/>
  <c r="P108" i="42"/>
  <c r="P122" i="42"/>
  <c r="B99" i="41"/>
  <c r="D27" i="41"/>
  <c r="D78" i="41" s="1"/>
  <c r="D24" i="41"/>
  <c r="D77" i="41" s="1"/>
  <c r="Q136" i="42"/>
  <c r="Q150" i="42" s="1"/>
  <c r="Q122" i="42"/>
  <c r="Q108" i="42"/>
  <c r="Q133" i="42"/>
  <c r="Q147" i="42" s="1"/>
  <c r="Q105" i="42"/>
  <c r="Q119" i="42"/>
  <c r="O122" i="35"/>
  <c r="O123" i="35"/>
  <c r="P140" i="42"/>
  <c r="P154" i="42" s="1"/>
  <c r="P126" i="42"/>
  <c r="P112" i="42"/>
  <c r="J138" i="44"/>
  <c r="J148" i="44"/>
  <c r="J149" i="44" s="1"/>
  <c r="I130" i="42"/>
  <c r="I116" i="42"/>
  <c r="I102" i="42"/>
  <c r="J136" i="42"/>
  <c r="J150" i="42" s="1"/>
  <c r="J108" i="42"/>
  <c r="J122" i="42"/>
  <c r="Q137" i="42"/>
  <c r="Q151" i="42" s="1"/>
  <c r="Q109" i="42"/>
  <c r="Q123" i="42"/>
  <c r="C135" i="42"/>
  <c r="E138" i="42"/>
  <c r="E152" i="42" s="1"/>
  <c r="N152" i="42"/>
  <c r="L168" i="42"/>
  <c r="T171" i="42" s="1"/>
  <c r="L165" i="42"/>
  <c r="L166" i="42" s="1"/>
  <c r="H133" i="42"/>
  <c r="H147" i="42" s="1"/>
  <c r="H119" i="42"/>
  <c r="H105" i="42"/>
  <c r="C70" i="44" l="1"/>
  <c r="B133" i="44"/>
  <c r="K148" i="44"/>
  <c r="K149" i="44" s="1"/>
  <c r="B140" i="44"/>
  <c r="B69" i="44"/>
  <c r="B127" i="44"/>
  <c r="B126" i="44"/>
  <c r="B144" i="44"/>
  <c r="C132" i="42"/>
  <c r="C139" i="42"/>
  <c r="C153" i="42" s="1"/>
  <c r="C137" i="42"/>
  <c r="C151" i="42" s="1"/>
  <c r="Q170" i="42"/>
  <c r="Q171" i="42" s="1"/>
  <c r="Q172" i="42" s="1"/>
  <c r="I170" i="42"/>
  <c r="I171" i="42" s="1"/>
  <c r="C165" i="42"/>
  <c r="C166" i="42" s="1"/>
  <c r="G170" i="42"/>
  <c r="G176" i="42" s="1"/>
  <c r="G180" i="42" s="1"/>
  <c r="B129" i="42"/>
  <c r="B143" i="42" s="1"/>
  <c r="C143" i="42"/>
  <c r="D133" i="42"/>
  <c r="D147" i="42" s="1"/>
  <c r="E140" i="42"/>
  <c r="E154" i="42" s="1"/>
  <c r="N154" i="42"/>
  <c r="F138" i="44"/>
  <c r="C138" i="44" s="1"/>
  <c r="C137" i="44"/>
  <c r="D137" i="42"/>
  <c r="D151" i="42" s="1"/>
  <c r="F148" i="44"/>
  <c r="N170" i="42"/>
  <c r="E133" i="42"/>
  <c r="E147" i="42" s="1"/>
  <c r="N147" i="42"/>
  <c r="B70" i="44"/>
  <c r="I153" i="42"/>
  <c r="D139" i="42"/>
  <c r="D153" i="42" s="1"/>
  <c r="C134" i="42"/>
  <c r="F148" i="42"/>
  <c r="F154" i="42"/>
  <c r="C140" i="42"/>
  <c r="I138" i="44"/>
  <c r="D138" i="44" s="1"/>
  <c r="D137" i="44"/>
  <c r="I148" i="44"/>
  <c r="B71" i="44"/>
  <c r="O170" i="42"/>
  <c r="B131" i="42"/>
  <c r="B145" i="42" s="1"/>
  <c r="C146" i="42"/>
  <c r="B138" i="42"/>
  <c r="B152" i="42" s="1"/>
  <c r="H170" i="42"/>
  <c r="E137" i="44"/>
  <c r="N138" i="44"/>
  <c r="E138" i="44" s="1"/>
  <c r="N148" i="44"/>
  <c r="J170" i="42"/>
  <c r="C130" i="42"/>
  <c r="F144" i="42"/>
  <c r="I154" i="42"/>
  <c r="D140" i="42"/>
  <c r="D154" i="42" s="1"/>
  <c r="L170" i="42"/>
  <c r="F150" i="42"/>
  <c r="C136" i="42"/>
  <c r="I150" i="42"/>
  <c r="D136" i="42"/>
  <c r="D150" i="42" s="1"/>
  <c r="M170" i="42"/>
  <c r="E132" i="42"/>
  <c r="E146" i="42" s="1"/>
  <c r="N146" i="42"/>
  <c r="P170" i="42"/>
  <c r="E134" i="42"/>
  <c r="E148" i="42" s="1"/>
  <c r="N148" i="42"/>
  <c r="B164" i="42"/>
  <c r="C122" i="35"/>
  <c r="C123" i="35"/>
  <c r="D165" i="42"/>
  <c r="D166" i="42" s="1"/>
  <c r="I148" i="42"/>
  <c r="D134" i="42"/>
  <c r="D148" i="42" s="1"/>
  <c r="E165" i="42"/>
  <c r="E166" i="42" s="1"/>
  <c r="E130" i="42"/>
  <c r="E144" i="42" s="1"/>
  <c r="N144" i="42"/>
  <c r="I144" i="42"/>
  <c r="D130" i="42"/>
  <c r="D144" i="42" s="1"/>
  <c r="F166" i="42"/>
  <c r="B122" i="35"/>
  <c r="B123" i="35"/>
  <c r="E139" i="42"/>
  <c r="E153" i="42" s="1"/>
  <c r="N153" i="42"/>
  <c r="J146" i="42"/>
  <c r="D132" i="42"/>
  <c r="D146" i="42" s="1"/>
  <c r="K170" i="42"/>
  <c r="B135" i="42"/>
  <c r="B149" i="42" s="1"/>
  <c r="C149" i="42"/>
  <c r="F170" i="42"/>
  <c r="B27" i="41"/>
  <c r="B78" i="41" s="1"/>
  <c r="B24" i="41"/>
  <c r="B77" i="41" s="1"/>
  <c r="E136" i="42"/>
  <c r="E150" i="42" s="1"/>
  <c r="O151" i="42"/>
  <c r="E137" i="42"/>
  <c r="E151" i="42" s="1"/>
  <c r="F147" i="42"/>
  <c r="C133" i="42"/>
  <c r="Q176" i="42" l="1"/>
  <c r="Q177" i="42" s="1"/>
  <c r="Q178" i="42" s="1"/>
  <c r="I174" i="42"/>
  <c r="U168" i="42" s="1"/>
  <c r="I176" i="42"/>
  <c r="I180" i="42" s="1"/>
  <c r="B138" i="44"/>
  <c r="G174" i="42"/>
  <c r="U166" i="42" s="1"/>
  <c r="G171" i="42"/>
  <c r="G172" i="42" s="1"/>
  <c r="G19" i="41" s="1"/>
  <c r="Q174" i="42"/>
  <c r="U176" i="42" s="1"/>
  <c r="B165" i="42"/>
  <c r="B166" i="42" s="1"/>
  <c r="D170" i="42"/>
  <c r="H176" i="42"/>
  <c r="H180" i="42" s="1"/>
  <c r="H171" i="42"/>
  <c r="H172" i="42" s="1"/>
  <c r="H174" i="42"/>
  <c r="U167" i="42" s="1"/>
  <c r="D148" i="44"/>
  <c r="I149" i="44"/>
  <c r="D149" i="44" s="1"/>
  <c r="B137" i="44"/>
  <c r="Q19" i="41"/>
  <c r="Q20" i="41"/>
  <c r="Q36" i="41" s="1"/>
  <c r="Q66" i="41" s="1"/>
  <c r="Q88" i="41" s="1"/>
  <c r="M176" i="42"/>
  <c r="M180" i="42" s="1"/>
  <c r="M171" i="42"/>
  <c r="M172" i="42" s="1"/>
  <c r="M174" i="42"/>
  <c r="U172" i="42" s="1"/>
  <c r="L176" i="42"/>
  <c r="L171" i="42"/>
  <c r="L172" i="42" s="1"/>
  <c r="L174" i="42"/>
  <c r="U171" i="42" s="1"/>
  <c r="G177" i="42"/>
  <c r="G178" i="42" s="1"/>
  <c r="B130" i="42"/>
  <c r="B144" i="42" s="1"/>
  <c r="C144" i="42"/>
  <c r="K176" i="42"/>
  <c r="K171" i="42"/>
  <c r="K172" i="42" s="1"/>
  <c r="K174" i="42"/>
  <c r="U170" i="42" s="1"/>
  <c r="J176" i="42"/>
  <c r="J171" i="42"/>
  <c r="J172" i="42" s="1"/>
  <c r="J174" i="42"/>
  <c r="U169" i="42" s="1"/>
  <c r="B132" i="42"/>
  <c r="B146" i="42" s="1"/>
  <c r="B140" i="42"/>
  <c r="B154" i="42" s="1"/>
  <c r="C154" i="42"/>
  <c r="B139" i="42"/>
  <c r="B153" i="42" s="1"/>
  <c r="B136" i="42"/>
  <c r="B150" i="42" s="1"/>
  <c r="C150" i="42"/>
  <c r="N149" i="44"/>
  <c r="E149" i="44" s="1"/>
  <c r="E148" i="44"/>
  <c r="N176" i="42"/>
  <c r="E170" i="42"/>
  <c r="N171" i="42"/>
  <c r="N172" i="42" s="1"/>
  <c r="N174" i="42"/>
  <c r="U173" i="42" s="1"/>
  <c r="I172" i="42"/>
  <c r="B134" i="42"/>
  <c r="B148" i="42" s="1"/>
  <c r="C148" i="42"/>
  <c r="F176" i="42"/>
  <c r="F180" i="42" s="1"/>
  <c r="C170" i="42"/>
  <c r="F171" i="42"/>
  <c r="F174" i="42"/>
  <c r="U165" i="42" s="1"/>
  <c r="B137" i="42"/>
  <c r="B151" i="42" s="1"/>
  <c r="B133" i="42"/>
  <c r="B147" i="42" s="1"/>
  <c r="C147" i="42"/>
  <c r="P176" i="42"/>
  <c r="P171" i="42"/>
  <c r="P172" i="42" s="1"/>
  <c r="P174" i="42"/>
  <c r="U175" i="42" s="1"/>
  <c r="O176" i="42"/>
  <c r="O171" i="42"/>
  <c r="O172" i="42" s="1"/>
  <c r="O174" i="42"/>
  <c r="U174" i="42" s="1"/>
  <c r="C148" i="44"/>
  <c r="F149" i="44"/>
  <c r="C149" i="44" s="1"/>
  <c r="Q180" i="42" l="1"/>
  <c r="I177" i="42"/>
  <c r="I178" i="42" s="1"/>
  <c r="G20" i="41"/>
  <c r="G36" i="41" s="1"/>
  <c r="G66" i="41" s="1"/>
  <c r="G88" i="41" s="1"/>
  <c r="G85" i="41" s="1"/>
  <c r="G86" i="41" s="1"/>
  <c r="B149" i="44"/>
  <c r="C171" i="42"/>
  <c r="C172" i="42" s="1"/>
  <c r="F172" i="42"/>
  <c r="F19" i="41" s="1"/>
  <c r="J20" i="41"/>
  <c r="J36" i="41" s="1"/>
  <c r="J66" i="41" s="1"/>
  <c r="J88" i="41" s="1"/>
  <c r="J19" i="41"/>
  <c r="O19" i="41"/>
  <c r="O20" i="41"/>
  <c r="O36" i="41" s="1"/>
  <c r="O66" i="41" s="1"/>
  <c r="O88" i="41" s="1"/>
  <c r="P177" i="42"/>
  <c r="P178" i="42" s="1"/>
  <c r="L177" i="42"/>
  <c r="M19" i="41"/>
  <c r="M20" i="41"/>
  <c r="M36" i="41" s="1"/>
  <c r="M66" i="41" s="1"/>
  <c r="M88" i="41" s="1"/>
  <c r="Q85" i="41"/>
  <c r="Q86" i="41" s="1"/>
  <c r="Q108" i="41"/>
  <c r="Q105" i="41" s="1"/>
  <c r="Q106" i="41" s="1"/>
  <c r="H177" i="42"/>
  <c r="H178" i="42" s="1"/>
  <c r="E176" i="42"/>
  <c r="N177" i="42"/>
  <c r="N178" i="42" s="1"/>
  <c r="J177" i="42"/>
  <c r="J178" i="42" s="1"/>
  <c r="L180" i="42"/>
  <c r="H20" i="41"/>
  <c r="H36" i="41" s="1"/>
  <c r="H66" i="41" s="1"/>
  <c r="H88" i="41" s="1"/>
  <c r="H19" i="41"/>
  <c r="B170" i="42"/>
  <c r="K19" i="41"/>
  <c r="K20" i="41"/>
  <c r="K36" i="41" s="1"/>
  <c r="K66" i="41" s="1"/>
  <c r="K88" i="41" s="1"/>
  <c r="P20" i="41"/>
  <c r="P36" i="41" s="1"/>
  <c r="P66" i="41" s="1"/>
  <c r="P88" i="41" s="1"/>
  <c r="P19" i="41"/>
  <c r="N180" i="42"/>
  <c r="D176" i="42"/>
  <c r="J180" i="42"/>
  <c r="D171" i="42"/>
  <c r="D172" i="42" s="1"/>
  <c r="K177" i="42"/>
  <c r="K178" i="42" s="1"/>
  <c r="I19" i="41"/>
  <c r="I20" i="41"/>
  <c r="I36" i="41" s="1"/>
  <c r="I66" i="41" s="1"/>
  <c r="I88" i="41" s="1"/>
  <c r="O177" i="42"/>
  <c r="O178" i="42" s="1"/>
  <c r="O180" i="42"/>
  <c r="C176" i="42"/>
  <c r="F177" i="42"/>
  <c r="L19" i="41"/>
  <c r="L20" i="41"/>
  <c r="L36" i="41" s="1"/>
  <c r="L66" i="41" s="1"/>
  <c r="L88" i="41" s="1"/>
  <c r="N20" i="41"/>
  <c r="N36" i="41" s="1"/>
  <c r="N66" i="41" s="1"/>
  <c r="N88" i="41" s="1"/>
  <c r="N19" i="41"/>
  <c r="B148" i="44"/>
  <c r="P180" i="42"/>
  <c r="E171" i="42"/>
  <c r="E172" i="42" s="1"/>
  <c r="K180" i="42"/>
  <c r="M177" i="42"/>
  <c r="M178" i="42" s="1"/>
  <c r="G108" i="41" l="1"/>
  <c r="G105" i="41" s="1"/>
  <c r="G106" i="41" s="1"/>
  <c r="F20" i="41"/>
  <c r="F36" i="41" s="1"/>
  <c r="F66" i="41" s="1"/>
  <c r="F88" i="41" s="1"/>
  <c r="B171" i="42"/>
  <c r="B172" i="42" s="1"/>
  <c r="D177" i="42"/>
  <c r="D178" i="42" s="1"/>
  <c r="C177" i="42"/>
  <c r="C178" i="42" s="1"/>
  <c r="E19" i="41"/>
  <c r="E20" i="41"/>
  <c r="E36" i="41" s="1"/>
  <c r="E66" i="41" s="1"/>
  <c r="L178" i="42"/>
  <c r="F178" i="42"/>
  <c r="I85" i="41"/>
  <c r="D88" i="41"/>
  <c r="I108" i="41"/>
  <c r="I105" i="41" s="1"/>
  <c r="I106" i="41" s="1"/>
  <c r="H108" i="41"/>
  <c r="H105" i="41" s="1"/>
  <c r="H106" i="41" s="1"/>
  <c r="H85" i="41"/>
  <c r="H86" i="41" s="1"/>
  <c r="O108" i="41"/>
  <c r="O105" i="41" s="1"/>
  <c r="O106" i="41" s="1"/>
  <c r="O85" i="41"/>
  <c r="O86" i="41" s="1"/>
  <c r="B176" i="42"/>
  <c r="P108" i="41"/>
  <c r="P105" i="41" s="1"/>
  <c r="P106" i="41" s="1"/>
  <c r="P85" i="41"/>
  <c r="P86" i="41" s="1"/>
  <c r="E88" i="41"/>
  <c r="N85" i="41"/>
  <c r="N108" i="41"/>
  <c r="N105" i="41" s="1"/>
  <c r="N106" i="41" s="1"/>
  <c r="K108" i="41"/>
  <c r="K105" i="41" s="1"/>
  <c r="K106" i="41" s="1"/>
  <c r="K85" i="41"/>
  <c r="K86" i="41" s="1"/>
  <c r="M108" i="41"/>
  <c r="M105" i="41" s="1"/>
  <c r="M106" i="41" s="1"/>
  <c r="M85" i="41"/>
  <c r="M86" i="41" s="1"/>
  <c r="C19" i="41"/>
  <c r="C20" i="41"/>
  <c r="C36" i="41" s="1"/>
  <c r="C66" i="41" s="1"/>
  <c r="L85" i="41"/>
  <c r="L86" i="41" s="1"/>
  <c r="L108" i="41"/>
  <c r="L105" i="41" s="1"/>
  <c r="L106" i="41" s="1"/>
  <c r="D19" i="41"/>
  <c r="D20" i="41"/>
  <c r="D36" i="41" s="1"/>
  <c r="D66" i="41" s="1"/>
  <c r="E177" i="42"/>
  <c r="E178" i="42" s="1"/>
  <c r="J108" i="41"/>
  <c r="J105" i="41" s="1"/>
  <c r="J106" i="41" s="1"/>
  <c r="J85" i="41"/>
  <c r="J86" i="41" s="1"/>
  <c r="W66" i="41" l="1"/>
  <c r="U66" i="41"/>
  <c r="T66" i="41"/>
  <c r="V66" i="41"/>
  <c r="B19" i="41"/>
  <c r="B20" i="41"/>
  <c r="B36" i="41" s="1"/>
  <c r="B66" i="41" s="1"/>
  <c r="I86" i="41"/>
  <c r="D85" i="41"/>
  <c r="D86" i="41" s="1"/>
  <c r="B177" i="42"/>
  <c r="B178" i="42" s="1"/>
  <c r="E85" i="41"/>
  <c r="E86" i="41" s="1"/>
  <c r="N86" i="41"/>
  <c r="C88" i="41"/>
  <c r="F85" i="41"/>
  <c r="B88" i="41"/>
  <c r="F108" i="41"/>
  <c r="F105" i="41" s="1"/>
  <c r="F106" i="41" s="1"/>
  <c r="C85" i="41" l="1"/>
  <c r="C86" i="41" s="1"/>
  <c r="F86" i="41"/>
  <c r="B85" i="41"/>
  <c r="B86"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MCihak</author>
    <author>mcihak</author>
  </authors>
  <commentList>
    <comment ref="A4" authorId="0" shapeId="0" xr:uid="{00000000-0006-0000-0100-000001000000}">
      <text>
        <r>
          <rPr>
            <b/>
            <sz val="8"/>
            <color rgb="FF000000"/>
            <rFont val="Tahoma"/>
            <family val="2"/>
          </rPr>
          <t>MCihak:</t>
        </r>
        <r>
          <rPr>
            <sz val="8"/>
            <color rgb="FF000000"/>
            <rFont val="Tahoma"/>
            <family val="2"/>
          </rPr>
          <t xml:space="preserve">
</t>
        </r>
        <r>
          <rPr>
            <sz val="8"/>
            <color rgb="FF000000"/>
            <rFont val="Tahoma"/>
            <family val="2"/>
          </rPr>
          <t>This is of course a highly simplified balance sheet, just to present the key calculations. A number of extensions is needed for more elaborate calculations. A particular one, mentioned below, is the issue of interbank credits/deposits, which are zero in these particular balance sheets, but may well be nonzero.</t>
        </r>
      </text>
    </comment>
    <comment ref="A33" authorId="0" shapeId="0" xr:uid="{00000000-0006-0000-0100-000002000000}">
      <text>
        <r>
          <rPr>
            <b/>
            <sz val="8"/>
            <color rgb="FF000000"/>
            <rFont val="Tahoma"/>
            <family val="2"/>
          </rPr>
          <t>MCihak:</t>
        </r>
        <r>
          <rPr>
            <sz val="8"/>
            <color rgb="FF000000"/>
            <rFont val="Tahoma"/>
            <family val="2"/>
          </rPr>
          <t xml:space="preserve">
</t>
        </r>
        <r>
          <rPr>
            <sz val="8"/>
            <color rgb="FF000000"/>
            <rFont val="Tahoma"/>
            <family val="2"/>
          </rPr>
          <t>The regulatory capital in this particular example simply equals the balance sheet capital (equity). However, these two may be different (and typically are) in practice.</t>
        </r>
      </text>
    </comment>
    <comment ref="A73" authorId="0" shapeId="0" xr:uid="{00000000-0006-0000-0100-000003000000}">
      <text>
        <r>
          <rPr>
            <b/>
            <sz val="8"/>
            <color indexed="81"/>
            <rFont val="Tahoma"/>
            <family val="2"/>
          </rPr>
          <t>MCihak:</t>
        </r>
        <r>
          <rPr>
            <sz val="8"/>
            <color indexed="81"/>
            <rFont val="Tahoma"/>
            <family val="2"/>
          </rPr>
          <t xml:space="preserve">
These are assumed to reflect both balance sheet data as well as balance sheet equivalents of off-balance sheet positions, in line with the FSI Compilation Guide.</t>
        </r>
      </text>
    </comment>
    <comment ref="A74" authorId="0" shapeId="0" xr:uid="{00000000-0006-0000-0100-000004000000}">
      <text>
        <r>
          <rPr>
            <b/>
            <sz val="8"/>
            <color rgb="FF000000"/>
            <rFont val="Tahoma"/>
            <family val="2"/>
          </rPr>
          <t>MCihak:</t>
        </r>
        <r>
          <rPr>
            <sz val="8"/>
            <color rgb="FF000000"/>
            <rFont val="Tahoma"/>
            <family val="2"/>
          </rPr>
          <t xml:space="preserve">
</t>
        </r>
        <r>
          <rPr>
            <sz val="8"/>
            <color rgb="FF000000"/>
            <rFont val="Tahoma"/>
            <family val="2"/>
          </rPr>
          <t>In some cases, it may be useful to break these down also by currency or to focus the interest rate stress test only on the domestic currency portion of the interest rate sensitive assets and liabilities. In this simple example, we do not distinguish this by currency.</t>
        </r>
      </text>
    </comment>
    <comment ref="A78" authorId="0" shapeId="0" xr:uid="{00000000-0006-0000-0100-000005000000}">
      <text>
        <r>
          <rPr>
            <b/>
            <sz val="8"/>
            <color rgb="FF000000"/>
            <rFont val="Tahoma"/>
            <family val="2"/>
          </rPr>
          <t>MCihak:</t>
        </r>
        <r>
          <rPr>
            <sz val="8"/>
            <color rgb="FF000000"/>
            <rFont val="Tahoma"/>
            <family val="2"/>
          </rPr>
          <t xml:space="preserve">
</t>
        </r>
        <r>
          <rPr>
            <sz val="8"/>
            <color rgb="FF000000"/>
            <rFont val="Tahoma"/>
            <family val="2"/>
          </rPr>
          <t>There are assumed to reflect both balance sheet data as well as balance sheet equivalents of off-balance sheet positions, in line with the FSI Compilation Guide.</t>
        </r>
      </text>
    </comment>
    <comment ref="A100" authorId="0" shapeId="0" xr:uid="{00000000-0006-0000-0100-000006000000}">
      <text>
        <r>
          <rPr>
            <b/>
            <sz val="8"/>
            <color indexed="81"/>
            <rFont val="Tahoma"/>
            <family val="2"/>
          </rPr>
          <t>MCihak:</t>
        </r>
        <r>
          <rPr>
            <sz val="8"/>
            <color indexed="81"/>
            <rFont val="Tahoma"/>
            <family val="2"/>
          </rPr>
          <t xml:space="preserve">
Profits can be used as a first line of defense in the case of shocks, before capital. In this file, the impacts are for simplicity expressed directly in terms of capital. However, for correctness, the profits are also presented as a possible buffer against losses (see the "Scenarios" sheet).</t>
        </r>
      </text>
    </comment>
    <comment ref="A105" authorId="0" shapeId="0" xr:uid="{00000000-0006-0000-0100-000007000000}">
      <text>
        <r>
          <rPr>
            <b/>
            <sz val="8"/>
            <color indexed="81"/>
            <rFont val="Tahoma"/>
            <family val="2"/>
          </rPr>
          <t>MCihak:</t>
        </r>
        <r>
          <rPr>
            <sz val="8"/>
            <color indexed="81"/>
            <rFont val="Tahoma"/>
            <family val="2"/>
          </rPr>
          <t xml:space="preserve">
The other exercises assume no interbank credit. 
The interbank contagion exercise introduces interbank credit.  The interbank contagion exercise is treated separately for presentational simplicity, i.e. we do not show what the balance sheets with the interbank exposures.</t>
        </r>
      </text>
    </comment>
    <comment ref="A121" authorId="0" shapeId="0" xr:uid="{00000000-0006-0000-0100-000008000000}">
      <text>
        <r>
          <rPr>
            <b/>
            <sz val="8"/>
            <color indexed="81"/>
            <rFont val="Tahoma"/>
            <family val="2"/>
          </rPr>
          <t>MCihak:</t>
        </r>
        <r>
          <rPr>
            <sz val="8"/>
            <color indexed="81"/>
            <rFont val="Tahoma"/>
            <family val="2"/>
          </rPr>
          <t xml:space="preserve">
This part is to help illustrate the links between stress testing and FSIs.</t>
        </r>
      </text>
    </comment>
    <comment ref="A143" authorId="0" shapeId="0" xr:uid="{00000000-0006-0000-0100-000009000000}">
      <text>
        <r>
          <rPr>
            <b/>
            <sz val="8"/>
            <color indexed="81"/>
            <rFont val="Tahoma"/>
            <family val="2"/>
          </rPr>
          <t>MCihak:</t>
        </r>
        <r>
          <rPr>
            <sz val="8"/>
            <color indexed="81"/>
            <rFont val="Tahoma"/>
            <family val="2"/>
          </rPr>
          <t xml:space="preserve">
This part is to help illustrate the importance of studying the structure of the banking sector.</t>
        </r>
      </text>
    </comment>
    <comment ref="A150" authorId="1" shapeId="0" xr:uid="{00000000-0006-0000-0100-00000A000000}">
      <text>
        <r>
          <rPr>
            <b/>
            <sz val="8"/>
            <color indexed="81"/>
            <rFont val="Tahoma"/>
            <family val="2"/>
          </rPr>
          <t>mcihak:</t>
        </r>
        <r>
          <rPr>
            <sz val="8"/>
            <color indexed="81"/>
            <rFont val="Tahoma"/>
            <family val="2"/>
          </rPr>
          <t xml:space="preserve">
1=low risk, 2=increased risk, 3=high risk, 4=very high risk</t>
        </r>
      </text>
    </comment>
    <comment ref="A151" authorId="1" shapeId="0" xr:uid="{00000000-0006-0000-0100-00000B000000}">
      <text>
        <r>
          <rPr>
            <b/>
            <sz val="8"/>
            <color indexed="81"/>
            <rFont val="Tahoma"/>
            <family val="2"/>
          </rPr>
          <t>mcihak:</t>
        </r>
        <r>
          <rPr>
            <sz val="8"/>
            <color indexed="81"/>
            <rFont val="Tahoma"/>
            <family val="2"/>
          </rPr>
          <t xml:space="preserve">
1=low risk, 2=increased risk, 3=high risk, 4=very high risk</t>
        </r>
      </text>
    </comment>
    <comment ref="A152" authorId="1" shapeId="0" xr:uid="{00000000-0006-0000-0100-00000C000000}">
      <text>
        <r>
          <rPr>
            <b/>
            <sz val="8"/>
            <color indexed="81"/>
            <rFont val="Tahoma"/>
            <family val="2"/>
          </rPr>
          <t>mcihak:</t>
        </r>
        <r>
          <rPr>
            <sz val="8"/>
            <color indexed="81"/>
            <rFont val="Tahoma"/>
            <family val="2"/>
          </rPr>
          <t xml:space="preserve">
1=low risk, 2=increased risk, 3=high risk, 4=very high risk</t>
        </r>
      </text>
    </comment>
    <comment ref="A153" authorId="1" shapeId="0" xr:uid="{00000000-0006-0000-0100-00000D000000}">
      <text>
        <r>
          <rPr>
            <b/>
            <sz val="8"/>
            <color indexed="81"/>
            <rFont val="Tahoma"/>
            <family val="2"/>
          </rPr>
          <t>mcihak:</t>
        </r>
        <r>
          <rPr>
            <sz val="8"/>
            <color indexed="81"/>
            <rFont val="Tahoma"/>
            <family val="2"/>
          </rPr>
          <t xml:space="preserve">
1=low risk, 2=increased risk, 3=high risk, 4=very high risk</t>
        </r>
      </text>
    </comment>
    <comment ref="A154" authorId="1" shapeId="0" xr:uid="{00000000-0006-0000-0100-00000E000000}">
      <text>
        <r>
          <rPr>
            <b/>
            <sz val="8"/>
            <color indexed="81"/>
            <rFont val="Tahoma"/>
            <family val="2"/>
          </rPr>
          <t>mcihak:</t>
        </r>
        <r>
          <rPr>
            <sz val="8"/>
            <color indexed="81"/>
            <rFont val="Tahoma"/>
            <family val="2"/>
          </rPr>
          <t xml:space="preserve">
1=low risk, 2=increased risk, 3=high risk, 4=very high risk</t>
        </r>
      </text>
    </comment>
    <comment ref="A155" authorId="1" shapeId="0" xr:uid="{00000000-0006-0000-0100-00000F000000}">
      <text>
        <r>
          <rPr>
            <b/>
            <sz val="8"/>
            <color indexed="81"/>
            <rFont val="Tahoma"/>
            <family val="2"/>
          </rPr>
          <t>mcihak:</t>
        </r>
        <r>
          <rPr>
            <sz val="8"/>
            <color indexed="81"/>
            <rFont val="Tahoma"/>
            <family val="2"/>
          </rPr>
          <t xml:space="preserve">
1=low risk, 2=increased risk, 3=high risk, 4=very high risk</t>
        </r>
      </text>
    </comment>
    <comment ref="A156" authorId="1" shapeId="0" xr:uid="{00000000-0006-0000-0100-000010000000}">
      <text>
        <r>
          <rPr>
            <b/>
            <sz val="8"/>
            <color indexed="81"/>
            <rFont val="Tahoma"/>
            <family val="2"/>
          </rPr>
          <t>mcihak:</t>
        </r>
        <r>
          <rPr>
            <sz val="8"/>
            <color indexed="81"/>
            <rFont val="Tahoma"/>
            <family val="2"/>
          </rPr>
          <t xml:space="preserve">
1=low risk, 2=increased risk, 3=high risk, 4=very high risk</t>
        </r>
      </text>
    </comment>
    <comment ref="A157" authorId="1" shapeId="0" xr:uid="{00000000-0006-0000-0100-000011000000}">
      <text>
        <r>
          <rPr>
            <b/>
            <sz val="8"/>
            <color indexed="81"/>
            <rFont val="Tahoma"/>
            <family val="2"/>
          </rPr>
          <t>mcihak:</t>
        </r>
        <r>
          <rPr>
            <sz val="8"/>
            <color indexed="81"/>
            <rFont val="Tahoma"/>
            <family val="2"/>
          </rPr>
          <t xml:space="preserve">
1=low risk, 2=increased risk, 3=high risk, 4=very high risk</t>
        </r>
      </text>
    </comment>
    <comment ref="A158" authorId="1" shapeId="0" xr:uid="{00000000-0006-0000-0100-000012000000}">
      <text>
        <r>
          <rPr>
            <b/>
            <sz val="8"/>
            <color indexed="81"/>
            <rFont val="Tahoma"/>
            <family val="2"/>
          </rPr>
          <t>mcihak:</t>
        </r>
        <r>
          <rPr>
            <sz val="8"/>
            <color indexed="81"/>
            <rFont val="Tahoma"/>
            <family val="2"/>
          </rPr>
          <t xml:space="preserve">
1=low risk, 2=increased risk, 3=high risk, 4=very high risk</t>
        </r>
      </text>
    </comment>
    <comment ref="A159" authorId="1" shapeId="0" xr:uid="{00000000-0006-0000-0100-000013000000}">
      <text>
        <r>
          <rPr>
            <b/>
            <sz val="8"/>
            <color indexed="81"/>
            <rFont val="Tahoma"/>
            <family val="2"/>
          </rPr>
          <t>mcihak:</t>
        </r>
        <r>
          <rPr>
            <sz val="8"/>
            <color indexed="81"/>
            <rFont val="Tahoma"/>
            <family val="2"/>
          </rPr>
          <t xml:space="preserve">
1=low risk, 2=increased risk, 3=high risk, 4=very high risk</t>
        </r>
      </text>
    </comment>
    <comment ref="A160" authorId="1" shapeId="0" xr:uid="{00000000-0006-0000-0100-000014000000}">
      <text>
        <r>
          <rPr>
            <b/>
            <sz val="8"/>
            <color indexed="81"/>
            <rFont val="Tahoma"/>
            <family val="2"/>
          </rPr>
          <t>mcihak:</t>
        </r>
        <r>
          <rPr>
            <sz val="8"/>
            <color indexed="81"/>
            <rFont val="Tahoma"/>
            <family val="2"/>
          </rPr>
          <t xml:space="preserve">
1=low risk, 2=increased risk, 3=high risk, 4=very high risk</t>
        </r>
      </text>
    </comment>
    <comment ref="A161" authorId="1" shapeId="0" xr:uid="{00000000-0006-0000-0100-000015000000}">
      <text>
        <r>
          <rPr>
            <b/>
            <sz val="8"/>
            <color indexed="81"/>
            <rFont val="Tahoma"/>
            <family val="2"/>
          </rPr>
          <t>mcihak:</t>
        </r>
        <r>
          <rPr>
            <sz val="8"/>
            <color indexed="81"/>
            <rFont val="Tahoma"/>
            <family val="2"/>
          </rPr>
          <t xml:space="preserve">
1=low risk, 2=increased risk, 3=high risk, 4=very high risk</t>
        </r>
      </text>
    </comment>
    <comment ref="A162" authorId="1" shapeId="0" xr:uid="{00000000-0006-0000-0100-000016000000}">
      <text>
        <r>
          <rPr>
            <b/>
            <sz val="8"/>
            <color indexed="81"/>
            <rFont val="Tahoma"/>
            <family val="2"/>
          </rPr>
          <t>mcihak:</t>
        </r>
        <r>
          <rPr>
            <sz val="8"/>
            <color indexed="81"/>
            <rFont val="Tahoma"/>
            <family val="2"/>
          </rPr>
          <t xml:space="preserve">
1=low risk, 2=increased risk, 3=high risk, 4=very high risk</t>
        </r>
      </text>
    </comment>
    <comment ref="A163" authorId="1" shapeId="0" xr:uid="{00000000-0006-0000-0100-000017000000}">
      <text>
        <r>
          <rPr>
            <b/>
            <sz val="8"/>
            <color indexed="81"/>
            <rFont val="Tahoma"/>
            <family val="2"/>
          </rPr>
          <t>mcihak:</t>
        </r>
        <r>
          <rPr>
            <sz val="8"/>
            <color indexed="81"/>
            <rFont val="Tahoma"/>
            <family val="2"/>
          </rPr>
          <t xml:space="preserve">
1=low risk, 2=increased risk, 3=high risk, 4=very high risk</t>
        </r>
      </text>
    </comment>
    <comment ref="A164" authorId="1" shapeId="0" xr:uid="{00000000-0006-0000-0100-000018000000}">
      <text>
        <r>
          <rPr>
            <b/>
            <sz val="8"/>
            <color indexed="81"/>
            <rFont val="Tahoma"/>
            <family val="2"/>
          </rPr>
          <t>mcihak:</t>
        </r>
        <r>
          <rPr>
            <sz val="8"/>
            <color indexed="81"/>
            <rFont val="Tahoma"/>
            <family val="2"/>
          </rPr>
          <t xml:space="preserve">
1=low risk, 2=increased risk, 3=high risk, 4=very high risk</t>
        </r>
      </text>
    </comment>
    <comment ref="A165" authorId="1" shapeId="0" xr:uid="{00000000-0006-0000-0100-000019000000}">
      <text>
        <r>
          <rPr>
            <b/>
            <sz val="8"/>
            <color indexed="81"/>
            <rFont val="Tahoma"/>
            <family val="2"/>
          </rPr>
          <t>mcihak:</t>
        </r>
        <r>
          <rPr>
            <sz val="8"/>
            <color indexed="81"/>
            <rFont val="Tahoma"/>
            <family val="2"/>
          </rPr>
          <t xml:space="preserve">
1=low risk, 2=increased risk, 3=high risk, 4=very high risk</t>
        </r>
      </text>
    </comment>
    <comment ref="A166" authorId="1" shapeId="0" xr:uid="{00000000-0006-0000-0100-00001A000000}">
      <text>
        <r>
          <rPr>
            <b/>
            <sz val="8"/>
            <color indexed="81"/>
            <rFont val="Tahoma"/>
            <family val="2"/>
          </rPr>
          <t>mcihak:</t>
        </r>
        <r>
          <rPr>
            <sz val="8"/>
            <color indexed="81"/>
            <rFont val="Tahoma"/>
            <family val="2"/>
          </rPr>
          <t xml:space="preserve">
1=low risk, 2=increased risk, 3=high risk, 4=very high risk</t>
        </r>
      </text>
    </comment>
    <comment ref="A167" authorId="1" shapeId="0" xr:uid="{00000000-0006-0000-0100-00001B000000}">
      <text>
        <r>
          <rPr>
            <b/>
            <sz val="8"/>
            <color indexed="81"/>
            <rFont val="Tahoma"/>
            <family val="2"/>
          </rPr>
          <t>mcihak:</t>
        </r>
        <r>
          <rPr>
            <sz val="8"/>
            <color indexed="81"/>
            <rFont val="Tahoma"/>
            <family val="2"/>
          </rPr>
          <t xml:space="preserve">
1=low risk, 2=increased risk, 3=high risk, 4=very high risk</t>
        </r>
      </text>
    </comment>
    <comment ref="A169" authorId="1" shapeId="0" xr:uid="{00000000-0006-0000-0100-00001C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0" authorId="1" shapeId="0" xr:uid="{00000000-0006-0000-0100-00001D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1" authorId="1" shapeId="0" xr:uid="{00000000-0006-0000-0100-00001E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2" authorId="1" shapeId="0" xr:uid="{00000000-0006-0000-0100-00001F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3" authorId="1" shapeId="0" xr:uid="{00000000-0006-0000-0100-000020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4" authorId="1" shapeId="0" xr:uid="{00000000-0006-0000-0100-000021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5" authorId="1" shapeId="0" xr:uid="{00000000-0006-0000-0100-000022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6" authorId="1" shapeId="0" xr:uid="{00000000-0006-0000-0100-000023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7" authorId="1" shapeId="0" xr:uid="{00000000-0006-0000-0100-000024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8" authorId="1" shapeId="0" xr:uid="{00000000-0006-0000-0100-000025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79" authorId="1" shapeId="0" xr:uid="{00000000-0006-0000-0100-000026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80" authorId="1" shapeId="0" xr:uid="{00000000-0006-0000-0100-000027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81" authorId="1" shapeId="0" xr:uid="{00000000-0006-0000-0100-000028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82" authorId="1" shapeId="0" xr:uid="{00000000-0006-0000-0100-000029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83" authorId="1" shapeId="0" xr:uid="{00000000-0006-0000-0100-00002A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84" authorId="1" shapeId="0" xr:uid="{00000000-0006-0000-0100-00002B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85" authorId="1" shapeId="0" xr:uid="{00000000-0006-0000-0100-00002C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86" authorId="1" shapeId="0" xr:uid="{00000000-0006-0000-0100-00002D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mcihak</author>
  </authors>
  <commentList>
    <comment ref="A3" authorId="0" shapeId="0" xr:uid="{00000000-0006-0000-0200-000001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3" authorId="0" shapeId="0" xr:uid="{00000000-0006-0000-0200-000002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3" authorId="0" shapeId="0" xr:uid="{00000000-0006-0000-0200-000003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3" authorId="0" shapeId="0" xr:uid="{00000000-0006-0000-0200-000004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3" authorId="0" shapeId="0" xr:uid="{00000000-0006-0000-0200-000005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5" authorId="0" shapeId="0" xr:uid="{00000000-0006-0000-0200-000006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6" authorId="0" shapeId="0" xr:uid="{00000000-0006-0000-0200-000007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6" authorId="0" shapeId="0" xr:uid="{00000000-0006-0000-0200-000008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6" authorId="0" shapeId="0" xr:uid="{00000000-0006-0000-0200-000009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6" authorId="0" shapeId="0" xr:uid="{00000000-0006-0000-0200-00000A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6" authorId="0" shapeId="0" xr:uid="{00000000-0006-0000-0200-00000B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7" authorId="0" shapeId="0" xr:uid="{00000000-0006-0000-0200-00000C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7" authorId="0" shapeId="0" xr:uid="{00000000-0006-0000-0200-00000D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7" authorId="0" shapeId="0" xr:uid="{00000000-0006-0000-0200-00000E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7" authorId="0" shapeId="0" xr:uid="{00000000-0006-0000-0200-00000F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7" authorId="0" shapeId="0" xr:uid="{00000000-0006-0000-0200-000010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8" authorId="0" shapeId="0" xr:uid="{00000000-0006-0000-0200-000011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8" authorId="0" shapeId="0" xr:uid="{00000000-0006-0000-0200-000012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8" authorId="0" shapeId="0" xr:uid="{00000000-0006-0000-0200-000013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8" authorId="0" shapeId="0" xr:uid="{00000000-0006-0000-0200-000014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8" authorId="0" shapeId="0" xr:uid="{00000000-0006-0000-0200-000015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9" authorId="0" shapeId="0" xr:uid="{00000000-0006-0000-0200-000016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9" authorId="0" shapeId="0" xr:uid="{00000000-0006-0000-0200-000017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9" authorId="0" shapeId="0" xr:uid="{00000000-0006-0000-0200-000018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9" authorId="0" shapeId="0" xr:uid="{00000000-0006-0000-0200-000019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9" authorId="0" shapeId="0" xr:uid="{00000000-0006-0000-0200-00001A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0" authorId="0" shapeId="0" xr:uid="{00000000-0006-0000-0200-00001B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10" authorId="0" shapeId="0" xr:uid="{00000000-0006-0000-0200-00001C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10" authorId="0" shapeId="0" xr:uid="{00000000-0006-0000-0200-00001D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10" authorId="0" shapeId="0" xr:uid="{00000000-0006-0000-0200-00001E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10" authorId="0" shapeId="0" xr:uid="{00000000-0006-0000-0200-00001F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1" authorId="0" shapeId="0" xr:uid="{00000000-0006-0000-0200-000020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11" authorId="0" shapeId="0" xr:uid="{00000000-0006-0000-0200-000021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11" authorId="0" shapeId="0" xr:uid="{00000000-0006-0000-0200-000022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11" authorId="0" shapeId="0" xr:uid="{00000000-0006-0000-0200-000023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11" authorId="0" shapeId="0" xr:uid="{00000000-0006-0000-0200-000024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2" authorId="0" shapeId="0" xr:uid="{00000000-0006-0000-0200-000025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12" authorId="0" shapeId="0" xr:uid="{00000000-0006-0000-0200-000026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12" authorId="0" shapeId="0" xr:uid="{00000000-0006-0000-0200-000027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12" authorId="0" shapeId="0" xr:uid="{00000000-0006-0000-0200-000028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12" authorId="0" shapeId="0" xr:uid="{00000000-0006-0000-0200-000029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3" authorId="0" shapeId="0" xr:uid="{00000000-0006-0000-0200-00002A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4" authorId="0" shapeId="0" xr:uid="{00000000-0006-0000-0200-00002B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14" authorId="0" shapeId="0" xr:uid="{00000000-0006-0000-0200-00002C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14" authorId="0" shapeId="0" xr:uid="{00000000-0006-0000-0200-00002D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14" authorId="0" shapeId="0" xr:uid="{00000000-0006-0000-0200-00002E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14" authorId="0" shapeId="0" xr:uid="{00000000-0006-0000-0200-00002F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5" authorId="0" shapeId="0" xr:uid="{00000000-0006-0000-0200-000030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15" authorId="0" shapeId="0" xr:uid="{00000000-0006-0000-0200-000031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15" authorId="0" shapeId="0" xr:uid="{00000000-0006-0000-0200-000032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15" authorId="0" shapeId="0" xr:uid="{00000000-0006-0000-0200-000033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15" authorId="0" shapeId="0" xr:uid="{00000000-0006-0000-0200-000034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6" authorId="0" shapeId="0" xr:uid="{00000000-0006-0000-0200-000035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7" authorId="0" shapeId="0" xr:uid="{00000000-0006-0000-0200-000036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17" authorId="0" shapeId="0" xr:uid="{00000000-0006-0000-0200-000037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17" authorId="0" shapeId="0" xr:uid="{00000000-0006-0000-0200-000038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17" authorId="0" shapeId="0" xr:uid="{00000000-0006-0000-0200-000039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17" authorId="0" shapeId="0" xr:uid="{00000000-0006-0000-0200-00003A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8" authorId="0" shapeId="0" xr:uid="{00000000-0006-0000-0200-00003B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18" authorId="0" shapeId="0" xr:uid="{00000000-0006-0000-0200-00003C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18" authorId="0" shapeId="0" xr:uid="{00000000-0006-0000-0200-00003D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18" authorId="0" shapeId="0" xr:uid="{00000000-0006-0000-0200-00003E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18" authorId="0" shapeId="0" xr:uid="{00000000-0006-0000-0200-00003F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19" authorId="0" shapeId="0" xr:uid="{00000000-0006-0000-0200-000040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20" authorId="0" shapeId="0" xr:uid="{00000000-0006-0000-0200-000041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20" authorId="0" shapeId="0" xr:uid="{00000000-0006-0000-0200-000042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20" authorId="0" shapeId="0" xr:uid="{00000000-0006-0000-0200-000043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20" authorId="0" shapeId="0" xr:uid="{00000000-0006-0000-0200-000044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20" authorId="0" shapeId="0" xr:uid="{00000000-0006-0000-0200-000045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A22" authorId="0" shapeId="0" xr:uid="{00000000-0006-0000-0200-000046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B22" authorId="0" shapeId="0" xr:uid="{00000000-0006-0000-0200-000047000000}">
      <text>
        <r>
          <rPr>
            <b/>
            <sz val="8"/>
            <color rgb="FF000000"/>
            <rFont val="Tahoma"/>
            <family val="2"/>
          </rPr>
          <t>mcihak:</t>
        </r>
        <r>
          <rPr>
            <sz val="8"/>
            <color rgb="FF000000"/>
            <rFont val="Tahoma"/>
            <family val="2"/>
          </rPr>
          <t xml:space="preserve">
</t>
        </r>
        <r>
          <rPr>
            <sz val="8"/>
            <color rgb="FF000000"/>
            <rFont val="Tahoma"/>
            <family val="2"/>
          </rPr>
          <t xml:space="preserve">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C22" authorId="0" shapeId="0" xr:uid="{00000000-0006-0000-0200-000048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D22" authorId="0" shapeId="0" xr:uid="{00000000-0006-0000-0200-000049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 ref="E22" authorId="0" shapeId="0" xr:uid="{00000000-0006-0000-0200-00004A000000}">
      <text>
        <r>
          <rPr>
            <b/>
            <sz val="8"/>
            <color indexed="81"/>
            <rFont val="Tahoma"/>
            <family val="2"/>
          </rPr>
          <t>mcihak:</t>
        </r>
        <r>
          <rPr>
            <sz val="8"/>
            <color indexed="81"/>
            <rFont val="Tahoma"/>
            <family val="2"/>
          </rPr>
          <t xml:space="preserve">
These thresholds and weights can be estimated from past data, if there is a sufficient number of failures. Different combinations of thresholds can be used to minimize Type I/Type II errors. Alternatively, a probit/logit model (in which case the predicted values would be based on a logit function rather than the step-function based on the thresholds). If there is not a sufficient number of failures, the model can be calibrated based on experiences from other countries or  expert judgment.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MCihak</author>
    <author>mcihak</author>
  </authors>
  <commentList>
    <comment ref="A44" authorId="0" shapeId="0" xr:uid="{00000000-0006-0000-0600-000001000000}">
      <text>
        <r>
          <rPr>
            <b/>
            <sz val="8"/>
            <color indexed="81"/>
            <rFont val="Tahoma"/>
            <family val="2"/>
          </rPr>
          <t>MCihak:</t>
        </r>
        <r>
          <rPr>
            <sz val="8"/>
            <color indexed="81"/>
            <rFont val="Tahoma"/>
            <family val="2"/>
          </rPr>
          <t xml:space="preserve">
The memo item on the right indicates the probability of the failure of the bank in the row, using results from an EWS model.</t>
        </r>
      </text>
    </comment>
    <comment ref="A46" authorId="0" shapeId="0" xr:uid="{00000000-0006-0000-0600-00000200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B47" authorId="1" shapeId="0" xr:uid="{00000000-0006-0000-0600-00000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47" authorId="1" shapeId="0" xr:uid="{00000000-0006-0000-0600-00000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47" authorId="1" shapeId="0" xr:uid="{00000000-0006-0000-0600-00000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47" authorId="1" shapeId="0" xr:uid="{00000000-0006-0000-0600-00000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48" authorId="1" shapeId="0" xr:uid="{00000000-0006-0000-0600-00000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48" authorId="1" shapeId="0" xr:uid="{00000000-0006-0000-0600-00000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48" authorId="1" shapeId="0" xr:uid="{00000000-0006-0000-0600-00000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48" authorId="1" shapeId="0" xr:uid="{00000000-0006-0000-0600-00000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49" authorId="1" shapeId="0" xr:uid="{00000000-0006-0000-0600-00000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49" authorId="1" shapeId="0" xr:uid="{00000000-0006-0000-0600-00000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49" authorId="1" shapeId="0" xr:uid="{00000000-0006-0000-0600-00000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49" authorId="1" shapeId="0" xr:uid="{00000000-0006-0000-0600-00000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50" authorId="1" shapeId="0" xr:uid="{00000000-0006-0000-0600-00000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50" authorId="1" shapeId="0" xr:uid="{00000000-0006-0000-0600-00001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50" authorId="1" shapeId="0" xr:uid="{00000000-0006-0000-0600-00001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50" authorId="1" shapeId="0" xr:uid="{00000000-0006-0000-0600-00001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51" authorId="1" shapeId="0" xr:uid="{00000000-0006-0000-0600-00001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51" authorId="1" shapeId="0" xr:uid="{00000000-0006-0000-0600-00001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51" authorId="1" shapeId="0" xr:uid="{00000000-0006-0000-0600-00001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51" authorId="1" shapeId="0" xr:uid="{00000000-0006-0000-0600-00001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52" authorId="1" shapeId="0" xr:uid="{00000000-0006-0000-0600-00001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52" authorId="1" shapeId="0" xr:uid="{00000000-0006-0000-0600-00001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52" authorId="1" shapeId="0" xr:uid="{00000000-0006-0000-0600-00001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52" authorId="1" shapeId="0" xr:uid="{00000000-0006-0000-0600-00001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53" authorId="1" shapeId="0" xr:uid="{00000000-0006-0000-0600-00001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53" authorId="1" shapeId="0" xr:uid="{00000000-0006-0000-0600-00001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53" authorId="1" shapeId="0" xr:uid="{00000000-0006-0000-0600-00001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53" authorId="1" shapeId="0" xr:uid="{00000000-0006-0000-0600-00001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54" authorId="1" shapeId="0" xr:uid="{00000000-0006-0000-0600-00001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54" authorId="1" shapeId="0" xr:uid="{00000000-0006-0000-0600-00002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54" authorId="1" shapeId="0" xr:uid="{00000000-0006-0000-0600-00002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54" authorId="1" shapeId="0" xr:uid="{00000000-0006-0000-0600-00002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55" authorId="1" shapeId="0" xr:uid="{00000000-0006-0000-0600-00002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55" authorId="1" shapeId="0" xr:uid="{00000000-0006-0000-0600-00002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55" authorId="1" shapeId="0" xr:uid="{00000000-0006-0000-0600-00002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55" authorId="1" shapeId="0" xr:uid="{00000000-0006-0000-0600-00002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56" authorId="1" shapeId="0" xr:uid="{00000000-0006-0000-0600-00002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56" authorId="1" shapeId="0" xr:uid="{00000000-0006-0000-0600-00002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56" authorId="1" shapeId="0" xr:uid="{00000000-0006-0000-0600-00002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56" authorId="1" shapeId="0" xr:uid="{00000000-0006-0000-0600-00002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57" authorId="1" shapeId="0" xr:uid="{00000000-0006-0000-0600-00002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57" authorId="1" shapeId="0" xr:uid="{00000000-0006-0000-0600-00002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57" authorId="1" shapeId="0" xr:uid="{00000000-0006-0000-0600-00002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57" authorId="1" shapeId="0" xr:uid="{00000000-0006-0000-0600-00002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58" authorId="1" shapeId="0" xr:uid="{00000000-0006-0000-0600-00002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58" authorId="1" shapeId="0" xr:uid="{00000000-0006-0000-0600-00003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58" authorId="1" shapeId="0" xr:uid="{00000000-0006-0000-0600-00003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58" authorId="1" shapeId="0" xr:uid="{00000000-0006-0000-0600-00003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A60" authorId="1" shapeId="0" xr:uid="{00000000-0006-0000-0600-000033000000}">
      <text>
        <r>
          <rPr>
            <b/>
            <sz val="8"/>
            <color indexed="81"/>
            <rFont val="Tahoma"/>
            <family val="2"/>
          </rPr>
          <t>mcihak:</t>
        </r>
        <r>
          <rPr>
            <sz val="8"/>
            <color indexed="81"/>
            <rFont val="Tahoma"/>
            <family val="2"/>
          </rPr>
          <t xml:space="preserve">
Second iteration needs to be run for the failures of SB2 and FB3. In both cases, the second iteration would involve the failure of DB1 and deduct from each bank's capital their exposure to DB1.</t>
        </r>
      </text>
    </comment>
    <comment ref="B60" authorId="1" shapeId="0" xr:uid="{00000000-0006-0000-0600-00003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0" authorId="1" shapeId="0" xr:uid="{00000000-0006-0000-0600-00003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0" authorId="1" shapeId="0" xr:uid="{00000000-0006-0000-0600-00003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0" authorId="1" shapeId="0" xr:uid="{00000000-0006-0000-0600-00003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61" authorId="1" shapeId="0" xr:uid="{00000000-0006-0000-0600-00003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1" authorId="1" shapeId="0" xr:uid="{00000000-0006-0000-0600-00003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1" authorId="1" shapeId="0" xr:uid="{00000000-0006-0000-0600-00003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1" authorId="1" shapeId="0" xr:uid="{00000000-0006-0000-0600-00003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62" authorId="1" shapeId="0" xr:uid="{00000000-0006-0000-0600-00003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2" authorId="1" shapeId="0" xr:uid="{00000000-0006-0000-0600-00003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2" authorId="1" shapeId="0" xr:uid="{00000000-0006-0000-0600-00003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2" authorId="1" shapeId="0" xr:uid="{00000000-0006-0000-0600-00003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63" authorId="1" shapeId="0" xr:uid="{00000000-0006-0000-0600-00004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3" authorId="1" shapeId="0" xr:uid="{00000000-0006-0000-0600-00004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3" authorId="1" shapeId="0" xr:uid="{00000000-0006-0000-0600-00004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3" authorId="1" shapeId="0" xr:uid="{00000000-0006-0000-0600-00004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64" authorId="1" shapeId="0" xr:uid="{00000000-0006-0000-0600-00004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4" authorId="1" shapeId="0" xr:uid="{00000000-0006-0000-0600-00004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4" authorId="1" shapeId="0" xr:uid="{00000000-0006-0000-0600-00004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4" authorId="1" shapeId="0" xr:uid="{00000000-0006-0000-0600-00004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65" authorId="1" shapeId="0" xr:uid="{00000000-0006-0000-0600-00004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5" authorId="1" shapeId="0" xr:uid="{00000000-0006-0000-0600-00004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5" authorId="1" shapeId="0" xr:uid="{00000000-0006-0000-0600-00004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5" authorId="1" shapeId="0" xr:uid="{00000000-0006-0000-0600-00004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66" authorId="1" shapeId="0" xr:uid="{00000000-0006-0000-0600-00004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6" authorId="1" shapeId="0" xr:uid="{00000000-0006-0000-0600-00004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6" authorId="1" shapeId="0" xr:uid="{00000000-0006-0000-0600-00004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6" authorId="1" shapeId="0" xr:uid="{00000000-0006-0000-0600-00004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67" authorId="1" shapeId="0" xr:uid="{00000000-0006-0000-0600-00005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7" authorId="1" shapeId="0" xr:uid="{00000000-0006-0000-0600-00005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7" authorId="1" shapeId="0" xr:uid="{00000000-0006-0000-0600-00005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7" authorId="1" shapeId="0" xr:uid="{00000000-0006-0000-0600-00005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68" authorId="1" shapeId="0" xr:uid="{00000000-0006-0000-0600-00005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8" authorId="1" shapeId="0" xr:uid="{00000000-0006-0000-0600-00005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8" authorId="1" shapeId="0" xr:uid="{00000000-0006-0000-0600-00005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8" authorId="1" shapeId="0" xr:uid="{00000000-0006-0000-0600-00005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69" authorId="1" shapeId="0" xr:uid="{00000000-0006-0000-0600-00005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69" authorId="1" shapeId="0" xr:uid="{00000000-0006-0000-0600-00005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69" authorId="1" shapeId="0" xr:uid="{00000000-0006-0000-0600-00005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69" authorId="1" shapeId="0" xr:uid="{00000000-0006-0000-0600-00005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70" authorId="1" shapeId="0" xr:uid="{00000000-0006-0000-0600-00005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70" authorId="1" shapeId="0" xr:uid="{00000000-0006-0000-0600-00005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70" authorId="1" shapeId="0" xr:uid="{00000000-0006-0000-0600-00005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70" authorId="1" shapeId="0" xr:uid="{00000000-0006-0000-0600-00005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71" authorId="1" shapeId="0" xr:uid="{00000000-0006-0000-0600-00006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71" authorId="1" shapeId="0" xr:uid="{00000000-0006-0000-0600-00006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71" authorId="1" shapeId="0" xr:uid="{00000000-0006-0000-0600-00006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71" authorId="1" shapeId="0" xr:uid="{00000000-0006-0000-0600-00006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72" authorId="1" shapeId="0" xr:uid="{00000000-0006-0000-0600-00006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72" authorId="1" shapeId="0" xr:uid="{00000000-0006-0000-0600-00006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72" authorId="1" shapeId="0" xr:uid="{00000000-0006-0000-0600-00006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72" authorId="1" shapeId="0" xr:uid="{00000000-0006-0000-0600-00006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A73" authorId="1" shapeId="0" xr:uid="{00000000-0006-0000-0600-000068000000}">
      <text>
        <r>
          <rPr>
            <b/>
            <sz val="8"/>
            <color indexed="81"/>
            <rFont val="Tahoma"/>
            <family val="2"/>
          </rPr>
          <t>mcihak:</t>
        </r>
        <r>
          <rPr>
            <sz val="8"/>
            <color indexed="81"/>
            <rFont val="Tahoma"/>
            <family val="2"/>
          </rPr>
          <t xml:space="preserve">
Second iteration needs to be run for the failures of SB2 and FB3. In both cases, the second iteration would involve the failure of DB1 and deduct from each bank's capital their exposure to DB1.</t>
        </r>
      </text>
    </comment>
    <comment ref="B74" authorId="1" shapeId="0" xr:uid="{00000000-0006-0000-0600-00006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74" authorId="1" shapeId="0" xr:uid="{00000000-0006-0000-0600-00006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74" authorId="1" shapeId="0" xr:uid="{00000000-0006-0000-0600-00006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74" authorId="1" shapeId="0" xr:uid="{00000000-0006-0000-0600-00006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75" authorId="1" shapeId="0" xr:uid="{00000000-0006-0000-0600-00006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75" authorId="1" shapeId="0" xr:uid="{00000000-0006-0000-0600-00006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75" authorId="1" shapeId="0" xr:uid="{00000000-0006-0000-0600-00006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75" authorId="1" shapeId="0" xr:uid="{00000000-0006-0000-0600-00007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76" authorId="1" shapeId="0" xr:uid="{00000000-0006-0000-0600-00007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76" authorId="1" shapeId="0" xr:uid="{00000000-0006-0000-0600-00007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76" authorId="1" shapeId="0" xr:uid="{00000000-0006-0000-0600-00007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76" authorId="1" shapeId="0" xr:uid="{00000000-0006-0000-0600-00007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77" authorId="1" shapeId="0" xr:uid="{00000000-0006-0000-0600-00007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77" authorId="1" shapeId="0" xr:uid="{00000000-0006-0000-0600-00007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77" authorId="1" shapeId="0" xr:uid="{00000000-0006-0000-0600-00007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77" authorId="1" shapeId="0" xr:uid="{00000000-0006-0000-0600-00007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78" authorId="1" shapeId="0" xr:uid="{00000000-0006-0000-0600-00007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78" authorId="1" shapeId="0" xr:uid="{00000000-0006-0000-0600-00007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78" authorId="1" shapeId="0" xr:uid="{00000000-0006-0000-0600-00007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78" authorId="1" shapeId="0" xr:uid="{00000000-0006-0000-0600-00007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79" authorId="1" shapeId="0" xr:uid="{00000000-0006-0000-0600-00007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79" authorId="1" shapeId="0" xr:uid="{00000000-0006-0000-0600-00007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79" authorId="1" shapeId="0" xr:uid="{00000000-0006-0000-0600-00007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79" authorId="1" shapeId="0" xr:uid="{00000000-0006-0000-0600-00008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80" authorId="1" shapeId="0" xr:uid="{00000000-0006-0000-0600-00008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80" authorId="1" shapeId="0" xr:uid="{00000000-0006-0000-0600-00008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80" authorId="1" shapeId="0" xr:uid="{00000000-0006-0000-0600-00008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80" authorId="1" shapeId="0" xr:uid="{00000000-0006-0000-0600-00008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81" authorId="1" shapeId="0" xr:uid="{00000000-0006-0000-0600-00008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81" authorId="1" shapeId="0" xr:uid="{00000000-0006-0000-0600-00008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81" authorId="1" shapeId="0" xr:uid="{00000000-0006-0000-0600-00008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81" authorId="1" shapeId="0" xr:uid="{00000000-0006-0000-0600-00008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82" authorId="1" shapeId="0" xr:uid="{00000000-0006-0000-0600-00008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82" authorId="1" shapeId="0" xr:uid="{00000000-0006-0000-0600-00008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82" authorId="1" shapeId="0" xr:uid="{00000000-0006-0000-0600-00008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82" authorId="1" shapeId="0" xr:uid="{00000000-0006-0000-0600-00008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83" authorId="1" shapeId="0" xr:uid="{00000000-0006-0000-0600-00008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83" authorId="1" shapeId="0" xr:uid="{00000000-0006-0000-0600-00008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83" authorId="1" shapeId="0" xr:uid="{00000000-0006-0000-0600-00008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83" authorId="1" shapeId="0" xr:uid="{00000000-0006-0000-0600-00009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84" authorId="1" shapeId="0" xr:uid="{00000000-0006-0000-0600-00009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84" authorId="1" shapeId="0" xr:uid="{00000000-0006-0000-0600-00009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84" authorId="1" shapeId="0" xr:uid="{00000000-0006-0000-0600-00009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84" authorId="1" shapeId="0" xr:uid="{00000000-0006-0000-0600-00009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85" authorId="1" shapeId="0" xr:uid="{00000000-0006-0000-0600-00009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85" authorId="1" shapeId="0" xr:uid="{00000000-0006-0000-0600-00009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85" authorId="1" shapeId="0" xr:uid="{00000000-0006-0000-0600-00009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85" authorId="1" shapeId="0" xr:uid="{00000000-0006-0000-0600-00009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A87" authorId="0" shapeId="0" xr:uid="{00000000-0006-0000-0600-000099000000}">
      <text>
        <r>
          <rPr>
            <b/>
            <sz val="8"/>
            <color indexed="81"/>
            <rFont val="Tahoma"/>
            <family val="2"/>
          </rPr>
          <t>MCihak:</t>
        </r>
        <r>
          <rPr>
            <sz val="8"/>
            <color indexed="81"/>
            <rFont val="Tahoma"/>
            <family val="2"/>
          </rPr>
          <t xml:space="preserve">
The cells have conditional formatting: negative capital is in bold italics.</t>
        </r>
      </text>
    </comment>
    <comment ref="B88" authorId="1" shapeId="0" xr:uid="{00000000-0006-0000-0600-00009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88" authorId="1" shapeId="0" xr:uid="{00000000-0006-0000-0600-00009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88" authorId="1" shapeId="0" xr:uid="{00000000-0006-0000-0600-00009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88" authorId="1" shapeId="0" xr:uid="{00000000-0006-0000-0600-00009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89" authorId="1" shapeId="0" xr:uid="{00000000-0006-0000-0600-00009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89" authorId="1" shapeId="0" xr:uid="{00000000-0006-0000-0600-00009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89" authorId="1" shapeId="0" xr:uid="{00000000-0006-0000-0600-0000A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89" authorId="1" shapeId="0" xr:uid="{00000000-0006-0000-0600-0000A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0" authorId="1" shapeId="0" xr:uid="{00000000-0006-0000-0600-0000A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0" authorId="1" shapeId="0" xr:uid="{00000000-0006-0000-0600-0000A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0" authorId="1" shapeId="0" xr:uid="{00000000-0006-0000-0600-0000A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0" authorId="1" shapeId="0" xr:uid="{00000000-0006-0000-0600-0000A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1" authorId="1" shapeId="0" xr:uid="{00000000-0006-0000-0600-0000A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1" authorId="1" shapeId="0" xr:uid="{00000000-0006-0000-0600-0000A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1" authorId="1" shapeId="0" xr:uid="{00000000-0006-0000-0600-0000A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1" authorId="1" shapeId="0" xr:uid="{00000000-0006-0000-0600-0000A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2" authorId="1" shapeId="0" xr:uid="{00000000-0006-0000-0600-0000A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2" authorId="1" shapeId="0" xr:uid="{00000000-0006-0000-0600-0000A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2" authorId="1" shapeId="0" xr:uid="{00000000-0006-0000-0600-0000A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2" authorId="1" shapeId="0" xr:uid="{00000000-0006-0000-0600-0000A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3" authorId="1" shapeId="0" xr:uid="{00000000-0006-0000-0600-0000A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3" authorId="1" shapeId="0" xr:uid="{00000000-0006-0000-0600-0000A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3" authorId="1" shapeId="0" xr:uid="{00000000-0006-0000-0600-0000B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3" authorId="1" shapeId="0" xr:uid="{00000000-0006-0000-0600-0000B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4" authorId="1" shapeId="0" xr:uid="{00000000-0006-0000-0600-0000B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4" authorId="1" shapeId="0" xr:uid="{00000000-0006-0000-0600-0000B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4" authorId="1" shapeId="0" xr:uid="{00000000-0006-0000-0600-0000B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4" authorId="1" shapeId="0" xr:uid="{00000000-0006-0000-0600-0000B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5" authorId="1" shapeId="0" xr:uid="{00000000-0006-0000-0600-0000B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5" authorId="1" shapeId="0" xr:uid="{00000000-0006-0000-0600-0000B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5" authorId="1" shapeId="0" xr:uid="{00000000-0006-0000-0600-0000B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5" authorId="1" shapeId="0" xr:uid="{00000000-0006-0000-0600-0000B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6" authorId="1" shapeId="0" xr:uid="{00000000-0006-0000-0600-0000B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6" authorId="1" shapeId="0" xr:uid="{00000000-0006-0000-0600-0000B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6" authorId="1" shapeId="0" xr:uid="{00000000-0006-0000-0600-0000B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6" authorId="1" shapeId="0" xr:uid="{00000000-0006-0000-0600-0000B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7" authorId="1" shapeId="0" xr:uid="{00000000-0006-0000-0600-0000B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7" authorId="1" shapeId="0" xr:uid="{00000000-0006-0000-0600-0000B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7" authorId="1" shapeId="0" xr:uid="{00000000-0006-0000-0600-0000C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7" authorId="1" shapeId="0" xr:uid="{00000000-0006-0000-0600-0000C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8" authorId="1" shapeId="0" xr:uid="{00000000-0006-0000-0600-0000C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8" authorId="1" shapeId="0" xr:uid="{00000000-0006-0000-0600-0000C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8" authorId="1" shapeId="0" xr:uid="{00000000-0006-0000-0600-0000C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8" authorId="1" shapeId="0" xr:uid="{00000000-0006-0000-0600-0000C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99" authorId="1" shapeId="0" xr:uid="{00000000-0006-0000-0600-0000C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99" authorId="1" shapeId="0" xr:uid="{00000000-0006-0000-0600-0000C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99" authorId="1" shapeId="0" xr:uid="{00000000-0006-0000-0600-0000C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99" authorId="1" shapeId="0" xr:uid="{00000000-0006-0000-0600-0000C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A100" authorId="0" shapeId="0" xr:uid="{00000000-0006-0000-0600-0000CA000000}">
      <text>
        <r>
          <rPr>
            <b/>
            <sz val="8"/>
            <color indexed="81"/>
            <rFont val="Tahoma"/>
            <family val="2"/>
          </rPr>
          <t>MCihak:</t>
        </r>
        <r>
          <rPr>
            <sz val="8"/>
            <color indexed="81"/>
            <rFont val="Tahoma"/>
            <family val="2"/>
          </rPr>
          <t xml:space="preserve">
The cells have conditional formatting: negative capital is in bold italics.</t>
        </r>
      </text>
    </comment>
    <comment ref="C101" authorId="1" shapeId="0" xr:uid="{00000000-0006-0000-0600-0000C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01" authorId="1" shapeId="0" xr:uid="{00000000-0006-0000-0600-0000C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01" authorId="1" shapeId="0" xr:uid="{00000000-0006-0000-0600-0000C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02" authorId="1" shapeId="0" xr:uid="{00000000-0006-0000-0600-0000C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02" authorId="1" shapeId="0" xr:uid="{00000000-0006-0000-0600-0000C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02" authorId="1" shapeId="0" xr:uid="{00000000-0006-0000-0600-0000D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03" authorId="1" shapeId="0" xr:uid="{00000000-0006-0000-0600-0000D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03" authorId="1" shapeId="0" xr:uid="{00000000-0006-0000-0600-0000D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03" authorId="1" shapeId="0" xr:uid="{00000000-0006-0000-0600-0000D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04" authorId="1" shapeId="0" xr:uid="{00000000-0006-0000-0600-0000D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04" authorId="1" shapeId="0" xr:uid="{00000000-0006-0000-0600-0000D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04" authorId="1" shapeId="0" xr:uid="{00000000-0006-0000-0600-0000D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05" authorId="1" shapeId="0" xr:uid="{00000000-0006-0000-0600-0000D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05" authorId="1" shapeId="0" xr:uid="{00000000-0006-0000-0600-0000D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05" authorId="1" shapeId="0" xr:uid="{00000000-0006-0000-0600-0000D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06" authorId="1" shapeId="0" xr:uid="{00000000-0006-0000-0600-0000D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06" authorId="1" shapeId="0" xr:uid="{00000000-0006-0000-0600-0000D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06" authorId="1" shapeId="0" xr:uid="{00000000-0006-0000-0600-0000D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07" authorId="1" shapeId="0" xr:uid="{00000000-0006-0000-0600-0000D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07" authorId="1" shapeId="0" xr:uid="{00000000-0006-0000-0600-0000D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07" authorId="1" shapeId="0" xr:uid="{00000000-0006-0000-0600-0000D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08" authorId="1" shapeId="0" xr:uid="{00000000-0006-0000-0600-0000E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08" authorId="1" shapeId="0" xr:uid="{00000000-0006-0000-0600-0000E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08" authorId="1" shapeId="0" xr:uid="{00000000-0006-0000-0600-0000E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09" authorId="1" shapeId="0" xr:uid="{00000000-0006-0000-0600-0000E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09" authorId="1" shapeId="0" xr:uid="{00000000-0006-0000-0600-0000E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09" authorId="1" shapeId="0" xr:uid="{00000000-0006-0000-0600-0000E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10" authorId="1" shapeId="0" xr:uid="{00000000-0006-0000-0600-0000E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10" authorId="1" shapeId="0" xr:uid="{00000000-0006-0000-0600-0000E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10" authorId="1" shapeId="0" xr:uid="{00000000-0006-0000-0600-0000E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11" authorId="1" shapeId="0" xr:uid="{00000000-0006-0000-0600-0000E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11" authorId="1" shapeId="0" xr:uid="{00000000-0006-0000-0600-0000E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11" authorId="1" shapeId="0" xr:uid="{00000000-0006-0000-0600-0000E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12" authorId="1" shapeId="0" xr:uid="{00000000-0006-0000-0600-0000E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12" authorId="1" shapeId="0" xr:uid="{00000000-0006-0000-0600-0000E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12" authorId="1" shapeId="0" xr:uid="{00000000-0006-0000-0600-0000E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A114" authorId="1" shapeId="0" xr:uid="{00000000-0006-0000-0600-0000EF000000}">
      <text>
        <r>
          <rPr>
            <b/>
            <sz val="8"/>
            <color indexed="81"/>
            <rFont val="Tahoma"/>
            <family val="2"/>
          </rPr>
          <t>mcihak:</t>
        </r>
        <r>
          <rPr>
            <sz val="8"/>
            <color indexed="81"/>
            <rFont val="Tahoma"/>
            <family val="2"/>
          </rPr>
          <t xml:space="preserve">
Third iteration is not run, since the second one does not lead to any additional failures.</t>
        </r>
      </text>
    </comment>
    <comment ref="B114" authorId="1" shapeId="0" xr:uid="{00000000-0006-0000-0600-0000F0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14" authorId="1" shapeId="0" xr:uid="{00000000-0006-0000-0600-0000F1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14" authorId="1" shapeId="0" xr:uid="{00000000-0006-0000-0600-0000F2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14" authorId="1" shapeId="0" xr:uid="{00000000-0006-0000-0600-0000F3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15" authorId="1" shapeId="0" xr:uid="{00000000-0006-0000-0600-0000F4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15" authorId="1" shapeId="0" xr:uid="{00000000-0006-0000-0600-0000F5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15" authorId="1" shapeId="0" xr:uid="{00000000-0006-0000-0600-0000F6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15" authorId="1" shapeId="0" xr:uid="{00000000-0006-0000-0600-0000F7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16" authorId="1" shapeId="0" xr:uid="{00000000-0006-0000-0600-0000F8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16" authorId="1" shapeId="0" xr:uid="{00000000-0006-0000-0600-0000F9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16" authorId="1" shapeId="0" xr:uid="{00000000-0006-0000-0600-0000FA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16" authorId="1" shapeId="0" xr:uid="{00000000-0006-0000-0600-0000FB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17" authorId="1" shapeId="0" xr:uid="{00000000-0006-0000-0600-0000FC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17" authorId="1" shapeId="0" xr:uid="{00000000-0006-0000-0600-0000FD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17" authorId="1" shapeId="0" xr:uid="{00000000-0006-0000-0600-0000FE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17" authorId="1" shapeId="0" xr:uid="{00000000-0006-0000-0600-0000FF00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18" authorId="1" shapeId="0" xr:uid="{00000000-0006-0000-0600-000000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18" authorId="1" shapeId="0" xr:uid="{00000000-0006-0000-0600-000001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18" authorId="1" shapeId="0" xr:uid="{00000000-0006-0000-0600-000002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18" authorId="1" shapeId="0" xr:uid="{00000000-0006-0000-0600-000003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19" authorId="1" shapeId="0" xr:uid="{00000000-0006-0000-0600-000004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19" authorId="1" shapeId="0" xr:uid="{00000000-0006-0000-0600-000005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19" authorId="1" shapeId="0" xr:uid="{00000000-0006-0000-0600-000006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19" authorId="1" shapeId="0" xr:uid="{00000000-0006-0000-0600-000007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20" authorId="1" shapeId="0" xr:uid="{00000000-0006-0000-0600-000008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20" authorId="1" shapeId="0" xr:uid="{00000000-0006-0000-0600-000009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20" authorId="1" shapeId="0" xr:uid="{00000000-0006-0000-0600-00000A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20" authorId="1" shapeId="0" xr:uid="{00000000-0006-0000-0600-00000B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21" authorId="1" shapeId="0" xr:uid="{00000000-0006-0000-0600-00000C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21" authorId="1" shapeId="0" xr:uid="{00000000-0006-0000-0600-00000D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21" authorId="1" shapeId="0" xr:uid="{00000000-0006-0000-0600-00000E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21" authorId="1" shapeId="0" xr:uid="{00000000-0006-0000-0600-00000F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22" authorId="1" shapeId="0" xr:uid="{00000000-0006-0000-0600-000010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22" authorId="1" shapeId="0" xr:uid="{00000000-0006-0000-0600-000011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22" authorId="1" shapeId="0" xr:uid="{00000000-0006-0000-0600-000012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22" authorId="1" shapeId="0" xr:uid="{00000000-0006-0000-0600-000013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23" authorId="1" shapeId="0" xr:uid="{00000000-0006-0000-0600-000014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23" authorId="1" shapeId="0" xr:uid="{00000000-0006-0000-0600-000015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23" authorId="1" shapeId="0" xr:uid="{00000000-0006-0000-0600-000016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23" authorId="1" shapeId="0" xr:uid="{00000000-0006-0000-0600-000017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24" authorId="1" shapeId="0" xr:uid="{00000000-0006-0000-0600-000018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24" authorId="1" shapeId="0" xr:uid="{00000000-0006-0000-0600-000019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24" authorId="1" shapeId="0" xr:uid="{00000000-0006-0000-0600-00001A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24" authorId="1" shapeId="0" xr:uid="{00000000-0006-0000-0600-00001B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25" authorId="1" shapeId="0" xr:uid="{00000000-0006-0000-0600-00001C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25" authorId="1" shapeId="0" xr:uid="{00000000-0006-0000-0600-00001D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25" authorId="1" shapeId="0" xr:uid="{00000000-0006-0000-0600-00001E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25" authorId="1" shapeId="0" xr:uid="{00000000-0006-0000-0600-00001F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B126" authorId="1" shapeId="0" xr:uid="{00000000-0006-0000-0600-000020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C126" authorId="1" shapeId="0" xr:uid="{00000000-0006-0000-0600-000021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D126" authorId="1" shapeId="0" xr:uid="{00000000-0006-0000-0600-000022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E126" authorId="1" shapeId="0" xr:uid="{00000000-0006-0000-0600-000023010000}">
      <text>
        <r>
          <rPr>
            <b/>
            <sz val="8"/>
            <color indexed="81"/>
            <rFont val="Tahoma"/>
            <family val="2"/>
          </rPr>
          <t>mcihak:</t>
        </r>
        <r>
          <rPr>
            <sz val="8"/>
            <color indexed="81"/>
            <rFont val="Tahoma"/>
            <family val="2"/>
          </rPr>
          <t xml:space="preserve">
The summary cells in this exercise are left empty. The pure interbank contagion as presented here looks at the impact of individual bank's failure, not the failure of a group of banks, even though such extension is possible.</t>
        </r>
      </text>
    </comment>
    <comment ref="A157" authorId="0" shapeId="0" xr:uid="{00000000-0006-0000-0600-000024010000}">
      <text>
        <r>
          <rPr>
            <b/>
            <sz val="8"/>
            <color indexed="81"/>
            <rFont val="Tahoma"/>
            <family val="2"/>
          </rPr>
          <t>MCihak:</t>
        </r>
        <r>
          <rPr>
            <sz val="8"/>
            <color indexed="81"/>
            <rFont val="Tahoma"/>
            <family val="2"/>
          </rPr>
          <t xml:space="preserve">
The memo item on the right indicates the probability of the failure of the bank in the row, using results from an EWS model.</t>
        </r>
      </text>
    </comment>
    <comment ref="A161" authorId="1" shapeId="0" xr:uid="{00000000-0006-0000-0600-000025010000}">
      <text>
        <r>
          <rPr>
            <b/>
            <sz val="8"/>
            <color indexed="81"/>
            <rFont val="Tahoma"/>
            <family val="2"/>
          </rPr>
          <t>mcihak:</t>
        </r>
        <r>
          <rPr>
            <sz val="8"/>
            <color indexed="81"/>
            <rFont val="Tahoma"/>
            <family val="2"/>
          </rPr>
          <t xml:space="preserve">
The default value of this variable is -1. Its value is 0 if the bank fails before the contagion, 1 if it fails in the 1st iteration, 2 if it fails in the 2nd iteration, and so on.</t>
        </r>
      </text>
    </comment>
    <comment ref="A163" authorId="0" shapeId="0" xr:uid="{00000000-0006-0000-0600-000026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64" authorId="0" shapeId="0" xr:uid="{00000000-0006-0000-0600-000027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65" authorId="0" shapeId="0" xr:uid="{00000000-0006-0000-0600-000028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66" authorId="0" shapeId="0" xr:uid="{00000000-0006-0000-0600-000029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67" authorId="0" shapeId="0" xr:uid="{00000000-0006-0000-0600-00002A010000}">
      <text>
        <r>
          <rPr>
            <b/>
            <sz val="8"/>
            <color indexed="81"/>
            <rFont val="Tahoma"/>
            <family val="2"/>
          </rPr>
          <t>MCihak:</t>
        </r>
        <r>
          <rPr>
            <sz val="8"/>
            <color indexed="81"/>
            <rFont val="Tahoma"/>
            <family val="2"/>
          </rPr>
          <t xml:space="preserve">
The memo item on the right indicates the probability of the failure of the bank in the row, using results from an EWS model.</t>
        </r>
      </text>
    </comment>
    <comment ref="A169" authorId="0" shapeId="0" xr:uid="{00000000-0006-0000-0600-00002B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70" authorId="0" shapeId="0" xr:uid="{00000000-0006-0000-0600-00002C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71" authorId="0" shapeId="0" xr:uid="{00000000-0006-0000-0600-00002D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72" authorId="0" shapeId="0" xr:uid="{00000000-0006-0000-0600-00002E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73" authorId="0" shapeId="0" xr:uid="{00000000-0006-0000-0600-00002F010000}">
      <text>
        <r>
          <rPr>
            <b/>
            <sz val="8"/>
            <color indexed="81"/>
            <rFont val="Tahoma"/>
            <family val="2"/>
          </rPr>
          <t>MCihak:</t>
        </r>
        <r>
          <rPr>
            <sz val="8"/>
            <color indexed="81"/>
            <rFont val="Tahoma"/>
            <family val="2"/>
          </rPr>
          <t xml:space="preserve">
The memo item on the right indicates the probability of the failure of the bank in the row, using results from an EWS model.</t>
        </r>
      </text>
    </comment>
    <comment ref="A175" authorId="0" shapeId="0" xr:uid="{00000000-0006-0000-0600-000030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76" authorId="0" shapeId="0" xr:uid="{00000000-0006-0000-0600-000031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77" authorId="0" shapeId="0" xr:uid="{00000000-0006-0000-0600-000032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78" authorId="0" shapeId="0" xr:uid="{00000000-0006-0000-0600-000033010000}">
      <text>
        <r>
          <rPr>
            <b/>
            <sz val="8"/>
            <color indexed="81"/>
            <rFont val="Tahoma"/>
            <family val="2"/>
          </rPr>
          <t>MCihak:</t>
        </r>
        <r>
          <rPr>
            <sz val="8"/>
            <color indexed="81"/>
            <rFont val="Tahoma"/>
            <family val="2"/>
          </rPr>
          <t xml:space="preserve">
The cells have conditional formatting: for each bank, the bold italics denote the minimum CAR (within the column), i.e. it shows which banks' failure causes the particular bank's CAR to become minimal.</t>
        </r>
      </text>
    </comment>
    <comment ref="A179" authorId="0" shapeId="0" xr:uid="{00000000-0006-0000-0600-000034010000}">
      <text>
        <r>
          <rPr>
            <b/>
            <sz val="8"/>
            <color indexed="81"/>
            <rFont val="Tahoma"/>
            <family val="2"/>
          </rPr>
          <t>MCihak:</t>
        </r>
        <r>
          <rPr>
            <sz val="8"/>
            <color indexed="81"/>
            <rFont val="Tahoma"/>
            <family val="2"/>
          </rPr>
          <t xml:space="preserve">
The memo item on the right indicates the probability of the failure of the bank in the row, using results from an EWS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MCihak</author>
    <author>mcihak</author>
  </authors>
  <commentList>
    <comment ref="A3" authorId="0" shapeId="0" xr:uid="{00000000-0006-0000-0800-000001000000}">
      <text>
        <r>
          <rPr>
            <b/>
            <sz val="8"/>
            <color indexed="81"/>
            <rFont val="Tahoma"/>
            <family val="2"/>
          </rPr>
          <t>MCihak:</t>
        </r>
        <r>
          <rPr>
            <sz val="8"/>
            <color indexed="81"/>
            <rFont val="Tahoma"/>
            <family val="2"/>
          </rPr>
          <t xml:space="preserve">
The relative sizes of the shocks should be calibrated using a "top-down approach." For example, an econometric model should be used to estimate the relationship between an increase in NPLs and other macroeconomic variables. This relationship should then be used as a basis for choosing the relative sizes of the shocks to the risk factors.</t>
        </r>
      </text>
    </comment>
    <comment ref="A4" authorId="0" shapeId="0" xr:uid="{00000000-0006-0000-0800-000002000000}">
      <text>
        <r>
          <rPr>
            <b/>
            <sz val="8"/>
            <color indexed="81"/>
            <rFont val="Tahoma"/>
            <family val="2"/>
          </rPr>
          <t>MCihak:</t>
        </r>
        <r>
          <rPr>
            <sz val="8"/>
            <color indexed="81"/>
            <rFont val="Tahoma"/>
            <family val="2"/>
          </rPr>
          <t xml:space="preserve">
The parameters and assumptions presented here are linked to worksheets corresponding to the individual risks. To change the individual shocks or assumptions, changes need to be made in the respective worksheets.</t>
        </r>
      </text>
    </comment>
    <comment ref="D4" authorId="0" shapeId="0" xr:uid="{00000000-0006-0000-0800-000003000000}">
      <text>
        <r>
          <rPr>
            <b/>
            <sz val="8"/>
            <color indexed="81"/>
            <rFont val="Tahoma"/>
            <family val="2"/>
          </rPr>
          <t>MCihak:</t>
        </r>
        <r>
          <rPr>
            <sz val="8"/>
            <color indexed="81"/>
            <rFont val="Tahoma"/>
            <family val="2"/>
          </rPr>
          <t xml:space="preserve">
The parameters and assumptions presented here are linked to worksheets corresponding to the individual risks. To change the individual shocks or assumptions, changes need to be made in the respective worksheets.</t>
        </r>
      </text>
    </comment>
    <comment ref="A5" authorId="0" shapeId="0" xr:uid="{00000000-0006-0000-0800-000004000000}">
      <text>
        <r>
          <rPr>
            <b/>
            <sz val="8"/>
            <color indexed="81"/>
            <rFont val="Tahoma"/>
            <family val="2"/>
          </rPr>
          <t>MCihak:</t>
        </r>
        <r>
          <rPr>
            <sz val="8"/>
            <color indexed="81"/>
            <rFont val="Tahoma"/>
            <family val="2"/>
          </rPr>
          <t xml:space="preserve">
The parameters and assumptions presented here are linked to worksheets corresponding to the individual risks. To change the individual shocks or assumptions, changes need to be made in the respective worksheets.</t>
        </r>
      </text>
    </comment>
    <comment ref="A6" authorId="0" shapeId="0" xr:uid="{00000000-0006-0000-0800-000005000000}">
      <text>
        <r>
          <rPr>
            <b/>
            <sz val="8"/>
            <color indexed="81"/>
            <rFont val="Tahoma"/>
            <family val="2"/>
          </rPr>
          <t>MCihak:</t>
        </r>
        <r>
          <rPr>
            <sz val="8"/>
            <color indexed="81"/>
            <rFont val="Tahoma"/>
            <family val="2"/>
          </rPr>
          <t xml:space="preserve">
The parameters and assumptions presented here are linked to worksheets corresponding to the individual risks. To change the individual shocks or assumptions, changes need to be made in the respective worksheets.</t>
        </r>
      </text>
    </comment>
    <comment ref="A65" authorId="1" shapeId="0" xr:uid="{00000000-0006-0000-0800-000006000000}">
      <text>
        <r>
          <rPr>
            <b/>
            <sz val="8"/>
            <color indexed="81"/>
            <rFont val="Tahoma"/>
            <family val="2"/>
          </rPr>
          <t>mcihak:</t>
        </r>
        <r>
          <rPr>
            <sz val="8"/>
            <color indexed="81"/>
            <rFont val="Tahoma"/>
            <family val="2"/>
          </rPr>
          <t xml:space="preserve">
1=most risky, 2=medium risk, 3=low risk</t>
        </r>
      </text>
    </comment>
    <comment ref="A66" authorId="1" shapeId="0" xr:uid="{00000000-0006-0000-0800-000007000000}">
      <text>
        <r>
          <rPr>
            <b/>
            <sz val="8"/>
            <color indexed="81"/>
            <rFont val="Tahoma"/>
            <family val="2"/>
          </rPr>
          <t>mcihak:</t>
        </r>
        <r>
          <rPr>
            <sz val="8"/>
            <color indexed="81"/>
            <rFont val="Tahoma"/>
            <family val="2"/>
          </rPr>
          <t xml:space="preserve">
1=most risky, 2=medium risk, 3=low risk</t>
        </r>
      </text>
    </comment>
    <comment ref="A67" authorId="1" shapeId="0" xr:uid="{00000000-0006-0000-0800-000008000000}">
      <text>
        <r>
          <rPr>
            <b/>
            <sz val="8"/>
            <color indexed="81"/>
            <rFont val="Tahoma"/>
            <family val="2"/>
          </rPr>
          <t>mcihak:</t>
        </r>
        <r>
          <rPr>
            <sz val="8"/>
            <color indexed="81"/>
            <rFont val="Tahoma"/>
            <family val="2"/>
          </rPr>
          <t xml:space="preserve">
1=most risky, 2=medium risk, 3=low risk</t>
        </r>
      </text>
    </comment>
    <comment ref="A68" authorId="1" shapeId="0" xr:uid="{00000000-0006-0000-0800-000009000000}">
      <text>
        <r>
          <rPr>
            <b/>
            <sz val="8"/>
            <color indexed="81"/>
            <rFont val="Tahoma"/>
            <family val="2"/>
          </rPr>
          <t>mcihak:</t>
        </r>
        <r>
          <rPr>
            <sz val="8"/>
            <color indexed="81"/>
            <rFont val="Tahoma"/>
            <family val="2"/>
          </rPr>
          <t xml:space="preserve">
1=most risky, 2=medium risk, 3=low risk</t>
        </r>
      </text>
    </comment>
    <comment ref="A69" authorId="1" shapeId="0" xr:uid="{00000000-0006-0000-0800-00000A000000}">
      <text>
        <r>
          <rPr>
            <b/>
            <sz val="8"/>
            <color indexed="81"/>
            <rFont val="Tahoma"/>
            <family val="2"/>
          </rPr>
          <t>mcihak:</t>
        </r>
        <r>
          <rPr>
            <sz val="8"/>
            <color indexed="81"/>
            <rFont val="Tahoma"/>
            <family val="2"/>
          </rPr>
          <t xml:space="preserve">
1=most risky, 2=medium risk, 3=low risk</t>
        </r>
      </text>
    </comment>
    <comment ref="A70" authorId="1" shapeId="0" xr:uid="{00000000-0006-0000-0800-00000B000000}">
      <text>
        <r>
          <rPr>
            <b/>
            <sz val="8"/>
            <color indexed="81"/>
            <rFont val="Tahoma"/>
            <family val="2"/>
          </rPr>
          <t>mcihak:</t>
        </r>
        <r>
          <rPr>
            <sz val="8"/>
            <color indexed="81"/>
            <rFont val="Tahoma"/>
            <family val="2"/>
          </rPr>
          <t xml:space="preserve">
1=most risky, 2=medium risk, 3=low risk</t>
        </r>
      </text>
    </comment>
    <comment ref="A71" authorId="1" shapeId="0" xr:uid="{00000000-0006-0000-0800-00000C000000}">
      <text>
        <r>
          <rPr>
            <b/>
            <sz val="8"/>
            <color indexed="81"/>
            <rFont val="Tahoma"/>
            <family val="2"/>
          </rPr>
          <t>mcihak:</t>
        </r>
        <r>
          <rPr>
            <sz val="8"/>
            <color indexed="81"/>
            <rFont val="Tahoma"/>
            <family val="2"/>
          </rPr>
          <t xml:space="preserve">
1=most risky, 2=medium risk, 3=low risk</t>
        </r>
      </text>
    </comment>
    <comment ref="A72" authorId="1" shapeId="0" xr:uid="{00000000-0006-0000-0800-00000D000000}">
      <text>
        <r>
          <rPr>
            <b/>
            <sz val="8"/>
            <color indexed="81"/>
            <rFont val="Tahoma"/>
            <family val="2"/>
          </rPr>
          <t>mcihak:</t>
        </r>
        <r>
          <rPr>
            <sz val="8"/>
            <color indexed="81"/>
            <rFont val="Tahoma"/>
            <family val="2"/>
          </rPr>
          <t xml:space="preserve">
1=most risky, 2=medium risk, 3=low risk</t>
        </r>
      </text>
    </comment>
    <comment ref="A73" authorId="1" shapeId="0" xr:uid="{00000000-0006-0000-0800-00000E000000}">
      <text>
        <r>
          <rPr>
            <b/>
            <sz val="8"/>
            <color indexed="81"/>
            <rFont val="Tahoma"/>
            <family val="2"/>
          </rPr>
          <t>mcihak:</t>
        </r>
        <r>
          <rPr>
            <sz val="8"/>
            <color indexed="81"/>
            <rFont val="Tahoma"/>
            <family val="2"/>
          </rPr>
          <t xml:space="preserve">
1=most risky, 2=medium risk, 3=low risk</t>
        </r>
      </text>
    </comment>
    <comment ref="A74" authorId="1" shapeId="0" xr:uid="{00000000-0006-0000-0800-00000F000000}">
      <text>
        <r>
          <rPr>
            <b/>
            <sz val="8"/>
            <color indexed="81"/>
            <rFont val="Tahoma"/>
            <family val="2"/>
          </rPr>
          <t>mcihak:</t>
        </r>
        <r>
          <rPr>
            <sz val="8"/>
            <color indexed="81"/>
            <rFont val="Tahoma"/>
            <family val="2"/>
          </rPr>
          <t xml:space="preserve">
1=most risky, 2=medium risk, 3=low risk</t>
        </r>
      </text>
    </comment>
    <comment ref="A75" authorId="1" shapeId="0" xr:uid="{00000000-0006-0000-0800-000010000000}">
      <text>
        <r>
          <rPr>
            <b/>
            <sz val="8"/>
            <color indexed="81"/>
            <rFont val="Tahoma"/>
            <family val="2"/>
          </rPr>
          <t>mcihak:</t>
        </r>
        <r>
          <rPr>
            <sz val="8"/>
            <color indexed="81"/>
            <rFont val="Tahoma"/>
            <family val="2"/>
          </rPr>
          <t xml:space="preserve">
1=most risky, 2=medium risk, 3=low risk</t>
        </r>
      </text>
    </comment>
    <comment ref="A76" authorId="1" shapeId="0" xr:uid="{00000000-0006-0000-0800-000011000000}">
      <text>
        <r>
          <rPr>
            <b/>
            <sz val="8"/>
            <color indexed="81"/>
            <rFont val="Tahoma"/>
            <family val="2"/>
          </rPr>
          <t>mcihak:</t>
        </r>
        <r>
          <rPr>
            <sz val="8"/>
            <color indexed="81"/>
            <rFont val="Tahoma"/>
            <family val="2"/>
          </rPr>
          <t xml:space="preserve">
1=most risky, 2=medium risk, 3=low risk</t>
        </r>
      </text>
    </comment>
    <comment ref="A77" authorId="1" shapeId="0" xr:uid="{00000000-0006-0000-0800-000012000000}">
      <text>
        <r>
          <rPr>
            <b/>
            <sz val="8"/>
            <color indexed="81"/>
            <rFont val="Tahoma"/>
            <family val="2"/>
          </rPr>
          <t>mcihak:</t>
        </r>
        <r>
          <rPr>
            <sz val="8"/>
            <color indexed="81"/>
            <rFont val="Tahoma"/>
            <family val="2"/>
          </rPr>
          <t xml:space="preserve">
1=most risky, 2=medium risk, 3=low risk</t>
        </r>
      </text>
    </comment>
    <comment ref="A78" authorId="1" shapeId="0" xr:uid="{00000000-0006-0000-0800-000013000000}">
      <text>
        <r>
          <rPr>
            <b/>
            <sz val="8"/>
            <color indexed="81"/>
            <rFont val="Tahoma"/>
            <family val="2"/>
          </rPr>
          <t>mcihak:</t>
        </r>
        <r>
          <rPr>
            <sz val="8"/>
            <color indexed="81"/>
            <rFont val="Tahoma"/>
            <family val="2"/>
          </rPr>
          <t xml:space="preserve">
1=most risky, 2=medium risk, 3=low risk</t>
        </r>
      </text>
    </comment>
    <comment ref="A79" authorId="1" shapeId="0" xr:uid="{00000000-0006-0000-0800-000014000000}">
      <text>
        <r>
          <rPr>
            <b/>
            <sz val="8"/>
            <color indexed="81"/>
            <rFont val="Tahoma"/>
            <family val="2"/>
          </rPr>
          <t>mcihak:</t>
        </r>
        <r>
          <rPr>
            <sz val="8"/>
            <color indexed="81"/>
            <rFont val="Tahoma"/>
            <family val="2"/>
          </rPr>
          <t xml:space="preserve">
1=most risky, 2=medium risk, 3=low risk</t>
        </r>
      </text>
    </comment>
    <comment ref="A80" authorId="1" shapeId="0" xr:uid="{00000000-0006-0000-0800-000015000000}">
      <text>
        <r>
          <rPr>
            <b/>
            <sz val="8"/>
            <color indexed="81"/>
            <rFont val="Tahoma"/>
            <family val="2"/>
          </rPr>
          <t>mcihak:</t>
        </r>
        <r>
          <rPr>
            <sz val="8"/>
            <color indexed="81"/>
            <rFont val="Tahoma"/>
            <family val="2"/>
          </rPr>
          <t xml:space="preserve">
1=most risky, 2=medium risk, 3=low risk</t>
        </r>
      </text>
    </comment>
    <comment ref="A85" authorId="1" shapeId="0" xr:uid="{00000000-0006-0000-0800-000016000000}">
      <text>
        <r>
          <rPr>
            <b/>
            <sz val="8"/>
            <color indexed="81"/>
            <rFont val="Tahoma"/>
            <family val="2"/>
          </rPr>
          <t>mcihak:</t>
        </r>
        <r>
          <rPr>
            <sz val="8"/>
            <color indexed="81"/>
            <rFont val="Tahoma"/>
            <family val="2"/>
          </rPr>
          <t xml:space="preserve">
1=low risk, 2=increased risk, 3=high risk, 4=very high risk</t>
        </r>
      </text>
    </comment>
    <comment ref="A86" authorId="1" shapeId="0" xr:uid="{00000000-0006-0000-0800-000017000000}">
      <text>
        <r>
          <rPr>
            <b/>
            <sz val="8"/>
            <color indexed="81"/>
            <rFont val="Tahoma"/>
            <family val="2"/>
          </rPr>
          <t>mcihak:</t>
        </r>
        <r>
          <rPr>
            <sz val="8"/>
            <color indexed="81"/>
            <rFont val="Tahoma"/>
            <family val="2"/>
          </rPr>
          <t xml:space="preserve">
1=low risk, 2=increased risk, 3=high risk, 4=very high risk</t>
        </r>
      </text>
    </comment>
    <comment ref="A87" authorId="1" shapeId="0" xr:uid="{00000000-0006-0000-0800-000018000000}">
      <text>
        <r>
          <rPr>
            <b/>
            <sz val="8"/>
            <color indexed="81"/>
            <rFont val="Tahoma"/>
            <family val="2"/>
          </rPr>
          <t>mcihak:</t>
        </r>
        <r>
          <rPr>
            <sz val="8"/>
            <color indexed="81"/>
            <rFont val="Tahoma"/>
            <family val="2"/>
          </rPr>
          <t xml:space="preserve">
1=low risk, 2=increased risk, 3=high risk, 4=very high risk</t>
        </r>
      </text>
    </comment>
    <comment ref="A88" authorId="1" shapeId="0" xr:uid="{00000000-0006-0000-0800-000019000000}">
      <text>
        <r>
          <rPr>
            <b/>
            <sz val="8"/>
            <color indexed="81"/>
            <rFont val="Tahoma"/>
            <family val="2"/>
          </rPr>
          <t>mcihak:</t>
        </r>
        <r>
          <rPr>
            <sz val="8"/>
            <color indexed="81"/>
            <rFont val="Tahoma"/>
            <family val="2"/>
          </rPr>
          <t xml:space="preserve">
1=low risk, 2=increased risk, 3=high risk, 4=very high risk</t>
        </r>
      </text>
    </comment>
    <comment ref="A89" authorId="1" shapeId="0" xr:uid="{00000000-0006-0000-0800-00001A000000}">
      <text>
        <r>
          <rPr>
            <b/>
            <sz val="8"/>
            <color indexed="81"/>
            <rFont val="Tahoma"/>
            <family val="2"/>
          </rPr>
          <t>mcihak:</t>
        </r>
        <r>
          <rPr>
            <sz val="8"/>
            <color indexed="81"/>
            <rFont val="Tahoma"/>
            <family val="2"/>
          </rPr>
          <t xml:space="preserve">
1=low risk, 2=increased risk, 3=high risk, 4=very high risk</t>
        </r>
      </text>
    </comment>
    <comment ref="A90" authorId="1" shapeId="0" xr:uid="{00000000-0006-0000-0800-00001B000000}">
      <text>
        <r>
          <rPr>
            <b/>
            <sz val="8"/>
            <color indexed="81"/>
            <rFont val="Tahoma"/>
            <family val="2"/>
          </rPr>
          <t>mcihak:</t>
        </r>
        <r>
          <rPr>
            <sz val="8"/>
            <color indexed="81"/>
            <rFont val="Tahoma"/>
            <family val="2"/>
          </rPr>
          <t xml:space="preserve">
1=low risk, 2=increased risk, 3=high risk, 4=very high risk</t>
        </r>
      </text>
    </comment>
    <comment ref="A91" authorId="1" shapeId="0" xr:uid="{00000000-0006-0000-0800-00001C000000}">
      <text>
        <r>
          <rPr>
            <b/>
            <sz val="8"/>
            <color indexed="81"/>
            <rFont val="Tahoma"/>
            <family val="2"/>
          </rPr>
          <t>mcihak:</t>
        </r>
        <r>
          <rPr>
            <sz val="8"/>
            <color indexed="81"/>
            <rFont val="Tahoma"/>
            <family val="2"/>
          </rPr>
          <t xml:space="preserve">
1=low risk, 2=increased risk, 3=high risk, 4=very high risk</t>
        </r>
      </text>
    </comment>
    <comment ref="A92" authorId="1" shapeId="0" xr:uid="{00000000-0006-0000-0800-00001D000000}">
      <text>
        <r>
          <rPr>
            <b/>
            <sz val="8"/>
            <color indexed="81"/>
            <rFont val="Tahoma"/>
            <family val="2"/>
          </rPr>
          <t>mcihak:</t>
        </r>
        <r>
          <rPr>
            <sz val="8"/>
            <color indexed="81"/>
            <rFont val="Tahoma"/>
            <family val="2"/>
          </rPr>
          <t xml:space="preserve">
1=low risk, 2=increased risk, 3=high risk, 4=very high risk</t>
        </r>
      </text>
    </comment>
    <comment ref="A93" authorId="1" shapeId="0" xr:uid="{00000000-0006-0000-0800-00001E000000}">
      <text>
        <r>
          <rPr>
            <b/>
            <sz val="8"/>
            <color indexed="81"/>
            <rFont val="Tahoma"/>
            <family val="2"/>
          </rPr>
          <t>mcihak:</t>
        </r>
        <r>
          <rPr>
            <sz val="8"/>
            <color indexed="81"/>
            <rFont val="Tahoma"/>
            <family val="2"/>
          </rPr>
          <t xml:space="preserve">
1=low risk, 2=increased risk, 3=high risk, 4=very high risk</t>
        </r>
      </text>
    </comment>
    <comment ref="A94" authorId="1" shapeId="0" xr:uid="{00000000-0006-0000-0800-00001F000000}">
      <text>
        <r>
          <rPr>
            <b/>
            <sz val="8"/>
            <color indexed="81"/>
            <rFont val="Tahoma"/>
            <family val="2"/>
          </rPr>
          <t>mcihak:</t>
        </r>
        <r>
          <rPr>
            <sz val="8"/>
            <color indexed="81"/>
            <rFont val="Tahoma"/>
            <family val="2"/>
          </rPr>
          <t xml:space="preserve">
1=low risk, 2=increased risk, 3=high risk, 4=very high risk</t>
        </r>
      </text>
    </comment>
    <comment ref="A95" authorId="1" shapeId="0" xr:uid="{00000000-0006-0000-0800-000020000000}">
      <text>
        <r>
          <rPr>
            <b/>
            <sz val="8"/>
            <color indexed="81"/>
            <rFont val="Tahoma"/>
            <family val="2"/>
          </rPr>
          <t>mcihak:</t>
        </r>
        <r>
          <rPr>
            <sz val="8"/>
            <color indexed="81"/>
            <rFont val="Tahoma"/>
            <family val="2"/>
          </rPr>
          <t xml:space="preserve">
1=low risk, 2=increased risk, 3=high risk, 4=very high risk</t>
        </r>
      </text>
    </comment>
    <comment ref="A96" authorId="1" shapeId="0" xr:uid="{00000000-0006-0000-0800-000021000000}">
      <text>
        <r>
          <rPr>
            <b/>
            <sz val="8"/>
            <color indexed="81"/>
            <rFont val="Tahoma"/>
            <family val="2"/>
          </rPr>
          <t>mcihak:</t>
        </r>
        <r>
          <rPr>
            <sz val="8"/>
            <color indexed="81"/>
            <rFont val="Tahoma"/>
            <family val="2"/>
          </rPr>
          <t xml:space="preserve">
1=low risk, 2=increased risk, 3=high risk, 4=very high risk</t>
        </r>
      </text>
    </comment>
    <comment ref="A97" authorId="1" shapeId="0" xr:uid="{00000000-0006-0000-0800-000022000000}">
      <text>
        <r>
          <rPr>
            <b/>
            <sz val="8"/>
            <color indexed="81"/>
            <rFont val="Tahoma"/>
            <family val="2"/>
          </rPr>
          <t>mcihak:</t>
        </r>
        <r>
          <rPr>
            <sz val="8"/>
            <color indexed="81"/>
            <rFont val="Tahoma"/>
            <family val="2"/>
          </rPr>
          <t xml:space="preserve">
1=low risk, 2=increased risk, 3=high risk, 4=very high risk</t>
        </r>
      </text>
    </comment>
    <comment ref="A98" authorId="1" shapeId="0" xr:uid="{00000000-0006-0000-0800-000023000000}">
      <text>
        <r>
          <rPr>
            <b/>
            <sz val="8"/>
            <color indexed="81"/>
            <rFont val="Tahoma"/>
            <family val="2"/>
          </rPr>
          <t>mcihak:</t>
        </r>
        <r>
          <rPr>
            <sz val="8"/>
            <color indexed="81"/>
            <rFont val="Tahoma"/>
            <family val="2"/>
          </rPr>
          <t xml:space="preserve">
1=low risk, 2=increased risk, 3=high risk, 4=very high risk</t>
        </r>
      </text>
    </comment>
    <comment ref="A99" authorId="1" shapeId="0" xr:uid="{00000000-0006-0000-0800-000024000000}">
      <text>
        <r>
          <rPr>
            <b/>
            <sz val="8"/>
            <color indexed="81"/>
            <rFont val="Tahoma"/>
            <family val="2"/>
          </rPr>
          <t>mcihak:</t>
        </r>
        <r>
          <rPr>
            <sz val="8"/>
            <color indexed="81"/>
            <rFont val="Tahoma"/>
            <family val="2"/>
          </rPr>
          <t xml:space="preserve">
1=low risk, 2=increased risk, 3=high risk, 4=very high risk</t>
        </r>
      </text>
    </comment>
    <comment ref="A100" authorId="1" shapeId="0" xr:uid="{00000000-0006-0000-0800-000025000000}">
      <text>
        <r>
          <rPr>
            <b/>
            <sz val="8"/>
            <color indexed="81"/>
            <rFont val="Tahoma"/>
            <family val="2"/>
          </rPr>
          <t>mcihak:</t>
        </r>
        <r>
          <rPr>
            <sz val="8"/>
            <color indexed="81"/>
            <rFont val="Tahoma"/>
            <family val="2"/>
          </rPr>
          <t xml:space="preserve">
1=low risk, 2=increased risk, 3=high risk, 4=very high risk</t>
        </r>
      </text>
    </comment>
    <comment ref="A101" authorId="1" shapeId="0" xr:uid="{00000000-0006-0000-0800-000026000000}">
      <text>
        <r>
          <rPr>
            <b/>
            <sz val="8"/>
            <color indexed="81"/>
            <rFont val="Tahoma"/>
            <family val="2"/>
          </rPr>
          <t>mcihak:</t>
        </r>
        <r>
          <rPr>
            <sz val="8"/>
            <color indexed="81"/>
            <rFont val="Tahoma"/>
            <family val="2"/>
          </rPr>
          <t xml:space="preserve">
1=low risk, 2=increased risk, 3=high risk, 4=very high risk</t>
        </r>
      </text>
    </comment>
    <comment ref="A102" authorId="1" shapeId="0" xr:uid="{00000000-0006-0000-0800-000027000000}">
      <text>
        <r>
          <rPr>
            <b/>
            <sz val="8"/>
            <color indexed="81"/>
            <rFont val="Tahoma"/>
            <family val="2"/>
          </rPr>
          <t>mcihak:</t>
        </r>
        <r>
          <rPr>
            <sz val="8"/>
            <color indexed="81"/>
            <rFont val="Tahoma"/>
            <family val="2"/>
          </rPr>
          <t xml:space="preserve">
1=low risk, 2=increased risk, 3=high risk, 4=very high risk</t>
        </r>
      </text>
    </comment>
    <comment ref="A104" authorId="1" shapeId="0" xr:uid="{00000000-0006-0000-0800-000028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05" authorId="1" shapeId="0" xr:uid="{00000000-0006-0000-0800-000029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06" authorId="1" shapeId="0" xr:uid="{00000000-0006-0000-0800-00002A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07" authorId="1" shapeId="0" xr:uid="{00000000-0006-0000-0800-00002B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08" authorId="1" shapeId="0" xr:uid="{00000000-0006-0000-0800-00002C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09" authorId="1" shapeId="0" xr:uid="{00000000-0006-0000-0800-00002D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0" authorId="1" shapeId="0" xr:uid="{00000000-0006-0000-0800-00002E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1" authorId="1" shapeId="0" xr:uid="{00000000-0006-0000-0800-00002F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2" authorId="1" shapeId="0" xr:uid="{00000000-0006-0000-0800-000030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3" authorId="1" shapeId="0" xr:uid="{00000000-0006-0000-0800-000031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4" authorId="1" shapeId="0" xr:uid="{00000000-0006-0000-0800-000032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5" authorId="1" shapeId="0" xr:uid="{00000000-0006-0000-0800-000033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6" authorId="1" shapeId="0" xr:uid="{00000000-0006-0000-0800-000034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7" authorId="1" shapeId="0" xr:uid="{00000000-0006-0000-0800-000035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8" authorId="1" shapeId="0" xr:uid="{00000000-0006-0000-0800-000036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19" authorId="1" shapeId="0" xr:uid="{00000000-0006-0000-0800-000037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20" authorId="1" shapeId="0" xr:uid="{00000000-0006-0000-0800-000038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21" authorId="1" shapeId="0" xr:uid="{00000000-0006-0000-0800-000039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 ref="A122" authorId="1" shapeId="0" xr:uid="{00000000-0006-0000-0800-00003A000000}">
      <text>
        <r>
          <rPr>
            <b/>
            <sz val="8"/>
            <color indexed="81"/>
            <rFont val="Tahoma"/>
            <family val="2"/>
          </rPr>
          <t>mcihak:</t>
        </r>
        <r>
          <rPr>
            <sz val="8"/>
            <color indexed="81"/>
            <rFont val="Tahoma"/>
            <family val="2"/>
          </rPr>
          <t xml:space="preserve">
The probabilities of default (PDs) are based on a step-wise function introduced in the Assumptions sheet. That function should ideally be estimated; here it is assumed for simplicity.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MCihak</author>
  </authors>
  <commentList>
    <comment ref="A7" authorId="0" shapeId="0" xr:uid="{5EAAAA0C-AE23-8C45-BB09-739EB03AA517}">
      <text>
        <r>
          <rPr>
            <b/>
            <sz val="8"/>
            <color rgb="FF000000"/>
            <rFont val="Tahoma"/>
            <family val="2"/>
          </rPr>
          <t>MCihak:</t>
        </r>
        <r>
          <rPr>
            <sz val="8"/>
            <color rgb="FF000000"/>
            <rFont val="Tahoma"/>
            <family val="2"/>
          </rPr>
          <t xml:space="preserve">
</t>
        </r>
        <r>
          <rPr>
            <sz val="8"/>
            <color rgb="FF000000"/>
            <rFont val="Tahoma"/>
            <family val="2"/>
          </rPr>
          <t>This is of course a highly simplified balance sheet, just to present the key calculations. A number of extensions is needed for more elaborate calculations. A particular one, mentioned below, is the issue of interbank credits/deposits, which are zero in these particular balance sheets, but may well be nonzero.</t>
        </r>
      </text>
    </comment>
    <comment ref="A36" authorId="0" shapeId="0" xr:uid="{A79F032D-7D24-7546-9246-F0A0E899250E}">
      <text>
        <r>
          <rPr>
            <b/>
            <sz val="8"/>
            <color rgb="FF000000"/>
            <rFont val="Tahoma"/>
            <family val="2"/>
          </rPr>
          <t>MCihak:</t>
        </r>
        <r>
          <rPr>
            <sz val="8"/>
            <color rgb="FF000000"/>
            <rFont val="Tahoma"/>
            <family val="2"/>
          </rPr>
          <t xml:space="preserve">
</t>
        </r>
        <r>
          <rPr>
            <sz val="8"/>
            <color rgb="FF000000"/>
            <rFont val="Tahoma"/>
            <family val="2"/>
          </rPr>
          <t>The regulatory capital in this particular example simply equals the balance sheet capital (equity). However, these two may be different (and typically are) in practice.</t>
        </r>
      </text>
    </comment>
    <comment ref="A76" authorId="0" shapeId="0" xr:uid="{FA5D9E85-33DC-6649-9D6E-8F94595F3133}">
      <text>
        <r>
          <rPr>
            <b/>
            <sz val="8"/>
            <color indexed="81"/>
            <rFont val="Tahoma"/>
            <family val="2"/>
          </rPr>
          <t>MCihak:</t>
        </r>
        <r>
          <rPr>
            <sz val="8"/>
            <color indexed="81"/>
            <rFont val="Tahoma"/>
            <family val="2"/>
          </rPr>
          <t xml:space="preserve">
These are assumed to reflect both balance sheet data as well as balance sheet equivalents of off-balance sheet positions, in line with the FSI Compilation Guide.</t>
        </r>
      </text>
    </comment>
    <comment ref="A77" authorId="0" shapeId="0" xr:uid="{75B0F914-CCAF-1D44-A906-DF857C1C55CF}">
      <text>
        <r>
          <rPr>
            <b/>
            <sz val="8"/>
            <color rgb="FF000000"/>
            <rFont val="Tahoma"/>
            <family val="2"/>
          </rPr>
          <t>MCihak:</t>
        </r>
        <r>
          <rPr>
            <sz val="8"/>
            <color rgb="FF000000"/>
            <rFont val="Tahoma"/>
            <family val="2"/>
          </rPr>
          <t xml:space="preserve">
</t>
        </r>
        <r>
          <rPr>
            <sz val="8"/>
            <color rgb="FF000000"/>
            <rFont val="Tahoma"/>
            <family val="2"/>
          </rPr>
          <t>In some cases, it may be useful to break these down also by currency or to focus the interest rate stress test only on the domestic currency portion of the interest rate sensitive assets and liabilities. In this simple example, we do not distinguish this by currency.</t>
        </r>
      </text>
    </comment>
    <comment ref="A81" authorId="0" shapeId="0" xr:uid="{FB144515-7191-3D4F-B54A-A8E1B3CC290A}">
      <text>
        <r>
          <rPr>
            <b/>
            <sz val="8"/>
            <color rgb="FF000000"/>
            <rFont val="Tahoma"/>
            <family val="2"/>
          </rPr>
          <t>MCihak:</t>
        </r>
        <r>
          <rPr>
            <sz val="8"/>
            <color rgb="FF000000"/>
            <rFont val="Tahoma"/>
            <family val="2"/>
          </rPr>
          <t xml:space="preserve">
</t>
        </r>
        <r>
          <rPr>
            <sz val="8"/>
            <color rgb="FF000000"/>
            <rFont val="Tahoma"/>
            <family val="2"/>
          </rPr>
          <t>There are assumed to reflect both balance sheet data as well as balance sheet equivalents of off-balance sheet positions, in line with the FSI Compilation Guide.</t>
        </r>
      </text>
    </comment>
    <comment ref="A103" authorId="0" shapeId="0" xr:uid="{C4F23C20-8D66-1342-A111-162CEE20C16B}">
      <text>
        <r>
          <rPr>
            <b/>
            <sz val="8"/>
            <color indexed="81"/>
            <rFont val="Tahoma"/>
            <family val="2"/>
          </rPr>
          <t>MCihak:</t>
        </r>
        <r>
          <rPr>
            <sz val="8"/>
            <color indexed="81"/>
            <rFont val="Tahoma"/>
            <family val="2"/>
          </rPr>
          <t xml:space="preserve">
Profits can be used as a first line of defense in the case of shocks, before capital. In this file, the impacts are for simplicity expressed directly in terms of capital. However, for correctness, the profits are also presented as a possible buffer against losses (see the "Scenarios" sheet).</t>
        </r>
      </text>
    </comment>
    <comment ref="A108" authorId="0" shapeId="0" xr:uid="{FED129C1-5863-C64A-846E-E7051AAF73CC}">
      <text>
        <r>
          <rPr>
            <b/>
            <sz val="8"/>
            <color indexed="81"/>
            <rFont val="Tahoma"/>
            <family val="2"/>
          </rPr>
          <t>MCihak:</t>
        </r>
        <r>
          <rPr>
            <sz val="8"/>
            <color indexed="81"/>
            <rFont val="Tahoma"/>
            <family val="2"/>
          </rPr>
          <t xml:space="preserve">
The other exercises assume no interbank credit. 
The interbank contagion exercise introduces interbank credit.  The interbank contagion exercise is treated separately for presentational simplicity, i.e. we do not show what the balance sheets with the interbank exposures.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MCihak</author>
  </authors>
  <commentList>
    <comment ref="A48" authorId="0" shapeId="0" xr:uid="{CB2809AD-78F6-7B41-A0EB-BA93FFA32C1C}">
      <text>
        <r>
          <rPr>
            <b/>
            <sz val="8"/>
            <color rgb="FF000000"/>
            <rFont val="Tahoma"/>
            <family val="2"/>
          </rPr>
          <t>MCihak:</t>
        </r>
        <r>
          <rPr>
            <sz val="8"/>
            <color rgb="FF000000"/>
            <rFont val="Tahoma"/>
            <family val="2"/>
          </rPr>
          <t xml:space="preserve">
</t>
        </r>
        <r>
          <rPr>
            <sz val="8"/>
            <color rgb="FF000000"/>
            <rFont val="Tahoma"/>
            <family val="2"/>
          </rPr>
          <t>In some cases, it may be useful to break these down also by currency or to focus the interest rate stress test only on the domestic currency portion of the interest rate sensitive assets and liabilities. In this simple example, we do not distinguish this by currency.</t>
        </r>
      </text>
    </comment>
    <comment ref="A52" authorId="0" shapeId="0" xr:uid="{784648FE-BFA6-D04D-96D3-BEF4DCE277AA}">
      <text>
        <r>
          <rPr>
            <b/>
            <sz val="8"/>
            <color rgb="FF000000"/>
            <rFont val="Tahoma"/>
            <family val="2"/>
          </rPr>
          <t>MCihak:</t>
        </r>
        <r>
          <rPr>
            <sz val="8"/>
            <color rgb="FF000000"/>
            <rFont val="Tahoma"/>
            <family val="2"/>
          </rPr>
          <t xml:space="preserve">
</t>
        </r>
        <r>
          <rPr>
            <sz val="8"/>
            <color rgb="FF000000"/>
            <rFont val="Tahoma"/>
            <family val="2"/>
          </rPr>
          <t>There are assumed to reflect both balance sheet data as well as balance sheet equivalents of off-balance sheet positions, in line with the FSI Compilation Guide.</t>
        </r>
      </text>
    </comment>
    <comment ref="A74" authorId="0" shapeId="0" xr:uid="{EF9A12BE-D4FF-AB41-B512-94D45AAA4917}">
      <text>
        <r>
          <rPr>
            <b/>
            <sz val="8"/>
            <color indexed="81"/>
            <rFont val="Tahoma"/>
            <family val="2"/>
          </rPr>
          <t>MCihak:</t>
        </r>
        <r>
          <rPr>
            <sz val="8"/>
            <color indexed="81"/>
            <rFont val="Tahoma"/>
            <family val="2"/>
          </rPr>
          <t xml:space="preserve">
Profits can be used as a first line of defense in the case of shocks, before capital. In this file, the impacts are for simplicity expressed directly in terms of capital. However, for correctness, the profits are also presented as a possible buffer against losses (see the "Scenarios" sheet).</t>
        </r>
      </text>
    </comment>
    <comment ref="A79" authorId="0" shapeId="0" xr:uid="{F0B49CCB-005D-1241-AC17-F161CA838877}">
      <text>
        <r>
          <rPr>
            <b/>
            <sz val="8"/>
            <color indexed="81"/>
            <rFont val="Tahoma"/>
            <family val="2"/>
          </rPr>
          <t>MCihak:</t>
        </r>
        <r>
          <rPr>
            <sz val="8"/>
            <color indexed="81"/>
            <rFont val="Tahoma"/>
            <family val="2"/>
          </rPr>
          <t xml:space="preserve">
The other exercises assume no interbank credit. 
The interbank contagion exercise introduces interbank credit.  The interbank contagion exercise is treated separately for presentational simplicity, i.e. we do not show what the balance sheets with the interbank exposures.</t>
        </r>
      </text>
    </comment>
  </commentList>
</comments>
</file>

<file path=xl/sharedStrings.xml><?xml version="1.0" encoding="utf-8"?>
<sst xmlns="http://schemas.openxmlformats.org/spreadsheetml/2006/main" count="3582" uniqueCount="918">
  <si>
    <t>Table G1. Simple liquidity test (run on all banks, fire-sale of assets)</t>
  </si>
  <si>
    <t>Two tables. The worksheet summarizes two liquidity tests, showing for each bank how many days it would be able to survive a liquidity drain without resorting to liquidity from outside (other banks or the central bank). Table G1 models a simple liquidity drain that affects all banks in the system proportionally. Table G2 is a model of "liquidity contagion," where the liquidity drain is faster in banks that are perceived similarly weak by depositors. This exercise also allows for testing liquidity impact of government default.</t>
  </si>
  <si>
    <t>Table G2. Flight to safety/contagion liquidity test, government bonds illiquid</t>
  </si>
  <si>
    <t>Table H1. Summary of Results</t>
  </si>
  <si>
    <t>Table H2. Post-Shock Banking Ratios</t>
  </si>
  <si>
    <t>Table H3. Post-Shock Ratings</t>
  </si>
  <si>
    <t>Table H4. Post-shock probability of default</t>
  </si>
  <si>
    <t>Table A. Bankistan: Reported Data, end-2005 (In B$ millions; ratios in percent)</t>
  </si>
  <si>
    <t>Table C. Credit Risk Stress (based on end-2005 data; all numbers are in B$ millions, ratios are in percent)</t>
  </si>
  <si>
    <t>Table D. Interest Rate Risk Stress Test (end-2005 data in B$ millions; ratios in percent)</t>
  </si>
  <si>
    <t>Table E. Foreign Exchange Risk Stress Test (based on end-2005 data; all numbers are in B$ millions, ratios are in percent)</t>
  </si>
  <si>
    <t>Table F. Interbank Stress Test (based on end-2005 data; all numbers are in B$ millions, ratios are in percent)</t>
  </si>
  <si>
    <t>Table G. Liquidity stress test (based on end-2005 data; all numbers are in B$ millions, ratios are in percent)</t>
  </si>
  <si>
    <t>Table H. Scenario Results (based on end-2005 data; all numbers are in B$ millions, ratios are in percent)</t>
  </si>
  <si>
    <t>Total loans</t>
  </si>
  <si>
    <t>Risk weighted assets</t>
  </si>
  <si>
    <t>CONTENTS OF THE WORKBOOK</t>
  </si>
  <si>
    <t>Worksheet Name</t>
  </si>
  <si>
    <t>Description</t>
  </si>
  <si>
    <t>This sheet (explanation of the workbook).</t>
  </si>
  <si>
    <t>NOTATION</t>
  </si>
  <si>
    <t>Non performing loans (NPLs)</t>
  </si>
  <si>
    <t>Total assets</t>
  </si>
  <si>
    <t>Cash and T-bills</t>
  </si>
  <si>
    <t>Total liabilities</t>
  </si>
  <si>
    <t>Deposits</t>
  </si>
  <si>
    <t>SB1</t>
  </si>
  <si>
    <t>FB1</t>
  </si>
  <si>
    <t>FB3</t>
  </si>
  <si>
    <t>SB2</t>
  </si>
  <si>
    <t>SB3</t>
  </si>
  <si>
    <t>FB4</t>
  </si>
  <si>
    <t>FB2</t>
  </si>
  <si>
    <t>DB1</t>
  </si>
  <si>
    <t>DB2</t>
  </si>
  <si>
    <t>DB3</t>
  </si>
  <si>
    <t>DB4</t>
  </si>
  <si>
    <t>DB5</t>
  </si>
  <si>
    <t>Read Me</t>
  </si>
  <si>
    <t>Credit Risk</t>
  </si>
  <si>
    <t>Interest Risk</t>
  </si>
  <si>
    <t>FX Risk</t>
  </si>
  <si>
    <t>Scenarios</t>
  </si>
  <si>
    <t>Interbank</t>
  </si>
  <si>
    <t>Total loans (gross)</t>
  </si>
  <si>
    <t>(NPLs-provisions)/capital</t>
  </si>
  <si>
    <t>NPLs (gross)/total loans (gross)</t>
  </si>
  <si>
    <t>Assumed increase in NPLs (%)</t>
  </si>
  <si>
    <t>Capital adequacy post-shock</t>
  </si>
  <si>
    <t>&lt; 3 months</t>
  </si>
  <si>
    <t>3-6 months</t>
  </si>
  <si>
    <t>6-12 months</t>
  </si>
  <si>
    <t>Net US$ position</t>
  </si>
  <si>
    <t>Net GBP position</t>
  </si>
  <si>
    <t>Net open position</t>
  </si>
  <si>
    <t>Net open foreign exchange position</t>
  </si>
  <si>
    <t>Assumed exchange rate change (%, + ...depreciation)</t>
  </si>
  <si>
    <t>Impact on capital</t>
  </si>
  <si>
    <t>Post-shock CAR (%)</t>
  </si>
  <si>
    <t>Change in CAR (percentage points)</t>
  </si>
  <si>
    <t>Post-shock capital</t>
  </si>
  <si>
    <t>Post-shock RWA</t>
  </si>
  <si>
    <t>FX loans</t>
  </si>
  <si>
    <t>Foreign exchange loans</t>
  </si>
  <si>
    <t>becoming NPLs, x=</t>
  </si>
  <si>
    <t>Increase in NPLs</t>
  </si>
  <si>
    <t>Provisioning rate on the additional NPLs</t>
  </si>
  <si>
    <t>New provisions</t>
  </si>
  <si>
    <t>Gap</t>
  </si>
  <si>
    <t>Cummulative gap</t>
  </si>
  <si>
    <t>&lt;6 months</t>
  </si>
  <si>
    <t>&lt;12 months</t>
  </si>
  <si>
    <t xml:space="preserve">No background (with black font) denotes linked cells or formulas. </t>
  </si>
  <si>
    <t>Net interest income impact</t>
  </si>
  <si>
    <t>Capital Adequacy</t>
  </si>
  <si>
    <t>Asset Quality</t>
  </si>
  <si>
    <t>Profitability</t>
  </si>
  <si>
    <t>Sensitivity to Market Risk</t>
  </si>
  <si>
    <t xml:space="preserve">Yellow/white stripes denotes consistency check on the input data. </t>
  </si>
  <si>
    <t>Net euro position</t>
  </si>
  <si>
    <t>Performing loans</t>
  </si>
  <si>
    <t>Pass loans</t>
  </si>
  <si>
    <t>Special mention loans</t>
  </si>
  <si>
    <t>Substandard loans</t>
  </si>
  <si>
    <t>Doubtful loans</t>
  </si>
  <si>
    <t>Loss loans</t>
  </si>
  <si>
    <t>Long-term government bonds</t>
  </si>
  <si>
    <t>Share in total assets</t>
  </si>
  <si>
    <t>Share in total loans</t>
  </si>
  <si>
    <t>Share in total deposits</t>
  </si>
  <si>
    <t>Share in total capital</t>
  </si>
  <si>
    <t>Capital after-shock</t>
  </si>
  <si>
    <t>CAR after-shock (percent)</t>
  </si>
  <si>
    <t>Change in CAR after-shock (pct points)</t>
  </si>
  <si>
    <t>FX loans/total loans</t>
  </si>
  <si>
    <t>RWA/total assets</t>
  </si>
  <si>
    <t>...</t>
  </si>
  <si>
    <t>Repricing impact</t>
  </si>
  <si>
    <t>Change in the value of the bond portfolio</t>
  </si>
  <si>
    <t>Nominal interest rate: assumed change (percentage points)</t>
  </si>
  <si>
    <t>Overall change in CAR (NII and repricing impact)</t>
  </si>
  <si>
    <t>Increase in provisioning</t>
  </si>
  <si>
    <t>Increase in interest rates</t>
  </si>
  <si>
    <t>Exchange rate change (+ depreciation, - appreciation)</t>
  </si>
  <si>
    <t>Impact of:</t>
  </si>
  <si>
    <t>Pre-shock CAR</t>
  </si>
  <si>
    <t>Post-shock CAR</t>
  </si>
  <si>
    <t>Pre-shock capital</t>
  </si>
  <si>
    <t>Pre-shock RWA</t>
  </si>
  <si>
    <t>Provisions needed</t>
  </si>
  <si>
    <t>Provisions held</t>
  </si>
  <si>
    <t>Provisions to be made</t>
  </si>
  <si>
    <t>Capital post-shock</t>
  </si>
  <si>
    <t>RWA post-shock</t>
  </si>
  <si>
    <t>Capital adequacy change</t>
  </si>
  <si>
    <t>Assumed provisioning of the new NPLs (%)</t>
  </si>
  <si>
    <t>Capital adequacy overall change (provisioning and increase in NPLs)</t>
  </si>
  <si>
    <t>Provisions/NPLs</t>
  </si>
  <si>
    <t>All</t>
  </si>
  <si>
    <t>SB All</t>
  </si>
  <si>
    <t>DB All</t>
  </si>
  <si>
    <t>FB All</t>
  </si>
  <si>
    <t>Total capital / RWA (CAR) *</t>
  </si>
  <si>
    <t>(NPLs-provisions)/capital *</t>
  </si>
  <si>
    <t>ROA (after-tax) *</t>
  </si>
  <si>
    <t>ROE (after-tax) *</t>
  </si>
  <si>
    <t>Net FX exposure / capital *</t>
  </si>
  <si>
    <t>Credit risk data</t>
  </si>
  <si>
    <t>Interest rate risk data</t>
  </si>
  <si>
    <t>Exchange rate risk data</t>
  </si>
  <si>
    <t>Average duration of bonds held</t>
  </si>
  <si>
    <t>Total capital (equity)</t>
  </si>
  <si>
    <t>Regulatory capital</t>
  </si>
  <si>
    <t>Risk-weighted assets (RWA)</t>
  </si>
  <si>
    <t>Capital adequacy ratio (CAR) pre-shock</t>
  </si>
  <si>
    <t>The contents of this workbook reflect the views of the author and not those of the IMF or IMF policy.</t>
  </si>
  <si>
    <t>All Banks</t>
  </si>
  <si>
    <t>Foreign (FB)</t>
  </si>
  <si>
    <t>State Owned (SB)</t>
  </si>
  <si>
    <t>Domestic Private (DB)</t>
  </si>
  <si>
    <t>Impact of (percentage points of the original RWA)</t>
  </si>
  <si>
    <t>OTHER GENERAL COMMENTS</t>
  </si>
  <si>
    <t>Total capital may in general differ from regulatory capital; in this workbook, we for simplicity use the same numbers, but it is set up in a way that allows for differences between equity and regulatory capital.</t>
  </si>
  <si>
    <t>The file is formatted for presentation on the computer screen via an LCD projector. If you want to print out from this file, you may need to format it first for printing.</t>
  </si>
  <si>
    <t>All shocks are for simplicity expressed in terms of capital (and capital adequacy ratios). In practice, banks can use profits as the first line of defense. To address this issue, profits are presented in the "Scenarios" sheet alongside with the impacts to illustrate the relative size of the profit "buffer." We use annual profits, which is consistent with the fact that we evaluate the shocks in a horizon of one year (see the interest rate shock). For some banks, the profit "buffer" is non-existent or negative (they have been creating losses).</t>
  </si>
  <si>
    <t>We allow for autonomous shocks to profits or net interest income (see the "Scenarios" sheet).</t>
  </si>
  <si>
    <t>Net positions in other curr.</t>
  </si>
  <si>
    <t>Capital adequacy calculation</t>
  </si>
  <si>
    <t>Agriculture</t>
  </si>
  <si>
    <t>Manufacturing</t>
  </si>
  <si>
    <t>Non-bank financial institutions</t>
  </si>
  <si>
    <t>Other</t>
  </si>
  <si>
    <t>Trade</t>
  </si>
  <si>
    <t>Tourism</t>
  </si>
  <si>
    <t>Construction</t>
  </si>
  <si>
    <t>Sectoral structure of lending</t>
  </si>
  <si>
    <t>Structure of lending (in B$ million)</t>
  </si>
  <si>
    <t>Structure of lending (in percent of total loans)</t>
  </si>
  <si>
    <t>Assumed provisioning rate (%)</t>
  </si>
  <si>
    <t>Change in RWA/change in capital</t>
  </si>
  <si>
    <t>Capital (post-shock)</t>
  </si>
  <si>
    <t>RWA (post-shock)</t>
  </si>
  <si>
    <t>CAR (post-shock)</t>
  </si>
  <si>
    <t>CAR (change)</t>
  </si>
  <si>
    <t>CAR (overall change, including the underprovisioning)</t>
  </si>
  <si>
    <t xml:space="preserve">Memo items: </t>
  </si>
  <si>
    <t>Profits (10-year average)</t>
  </si>
  <si>
    <t>Autonomous shock to net interest income</t>
  </si>
  <si>
    <t>Profit "buffer"</t>
  </si>
  <si>
    <t>Profits (10-year average)/pre-shock RWA</t>
  </si>
  <si>
    <t>Profit "buffer"/pre-shock RWA</t>
  </si>
  <si>
    <t>* Core Financial Soundness Indicator (FSI)</t>
  </si>
  <si>
    <t>Other data</t>
  </si>
  <si>
    <t>Gross domestic product</t>
  </si>
  <si>
    <t>Total assets/GDP</t>
  </si>
  <si>
    <t>Assumed minimum CAR rule (%)</t>
  </si>
  <si>
    <t>Capital injection needed (B$ million)</t>
  </si>
  <si>
    <t>Capital injection needed (% of GDP)</t>
  </si>
  <si>
    <t>Capital needed to satisfy the minimum CAR rule for all banks</t>
  </si>
  <si>
    <t>100 percent depreciation leads to x percent of FX loans</t>
  </si>
  <si>
    <t>Overall change in CAR (percentage points)</t>
  </si>
  <si>
    <t>Impact on RWA/impact on capital (%)</t>
  </si>
  <si>
    <t>Scenario parameters (summary, in %)</t>
  </si>
  <si>
    <t>The increase is proportional to:</t>
  </si>
  <si>
    <t>existing NPLs (1=yes, 0=no)</t>
  </si>
  <si>
    <t>existing performing loans (1=yes, 0=no)</t>
  </si>
  <si>
    <t>New NPLs (from the affected sectors)</t>
  </si>
  <si>
    <t>Shock 1. "Underprovisioning"</t>
  </si>
  <si>
    <t>Shock 2. "Proportional increase in NPLs"</t>
  </si>
  <si>
    <t>Shock 3. "Sectoral shocks to NPLs"</t>
  </si>
  <si>
    <t>Assumed use for capital injection for RWA (%)</t>
  </si>
  <si>
    <t>Reported data on collateral</t>
  </si>
  <si>
    <t>Assumed haircut on collateral (%)</t>
  </si>
  <si>
    <t>NPLs (gross)/ total loans *</t>
  </si>
  <si>
    <t>Collateral reported against:</t>
  </si>
  <si>
    <t>Collateral value after the haircut:</t>
  </si>
  <si>
    <t>Nonperforming loans</t>
  </si>
  <si>
    <t>Assumed shocks (% of performing loans in the sector becoming NPLs)</t>
  </si>
  <si>
    <t>Structure of nonperformance (NPLs to total loans by sectors)</t>
  </si>
  <si>
    <t>Nonperforming loans (in B$ million)</t>
  </si>
  <si>
    <t>Performing loans (in B$ million)</t>
  </si>
  <si>
    <t>Capital (original, before any shocks)</t>
  </si>
  <si>
    <t>RWA (original, before any shocks)</t>
  </si>
  <si>
    <t>CAR (original, before any shocks)</t>
  </si>
  <si>
    <t>First iteration</t>
  </si>
  <si>
    <t>Capital after the first iteration</t>
  </si>
  <si>
    <t>Failed as result of the first iteration?</t>
  </si>
  <si>
    <t>Failure?</t>
  </si>
  <si>
    <t>Capital after the second iteration</t>
  </si>
  <si>
    <t>Matrix of net interbank exposures (stripped down to show only net creditors; all others have zero exposure)</t>
  </si>
  <si>
    <t>Interbank credit data (credit of bank in the row to the bank in the column)</t>
  </si>
  <si>
    <t>Capital (after the macroshocks)</t>
  </si>
  <si>
    <t>RWA (after the macroshocks)</t>
  </si>
  <si>
    <t>CAR (after the macroshocks)</t>
  </si>
  <si>
    <t>New failures in the first iteration?</t>
  </si>
  <si>
    <r>
      <t>Q:</t>
    </r>
    <r>
      <rPr>
        <b/>
        <sz val="12"/>
        <rFont val="Arial"/>
        <family val="2"/>
      </rPr>
      <t xml:space="preserve"> For which banks will you need to run a second iteration?</t>
    </r>
  </si>
  <si>
    <t>Second iteration</t>
  </si>
  <si>
    <t>one</t>
  </si>
  <si>
    <t>New failures entering iteration number:</t>
  </si>
  <si>
    <t>two</t>
  </si>
  <si>
    <r>
      <t>Q:</t>
    </r>
    <r>
      <rPr>
        <b/>
        <sz val="12"/>
        <rFont val="Arial"/>
        <family val="2"/>
      </rPr>
      <t xml:space="preserve"> For which banks will you need to run a third iteration?</t>
    </r>
  </si>
  <si>
    <t>RWA after the first iteration</t>
  </si>
  <si>
    <t>CAR after the first iteration</t>
  </si>
  <si>
    <t>three</t>
  </si>
  <si>
    <r>
      <t>Q:</t>
    </r>
    <r>
      <rPr>
        <b/>
        <sz val="12"/>
        <rFont val="Arial"/>
        <family val="2"/>
      </rPr>
      <t xml:space="preserve"> For which banks will you need to run the second iteration?</t>
    </r>
  </si>
  <si>
    <r>
      <t>Q:</t>
    </r>
    <r>
      <rPr>
        <b/>
        <sz val="12"/>
        <rFont val="Arial"/>
        <family val="2"/>
      </rPr>
      <t xml:space="preserve"> For which banks will you need to run the third iteration?</t>
    </r>
  </si>
  <si>
    <t>Failed as result of the second iteration?</t>
  </si>
  <si>
    <t>Post-contagion CAR</t>
  </si>
  <si>
    <t>Net credit of bank in the column to the bank in the row</t>
  </si>
  <si>
    <t>Net exposure of bank in the column to the bank in the row</t>
  </si>
  <si>
    <r>
      <t>Q:</t>
    </r>
    <r>
      <rPr>
        <b/>
        <sz val="12"/>
        <rFont val="Arial"/>
        <family val="2"/>
      </rPr>
      <t xml:space="preserve"> What happens to the capital of the bank in the column if the bank in the row fails to repay the interbank loan?</t>
    </r>
  </si>
  <si>
    <r>
      <t>Q:</t>
    </r>
    <r>
      <rPr>
        <b/>
        <sz val="12"/>
        <rFont val="Arial"/>
        <family val="2"/>
      </rPr>
      <t xml:space="preserve"> What happens to the capital of the bank in the column if the banking system is weakened by the macroeconomic shock in the "Scenarios" sheet?</t>
    </r>
  </si>
  <si>
    <t>Difference between the first and the second iteration</t>
  </si>
  <si>
    <t>Source of risk for the second iteration?</t>
  </si>
  <si>
    <t>Post-contagion capital</t>
  </si>
  <si>
    <t>Total sensitive assets (by time to repricing)</t>
  </si>
  <si>
    <t>Total sensitive liabilities (by time to repricing)</t>
  </si>
  <si>
    <t>Structure of the bond portfolio</t>
  </si>
  <si>
    <t>Bond 1</t>
  </si>
  <si>
    <t>Bond 2</t>
  </si>
  <si>
    <t>Assumed provisioning rates (%)</t>
  </si>
  <si>
    <t>Green/white stripes denote numerical assumptions imported from the Assumptions sheet.</t>
  </si>
  <si>
    <t>Green denotes numerical assumptions for the stress test (all in the Assumptions sheet)</t>
  </si>
  <si>
    <t>Blue denotes the assumed sizes of the shocks to the risk factors (all in the Assumptions sheet).</t>
  </si>
  <si>
    <t>Blue/white stripes denote numerical assumptions imported from the Assumptions sheet.</t>
  </si>
  <si>
    <t>Assumptions</t>
  </si>
  <si>
    <t>Interest Rate Risk</t>
  </si>
  <si>
    <t>Exchange Rate Risk</t>
  </si>
  <si>
    <t>Interbank Contagion</t>
  </si>
  <si>
    <t>Thresholds and Weights</t>
  </si>
  <si>
    <t>Threshold 1</t>
  </si>
  <si>
    <t>Weight</t>
  </si>
  <si>
    <t>Net FX exposure / capital * (abs.)</t>
  </si>
  <si>
    <t>Liquid assets</t>
  </si>
  <si>
    <t>Demand deposits</t>
  </si>
  <si>
    <t>Term deposits</t>
  </si>
  <si>
    <t>Overall</t>
  </si>
  <si>
    <t>Liquidity</t>
  </si>
  <si>
    <t>Liquid assets/total assets</t>
  </si>
  <si>
    <t>Short-term liabilities</t>
  </si>
  <si>
    <t>Liquid assets/short-term liabilities</t>
  </si>
  <si>
    <t>Liquid assets/short-term liabilities*</t>
  </si>
  <si>
    <t>Consistency check</t>
  </si>
  <si>
    <t>Withdrawn per day (%)</t>
  </si>
  <si>
    <t>Liquidity Stress Test</t>
  </si>
  <si>
    <t>Demand deposits withdrawn per day (%)</t>
  </si>
  <si>
    <t>All assumptions and shock parameters are in the sheet "Assumptions." This is the sheet that a regular user would work with the most, changing the numerical assumptions (in green) and shocks sizes (in blue) and observing the results (in charts in Assumptions, or in the relevant worksheets). It is also possible to change the numerical assumptions and shock sizes in the individual worksheets (in green/white and blue/white striped cells, respectively), but this may result in breaking the link to the Assumptions worksheet.</t>
  </si>
  <si>
    <t>Parameters of bonds</t>
  </si>
  <si>
    <t>Settlement</t>
  </si>
  <si>
    <t>Maturity</t>
  </si>
  <si>
    <t>Coupon</t>
  </si>
  <si>
    <t>Yield</t>
  </si>
  <si>
    <t>Frequency</t>
  </si>
  <si>
    <t>The numbers in the file are in B$ millions and relate to end-2005, unless noted otherwise. Ratios are in percent.</t>
  </si>
  <si>
    <t>Profit (1996-2005 average)</t>
  </si>
  <si>
    <t>Profit (1996-2005 st. dev.)</t>
  </si>
  <si>
    <t>Duration</t>
  </si>
  <si>
    <t>Simple</t>
  </si>
  <si>
    <t>Flight to safety</t>
  </si>
  <si>
    <t>Time deposits withdrawn per day (%)</t>
  </si>
  <si>
    <t>Basis</t>
  </si>
  <si>
    <t>Probability of failure</t>
  </si>
  <si>
    <t>Threshold 2</t>
  </si>
  <si>
    <t>Threshold 3</t>
  </si>
  <si>
    <t>No. of banks ranked:</t>
  </si>
  <si>
    <t>btwn 2&amp;1</t>
  </si>
  <si>
    <t>btwn 3&amp;2</t>
  </si>
  <si>
    <t>btwn 4&amp;3</t>
  </si>
  <si>
    <t>Non-liquid assets</t>
  </si>
  <si>
    <t>Available per day (%)</t>
  </si>
  <si>
    <t>Liquid assets: available in a day (%)</t>
  </si>
  <si>
    <t>Other assets: available in a day (%)</t>
  </si>
  <si>
    <t>Day #</t>
  </si>
  <si>
    <t>Government bonds illiquid</t>
  </si>
  <si>
    <t>Government bonds illiquid (%)</t>
  </si>
  <si>
    <t>Government bonds (% illiquid)</t>
  </si>
  <si>
    <t>Post-shock assets</t>
  </si>
  <si>
    <t>Pre-shock assets</t>
  </si>
  <si>
    <t>Additional NPLs</t>
  </si>
  <si>
    <t>Assumed provisioning of the additional NPLs (%)</t>
  </si>
  <si>
    <t>Post-shock NPLs</t>
  </si>
  <si>
    <t>Post-shock NPL/total loan ratio</t>
  </si>
  <si>
    <t>Memo items:</t>
  </si>
  <si>
    <t>Post-shock provisions/NPLs</t>
  </si>
  <si>
    <t>Additional provisions</t>
  </si>
  <si>
    <t>Total (pre-shock) assets</t>
  </si>
  <si>
    <t>Premium for state ownership (% total assets of a privately owned bank would have to be bigger to enjoy the same safety)</t>
  </si>
  <si>
    <t>Adjusted for state ownership premium</t>
  </si>
  <si>
    <t>Pre-shock rating</t>
  </si>
  <si>
    <t>What measure of safety? (1=total assets, 2=total assets, premium for state ownership, 3=pre-shock rating)</t>
  </si>
  <si>
    <t>Minimum</t>
  </si>
  <si>
    <t>Maximum</t>
  </si>
  <si>
    <t>"Index of safety" (100=max, 0=min)</t>
  </si>
  <si>
    <t>Liquid? (1=yes, 0=no)</t>
  </si>
  <si>
    <t>Liquidity evaluated after (no. of days)</t>
  </si>
  <si>
    <t>Change in CAR (all fundamental shocks)</t>
  </si>
  <si>
    <t>Impact of interbank contagion</t>
  </si>
  <si>
    <t>Solvency</t>
  </si>
  <si>
    <t>RWA after the second iteration</t>
  </si>
  <si>
    <t>CAR after the second iteration</t>
  </si>
  <si>
    <t>Post-shock ROA (if profits used for defence)</t>
  </si>
  <si>
    <t>Post-shock ROE (if profits used for defence)</t>
  </si>
  <si>
    <t>Post-shock CAR (if profits used for defence)</t>
  </si>
  <si>
    <t>Evaluated after (days):</t>
  </si>
  <si>
    <t>Liquidity scenario type (1=simple, 2=flight to safety, 3=gmt default)</t>
  </si>
  <si>
    <t>Pre-shock</t>
  </si>
  <si>
    <t>Post-shock</t>
  </si>
  <si>
    <t>Change from pre-shock rating</t>
  </si>
  <si>
    <t>Change from pre-shock probability</t>
  </si>
  <si>
    <t>Largest exposures</t>
  </si>
  <si>
    <t>#1</t>
  </si>
  <si>
    <t>#2</t>
  </si>
  <si>
    <t>#3</t>
  </si>
  <si>
    <t>#4</t>
  </si>
  <si>
    <t>#5</t>
  </si>
  <si>
    <t>Shock 4. Large exposures</t>
  </si>
  <si>
    <t>Number of large exposures becoming NPLs</t>
  </si>
  <si>
    <t>Credit risk type</t>
  </si>
  <si>
    <t>Which of the credit shocks (2,3,4) is considered for the scenario?</t>
  </si>
  <si>
    <t>Additional provisions (as % of existing)</t>
  </si>
  <si>
    <t>STRESS TESTER 2.0: A HANDS-ON STRESS TESTING EXERCISE TOOL</t>
  </si>
  <si>
    <t>Z-score ((C/A+ROA/stdev(ROA))</t>
  </si>
  <si>
    <t>St. dev of ROA (1996-2005)</t>
  </si>
  <si>
    <t>The purpose of the workbook is to illustrate basic stress tests (and related tools) that can be used to assess risks in a small and relatively non-complex banking system, using a realistic (but fictional) example.</t>
  </si>
  <si>
    <t>Interest income (+)</t>
  </si>
  <si>
    <t>Interest expense (-)</t>
  </si>
  <si>
    <t>Net operating income (+)</t>
  </si>
  <si>
    <t>Net interest income (+)</t>
  </si>
  <si>
    <t>Noninterest income (+)</t>
  </si>
  <si>
    <t>Provisions for loan losses (-)</t>
  </si>
  <si>
    <t>Noninterest expense (-)</t>
  </si>
  <si>
    <t>Securities gains/losses (+)</t>
  </si>
  <si>
    <t>Applicable income taxes (-)</t>
  </si>
  <si>
    <t>Extraordinary gains, net (+)</t>
  </si>
  <si>
    <t xml:space="preserve">Profits and ROAs over time </t>
  </si>
  <si>
    <t>Net income ("after-tax profit")</t>
  </si>
  <si>
    <t>SBs</t>
  </si>
  <si>
    <t>DBs</t>
  </si>
  <si>
    <t>FBs</t>
  </si>
  <si>
    <t>Total loans (net)</t>
  </si>
  <si>
    <t>Other assets (net)</t>
  </si>
  <si>
    <t>Non performing loans (NPLs), gross</t>
  </si>
  <si>
    <t xml:space="preserve">Yellow denotes input data reported by the NBB. </t>
  </si>
  <si>
    <t>Impact of the autonomous shock on profits</t>
  </si>
  <si>
    <t>Data</t>
  </si>
  <si>
    <t>I would like to thank R. Sean Craig, Plamen Iossifov, Peter Chunnan Liao, Thomas Lutton, Christiane Nickel, Nada Oulidi, Richard Podpiera, Leah Sahely, Graham Slack, participants of a regional conference on financial stability issues at Sinaia, Romania, and participants in seminars at the IMF, the World Bank, the Central Bank of Russia, and the Central Bank of Trinidad and Tobago for their helpful comments on the accompanying Excel file. All remaining errors are mine.</t>
  </si>
  <si>
    <t>Contacts: Martin Čihák, tel. 1-202-623-8931, fax 1-202-589-8931, e-mail: mcihak@imf.org.</t>
  </si>
  <si>
    <t>Demand deposits (foreign currency)</t>
  </si>
  <si>
    <t>Demand deposits (domestic currency)</t>
  </si>
  <si>
    <t>Time deposits (domestic currency)</t>
  </si>
  <si>
    <t>Time deposits (foreign currency)</t>
  </si>
  <si>
    <t>Domestic currency</t>
  </si>
  <si>
    <t>Foreign currency</t>
  </si>
  <si>
    <t>Demand deposits (domestic)</t>
  </si>
  <si>
    <t>Demand deposits (foreign)</t>
  </si>
  <si>
    <t>Time deposits (domestic)</t>
  </si>
  <si>
    <t>Time deposits (foreign)</t>
  </si>
  <si>
    <t>Demand (domestic c.) deposits withdrawn per day (%)</t>
  </si>
  <si>
    <t>Demand (foreign c.) deposits withdrawn per day (%)</t>
  </si>
  <si>
    <t>Time (domestic c.) deposits withdrawn per day (%)</t>
  </si>
  <si>
    <t>Time (foreign c.) deposits withdrawn per day (%)</t>
  </si>
  <si>
    <t>Net cash inflow since beginning of run</t>
  </si>
  <si>
    <t>New cash outflow (during day 2)</t>
  </si>
  <si>
    <t>Liquid assets (after day 2)</t>
  </si>
  <si>
    <t>Non-liquid assets (after day 2)</t>
  </si>
  <si>
    <t>New cash inflow (during day 2)</t>
  </si>
  <si>
    <t>New cash outflow (during day 3)</t>
  </si>
  <si>
    <t>Liquid assets (after day 3)</t>
  </si>
  <si>
    <t>Non-liquid assets (after day 3)</t>
  </si>
  <si>
    <t>New cash inflow (during day 3)</t>
  </si>
  <si>
    <t>New cash outflow (during day 4)</t>
  </si>
  <si>
    <t>Liquid assets (after day 4)</t>
  </si>
  <si>
    <t>Non-liquid assets (after day 4)</t>
  </si>
  <si>
    <t>New cash inflow (during day 4)</t>
  </si>
  <si>
    <t>New cash outflow (during day 5)</t>
  </si>
  <si>
    <t>Liquid assets (after day 5)</t>
  </si>
  <si>
    <t>Non-liquid assets (after day 5)</t>
  </si>
  <si>
    <t>New cash inflow (during day 5)</t>
  </si>
  <si>
    <t>Liquid assets (with government bonds)</t>
  </si>
  <si>
    <t>Liquid assets (without illiquid bonds)</t>
  </si>
  <si>
    <t>Post-shock liquid assets</t>
  </si>
  <si>
    <t>Post-shock short-term liabilities</t>
  </si>
  <si>
    <t>Liquidity scenario type (simple/complex):</t>
  </si>
  <si>
    <t>Which of the liquidity shocks is considered (1=simple,2=complex)</t>
  </si>
  <si>
    <t>o/w demand deposits</t>
  </si>
  <si>
    <t>other</t>
  </si>
  <si>
    <t>Third iteration</t>
  </si>
  <si>
    <r>
      <t>Q:</t>
    </r>
    <r>
      <rPr>
        <b/>
        <sz val="12"/>
        <rFont val="Arial"/>
        <family val="2"/>
      </rPr>
      <t xml:space="preserve"> For which banks will you need to run a fourth iteration?</t>
    </r>
  </si>
  <si>
    <t>Capital after the third iteration</t>
  </si>
  <si>
    <t>RWA after the third iteration</t>
  </si>
  <si>
    <t>CAR after the third iteration</t>
  </si>
  <si>
    <t>Table A1. Balance sheet and income statement data (simplified)</t>
  </si>
  <si>
    <t>Table A2. Other input data</t>
  </si>
  <si>
    <t>Table A3. Selected Banking Sector Ratios (in percent)</t>
  </si>
  <si>
    <t>Table A4. Structure of the Financial System (data in percent)</t>
  </si>
  <si>
    <t>Table A5. Basic Ratio Analysis: Ratings</t>
  </si>
  <si>
    <t xml:space="preserve">Six tables. Input data as compiled by the National Bank of Bankistan (NBB). The data were collected in March 2006 and generally relate to end-December 2005, unless noted otherwise. Table A1 contains basic balance sheet and income statement data. Table A2 contain other prudential indicators important for the stress tests. Tables 1c and 1d include key ratios based on the input data. Table A3 contains the financial soundness indicators, while Table A4 characterizes the structure of the banking sector. Tables 1e and 1f show how the financial soundness indicators can be combined into institution-by-institution rankings, using a simple early warning system calibrated by the NBB (see the Assumptions sheet). Table A5 provides the rankings; Table A6 converts them into probabilities of default. </t>
  </si>
  <si>
    <t>Table A6. Basic Ratio Analysis: Probability of Default</t>
  </si>
  <si>
    <t>One table: Table B puts together all the assumptions.                                                                                                          This worksheet also contains several charts allowing the user to see how changes in the assumptions affect the results.</t>
  </si>
  <si>
    <t>Table B. Assumptions</t>
  </si>
  <si>
    <t>Table C1. Asset Quality</t>
  </si>
  <si>
    <t>Two tables: Table C1 summarizes the reported data on asset quality. Table C2 shows the credit risk stress test. It consists of four components: (1) a correction for underprovisioning of NPLs; (2) an aggregate NPL shock, (3) a sectoral shock, allowing different shocks to different sectors, and (4) a shock for credit concentration risk (large exposures).</t>
  </si>
  <si>
    <t>Table C2. Credit Risk Stress Test</t>
  </si>
  <si>
    <t>Table D1. Maturity buckets</t>
  </si>
  <si>
    <t>Two tables: Table D1 sorts assets and liabilities into three time-to-repricing buckets, using the input data from was provided by the NBB. Table D2 shows the corresponding interest rate stress test. The test itself consists of two components: (1) flow impact from a gap between interest sensitive assets and liabilities; (2) stock impact resulting from repricing of bonds.</t>
  </si>
  <si>
    <t>Table D2. Interest Rate Stress Test</t>
  </si>
  <si>
    <t>Table E1. Direct Foreign Exchange Risk</t>
  </si>
  <si>
    <t>Two tables: Table E1 contains information on the foreign exchange exposure of the banks and the direct exchange rate risk shock. Table E2 shows a simple calculation of the indirect foreign exchange shock (using FX loans to approximate impact on credit quality).</t>
  </si>
  <si>
    <t>Table E2. Indirect Foreign Exchange Risk</t>
  </si>
  <si>
    <t>Table F1. Matrix of net interbank credit (with negative figures indicating net borrowers)</t>
  </si>
  <si>
    <t>Table F2. Pure interbank contagion</t>
  </si>
  <si>
    <t>Three tables: Table F1 is a matrix of net interbank exposures. Table F2 uses the interbank exposure data to show "pure" interbank contagion, i.e. to illustrate what happens to the other banks when one bank fails to repay its obligations in the interbank market. Table F3 shows a "macro" contagion exercise, in which banks' failures to repay obligations in the interbank market are not assumed, but rather a result of the "macro" shocks modeled in the sheet "Scenarios."</t>
  </si>
  <si>
    <t>Table F3. "Macro" interbank contagion test</t>
  </si>
  <si>
    <t>Four tables: Table H1 summarizes the results of the combination of credit shocks, interest rate shocks, exchange rate shocks, and liquidity shocks from the respective worksheets. The table also compares the impact to profits and allows for an autonomous shock to profits. Table H2 shows the post-shock financial soundness ratios for the banking sector. Table H3 shows post-shock ratings. Table H4 shows the corresponding post-shock probabilities of default. The results, presented numerically in this worksheet, can be inspected visually in the "Assumptions" worksheet.</t>
  </si>
  <si>
    <t>Created by Martin Čihák in March 2004; this version February 2007. Comments or suggestions are welcome.</t>
  </si>
  <si>
    <t>Basic Ratio Analysis</t>
  </si>
  <si>
    <t>Input</t>
  </si>
  <si>
    <t>Output</t>
  </si>
  <si>
    <t>Bank</t>
  </si>
  <si>
    <t>Balance Sheet - Assets</t>
  </si>
  <si>
    <t>Cash &amp; T-Bills</t>
  </si>
  <si>
    <t>Long Term Government Bonds</t>
  </si>
  <si>
    <t>Other Assets</t>
  </si>
  <si>
    <t>Total Loans</t>
  </si>
  <si>
    <t>Balance Sheet - Loans</t>
  </si>
  <si>
    <t>Performing Loans</t>
  </si>
  <si>
    <t>NPL</t>
  </si>
  <si>
    <t>Provisions Held</t>
  </si>
  <si>
    <t>Balance Sheet - Liabilities</t>
  </si>
  <si>
    <t>Demand Deposits</t>
  </si>
  <si>
    <t>Term Deposits</t>
  </si>
  <si>
    <t>Equity</t>
  </si>
  <si>
    <t>Credit Risk - Underprovisioning</t>
  </si>
  <si>
    <t>Substandard Loans (%)</t>
  </si>
  <si>
    <t>Doubtful Loans (%)</t>
  </si>
  <si>
    <t>Loss Loans (%)</t>
  </si>
  <si>
    <t>Assumed Haircut on Collateral (%)</t>
  </si>
  <si>
    <t>Credit Risk - Underprovisioning Assumed Provisining Rates</t>
  </si>
  <si>
    <t>Loss Loans</t>
  </si>
  <si>
    <t>Doubtful Loans</t>
  </si>
  <si>
    <t>Substandard Loans</t>
  </si>
  <si>
    <t>Baseline</t>
  </si>
  <si>
    <t>Post Shock</t>
  </si>
  <si>
    <t>Value</t>
  </si>
  <si>
    <t>Capital Adequacy Ratio (CAR)</t>
  </si>
  <si>
    <t>CAR</t>
  </si>
  <si>
    <t>RWA</t>
  </si>
  <si>
    <t>Asset Quality (m$)</t>
  </si>
  <si>
    <t>Loan Values (m$)</t>
  </si>
  <si>
    <t>Assets (m$)</t>
  </si>
  <si>
    <t>Liabilities (m$)</t>
  </si>
  <si>
    <t>Loans Breakdown (m$)</t>
  </si>
  <si>
    <t>Credit Risk - Increase in NPL</t>
  </si>
  <si>
    <t>Assumed Increase in NPL (%)</t>
  </si>
  <si>
    <t>Assumed Provisioning of new NPL (%)</t>
  </si>
  <si>
    <t>Asset Values (m$)</t>
  </si>
  <si>
    <t>Capital</t>
  </si>
  <si>
    <t>Provisions Needed</t>
  </si>
  <si>
    <t>Provisions Available / Provisions Needed</t>
  </si>
  <si>
    <t>Credit Risk - Sectoral Shocks</t>
  </si>
  <si>
    <t>New NPLs (m$)</t>
  </si>
  <si>
    <t>NPLs (m$)</t>
  </si>
  <si>
    <t>NPLs by Sector (m$)</t>
  </si>
  <si>
    <t>Liquidity Risk - Withdrawals per Day</t>
  </si>
  <si>
    <t>Liquid Assets Available</t>
  </si>
  <si>
    <t>Domestic Currency</t>
  </si>
  <si>
    <t>Foreign Currency</t>
  </si>
  <si>
    <t>Day 1</t>
  </si>
  <si>
    <t>Day 2</t>
  </si>
  <si>
    <t>Day 3</t>
  </si>
  <si>
    <t>Day 4</t>
  </si>
  <si>
    <t>Day 5</t>
  </si>
  <si>
    <t>Liquididty Risk - Fire Sale of Assets</t>
  </si>
  <si>
    <t>Liquid After 5 Days</t>
  </si>
  <si>
    <t>Simple liquidity test (run on all banks, fire-sale of assets)</t>
  </si>
  <si>
    <t>Credit Risk - Large Exposure</t>
  </si>
  <si>
    <t>Number of Large Exposures to NPL</t>
  </si>
  <si>
    <t>Assumed Provisioning Rate</t>
  </si>
  <si>
    <t>5 Largest Exposures</t>
  </si>
  <si>
    <t>Total</t>
  </si>
  <si>
    <t>Amount (m$)</t>
  </si>
  <si>
    <t>100 percent depreciation leads to x percent of FX loans becoming NPL. x=</t>
  </si>
  <si>
    <t>Assumed Exchange Rate Change (%)</t>
  </si>
  <si>
    <t>Net open foreign exchange position (m$)</t>
  </si>
  <si>
    <t>Foreign exchange loans (m$)</t>
  </si>
  <si>
    <t>Asset Values - Direct FX (m$)</t>
  </si>
  <si>
    <t>Asset Values - Indirect FX (m$)</t>
  </si>
  <si>
    <t>Impact on Capital</t>
  </si>
  <si>
    <t>After Direct FX Effect</t>
  </si>
  <si>
    <t>Post Shock (Direct + Indirect FX)</t>
  </si>
  <si>
    <t>Associated Banc-Corp</t>
  </si>
  <si>
    <t>ASB</t>
  </si>
  <si>
    <t>Atlantic Union Bankshares Corporation</t>
  </si>
  <si>
    <t>AUB</t>
  </si>
  <si>
    <t>Banc of California Inc.</t>
  </si>
  <si>
    <t>BANC</t>
  </si>
  <si>
    <t>Bank of America Corporation</t>
  </si>
  <si>
    <t>BAC</t>
  </si>
  <si>
    <t>Bank of Hawaii Corporation</t>
  </si>
  <si>
    <t>BOH</t>
  </si>
  <si>
    <t>BankUnited Inc.</t>
  </si>
  <si>
    <t>BKU</t>
  </si>
  <si>
    <t>Bar Harbor Bankshares Inc.</t>
  </si>
  <si>
    <t>BHB</t>
  </si>
  <si>
    <t>Berkshire Hills Bancorp Inc.</t>
  </si>
  <si>
    <t>BHLB</t>
  </si>
  <si>
    <t>Blue Ridge Bankshares Inc.</t>
  </si>
  <si>
    <t>BRBS</t>
  </si>
  <si>
    <t>Byline Bancorp Inc.</t>
  </si>
  <si>
    <t>BY</t>
  </si>
  <si>
    <t>Cadence Bank</t>
  </si>
  <si>
    <t>CADE</t>
  </si>
  <si>
    <t>Central Pacific Financial Corp</t>
  </si>
  <si>
    <t>CPF</t>
  </si>
  <si>
    <t>Citigroup Inc.</t>
  </si>
  <si>
    <t>C</t>
  </si>
  <si>
    <t>Citizens Financial Group Inc.</t>
  </si>
  <si>
    <t>CFG</t>
  </si>
  <si>
    <t>Comerica Incorporated</t>
  </si>
  <si>
    <t>CMA</t>
  </si>
  <si>
    <t>Community Bank System Inc.</t>
  </si>
  <si>
    <t>CBU</t>
  </si>
  <si>
    <t>Cullen/Frost Bankers Inc.</t>
  </si>
  <si>
    <t>CFR</t>
  </si>
  <si>
    <t>Customers Bancorp Inc</t>
  </si>
  <si>
    <t>CUBI</t>
  </si>
  <si>
    <t>Evans Bancorp Inc.</t>
  </si>
  <si>
    <t>EVBN</t>
  </si>
  <si>
    <t>F.N.B. Corporation</t>
  </si>
  <si>
    <t>FNB</t>
  </si>
  <si>
    <t>FB Financial Corporation</t>
  </si>
  <si>
    <t>FBK</t>
  </si>
  <si>
    <t>First Commonwealth Financial Corporation</t>
  </si>
  <si>
    <t>FCF</t>
  </si>
  <si>
    <t>First Horizon Corporation</t>
  </si>
  <si>
    <t>FHN</t>
  </si>
  <si>
    <t>Glacier Bancorp Inc.</t>
  </si>
  <si>
    <t>GBCI</t>
  </si>
  <si>
    <t>Guaranty Bancshares Inc.</t>
  </si>
  <si>
    <t>GNTY</t>
  </si>
  <si>
    <t>Hilltop Holdings Inc.</t>
  </si>
  <si>
    <t>HTH</t>
  </si>
  <si>
    <t>Home BancShares Inc.</t>
  </si>
  <si>
    <t>HOMB</t>
  </si>
  <si>
    <t>JP Morgan Chase &amp; Co.</t>
  </si>
  <si>
    <t>JPM</t>
  </si>
  <si>
    <t>KeyCorp</t>
  </si>
  <si>
    <t>KEY</t>
  </si>
  <si>
    <t>Live Oak Bancshares Inc.</t>
  </si>
  <si>
    <t>LOB</t>
  </si>
  <si>
    <t>M&amp;T Bank Corporation</t>
  </si>
  <si>
    <t>MTB</t>
  </si>
  <si>
    <t>Metropolitan Bank Holding Corp.</t>
  </si>
  <si>
    <t>MCB</t>
  </si>
  <si>
    <t>National Bank Holdings Corporation</t>
  </si>
  <si>
    <t>NBHC</t>
  </si>
  <si>
    <t>Nicolet Bankshares Inc.</t>
  </si>
  <si>
    <t>NIC</t>
  </si>
  <si>
    <t>Park National Corporation</t>
  </si>
  <si>
    <t>PRK</t>
  </si>
  <si>
    <t>PNC Financial Services Group Inc.</t>
  </si>
  <si>
    <t>PNC</t>
  </si>
  <si>
    <t>Prosperity Bancshares Inc.</t>
  </si>
  <si>
    <t>PB</t>
  </si>
  <si>
    <t>Provident Financial Services Inc</t>
  </si>
  <si>
    <t>PFS</t>
  </si>
  <si>
    <t>Regions Financial Corporation</t>
  </si>
  <si>
    <t>RF</t>
  </si>
  <si>
    <t>ServisFirst Bancshares Inc.</t>
  </si>
  <si>
    <t>SFBS</t>
  </si>
  <si>
    <t>Synovus Financial Corp.</t>
  </si>
  <si>
    <t>SNV</t>
  </si>
  <si>
    <t>Tompkins Financial Corporation</t>
  </si>
  <si>
    <t>TMP</t>
  </si>
  <si>
    <t>Truist Financial Corporation</t>
  </si>
  <si>
    <t>TFC</t>
  </si>
  <si>
    <t>U.S. Bancorp</t>
  </si>
  <si>
    <t>USB</t>
  </si>
  <si>
    <t>Webster Financial Corporation</t>
  </si>
  <si>
    <t>WBS</t>
  </si>
  <si>
    <t>Wells Fargo &amp; Company</t>
  </si>
  <si>
    <t>WFC</t>
  </si>
  <si>
    <t>Western Alliance Bancorporation</t>
  </si>
  <si>
    <t>WAL</t>
  </si>
  <si>
    <t>York Community Bancorp Inc.</t>
  </si>
  <si>
    <t>NYCB</t>
  </si>
  <si>
    <t>Bank - Data-Code</t>
  </si>
  <si>
    <t>Company Overview</t>
  </si>
  <si>
    <t>Ticker</t>
  </si>
  <si>
    <t>Market Cap</t>
  </si>
  <si>
    <t>PE Ratio</t>
  </si>
  <si>
    <t>BankRecord</t>
  </si>
  <si>
    <t>CALLTYPE</t>
  </si>
  <si>
    <t>SparkService</t>
  </si>
  <si>
    <t>FOLDERNAME</t>
  </si>
  <si>
    <t>SERVICENAME</t>
  </si>
  <si>
    <t>REQUESTBODY</t>
  </si>
  <si>
    <t>aggregatedESGFactors</t>
  </si>
  <si>
    <t>Spark FE Demos</t>
  </si>
  <si>
    <t>bank-ticker-data</t>
  </si>
  <si>
    <t xml:space="preserve">{
"request_data":{
"inputs":{
"Bank": "
</t>
  </si>
  <si>
    <t>"}
},
"request_meta":{}
}</t>
  </si>
  <si>
    <t>Spark FE Demos/bank-data</t>
  </si>
  <si>
    <t>…</t>
  </si>
  <si>
    <t>New cash outflow (during day)</t>
  </si>
  <si>
    <t>Liquid assets (after day)</t>
  </si>
  <si>
    <t>Non-liquid assets (after day)</t>
  </si>
  <si>
    <t>New cash inflow (during day)</t>
  </si>
  <si>
    <t>bankdata</t>
  </si>
  <si>
    <t>AX</t>
  </si>
  <si>
    <t>Demand Deposit - Domestic</t>
  </si>
  <si>
    <t>Term Deposit - Domestic</t>
  </si>
  <si>
    <t>Sum</t>
  </si>
  <si>
    <t>Collateral against</t>
  </si>
  <si>
    <t>PL</t>
  </si>
  <si>
    <t>sum</t>
  </si>
  <si>
    <t>cashAndCashEquivalents</t>
  </si>
  <si>
    <t>shortTermInvestments</t>
  </si>
  <si>
    <t>cashAndShortTermInvestments</t>
  </si>
  <si>
    <t>netReceivables</t>
  </si>
  <si>
    <t>inventory</t>
  </si>
  <si>
    <t>otherCurrentAssets</t>
  </si>
  <si>
    <t>totalCurrentAssets</t>
  </si>
  <si>
    <t>propertyPlantEquipmentNet</t>
  </si>
  <si>
    <t>goodwill</t>
  </si>
  <si>
    <t>intangibleAssets</t>
  </si>
  <si>
    <t>goodwillAndIntangibleAssets</t>
  </si>
  <si>
    <t>longTermInvestments</t>
  </si>
  <si>
    <t>taxAssets</t>
  </si>
  <si>
    <t>otherNonCurrentAssets</t>
  </si>
  <si>
    <t>totalNonCurrentAssets</t>
  </si>
  <si>
    <t>otherAssets</t>
  </si>
  <si>
    <t>totalAssets</t>
  </si>
  <si>
    <t>accountPayables</t>
  </si>
  <si>
    <t>shortTermDebt</t>
  </si>
  <si>
    <t>taxPayables</t>
  </si>
  <si>
    <t>deferredRevenue</t>
  </si>
  <si>
    <t>otherCurrentLiabilities</t>
  </si>
  <si>
    <t>totalCurrentLiabilities</t>
  </si>
  <si>
    <t>longTermDebt</t>
  </si>
  <si>
    <t>deferredRevenueNonCurrent</t>
  </si>
  <si>
    <t>deferredTaxLiabilitiesNonCurrent</t>
  </si>
  <si>
    <t>otherNonCurrentLiabilities</t>
  </si>
  <si>
    <t>totalNonCurrentLiabilities</t>
  </si>
  <si>
    <t>otherLiabilities</t>
  </si>
  <si>
    <t>capitalLeaseObligations</t>
  </si>
  <si>
    <t>totalLiabilities</t>
  </si>
  <si>
    <t>preferredStock</t>
  </si>
  <si>
    <t>commonStock</t>
  </si>
  <si>
    <t>retainedEarnings</t>
  </si>
  <si>
    <t>accumulatedOtherComprehensiveIncomeLoss</t>
  </si>
  <si>
    <t>othertotalStockholdersEquity</t>
  </si>
  <si>
    <t>totalStockholdersEquity</t>
  </si>
  <si>
    <t>totalEquity</t>
  </si>
  <si>
    <t>totalLiabilitiesAndStockholdersEquity</t>
  </si>
  <si>
    <t>minorityInterest</t>
  </si>
  <si>
    <t>totalLiabilitiesAndTotalEquity</t>
  </si>
  <si>
    <t>totalInvestments</t>
  </si>
  <si>
    <t>totalDebt</t>
  </si>
  <si>
    <t>netDebt</t>
  </si>
  <si>
    <t>revenue:</t>
  </si>
  <si>
    <t>costOfRevenue:</t>
  </si>
  <si>
    <t>grossProfit:</t>
  </si>
  <si>
    <t>grossProfitRatio:</t>
  </si>
  <si>
    <t>researchAndDevelopmentExpenses:</t>
  </si>
  <si>
    <t>generalAndAdministrativeExpenses:</t>
  </si>
  <si>
    <t>sellingAndMarketingExpenses:</t>
  </si>
  <si>
    <t>sellingGeneralAndAdministrativeExpenses:</t>
  </si>
  <si>
    <t>otherExpenses:</t>
  </si>
  <si>
    <t>operatingExpenses:</t>
  </si>
  <si>
    <t>costAndExpenses:</t>
  </si>
  <si>
    <t>interestIncome:</t>
  </si>
  <si>
    <t>interestExpense:</t>
  </si>
  <si>
    <t>depreciationAndAmortization:</t>
  </si>
  <si>
    <t>ebitda:</t>
  </si>
  <si>
    <t>ebitdaratio:</t>
  </si>
  <si>
    <t>operatingIncome:</t>
  </si>
  <si>
    <t>operatingIncomeRatio:</t>
  </si>
  <si>
    <t>totalOtherIncomeExpensesNet:</t>
  </si>
  <si>
    <t>incomeBeforeTax:</t>
  </si>
  <si>
    <t>incomeBeforeTaxRatio:</t>
  </si>
  <si>
    <t>incomeTaxExpense:</t>
  </si>
  <si>
    <t>netIncome:</t>
  </si>
  <si>
    <t>netIncomeRatio:</t>
  </si>
  <si>
    <t>eps:</t>
  </si>
  <si>
    <t>epsdiluted:</t>
  </si>
  <si>
    <t>weightedAverageShsOut:</t>
  </si>
  <si>
    <t>weightedAverageShsOutDil:</t>
  </si>
  <si>
    <t>no data</t>
  </si>
  <si>
    <t>Table A2 income statement</t>
  </si>
  <si>
    <t xml:space="preserve"> no data </t>
  </si>
  <si>
    <t>spacer</t>
  </si>
  <si>
    <t>date</t>
  </si>
  <si>
    <t>symbol</t>
  </si>
  <si>
    <t>reportedCurrency</t>
  </si>
  <si>
    <t>cik</t>
  </si>
  <si>
    <t>fillingDate</t>
  </si>
  <si>
    <t>acceptedDate</t>
  </si>
  <si>
    <t>calendarYear</t>
  </si>
  <si>
    <t>period</t>
  </si>
  <si>
    <t>2022-12-31</t>
  </si>
  <si>
    <t>USD</t>
  </si>
  <si>
    <t>0000007789</t>
  </si>
  <si>
    <t>2023-02-13</t>
  </si>
  <si>
    <t>2023-02-13 16:26:00</t>
  </si>
  <si>
    <t>2022</t>
  </si>
  <si>
    <t>FY</t>
  </si>
  <si>
    <t/>
  </si>
  <si>
    <t>0000883948</t>
  </si>
  <si>
    <t>2023-02-24</t>
  </si>
  <si>
    <t>2023-02-23 17:50:07</t>
  </si>
  <si>
    <t>0001169770</t>
  </si>
  <si>
    <t>2023-02-27</t>
  </si>
  <si>
    <t>2023-02-27 13:39:44</t>
  </si>
  <si>
    <t>0000070858</t>
  </si>
  <si>
    <t>2023-02-22</t>
  </si>
  <si>
    <t>2023-02-22 16:33:50</t>
  </si>
  <si>
    <t>0000046195</t>
  </si>
  <si>
    <t>2023-03-01</t>
  </si>
  <si>
    <t>2023-03-01 14:17:23</t>
  </si>
  <si>
    <t>0001504008</t>
  </si>
  <si>
    <t>2023-02-22 16:39:37</t>
  </si>
  <si>
    <t>0000743367</t>
  </si>
  <si>
    <t>2023-03-14</t>
  </si>
  <si>
    <t>2023-03-14 17:08:49</t>
  </si>
  <si>
    <t>0001108134</t>
  </si>
  <si>
    <t>2023-03-01 16:13:26</t>
  </si>
  <si>
    <t>0000842717</t>
  </si>
  <si>
    <t>2023-03-10</t>
  </si>
  <si>
    <t>2023-03-10 16:06:01</t>
  </si>
  <si>
    <t>0001702750</t>
  </si>
  <si>
    <t>2023-03-07</t>
  </si>
  <si>
    <t>2023-03-06 17:55:36</t>
  </si>
  <si>
    <t>0001299939</t>
  </si>
  <si>
    <t>2022-12-30 19:00:00</t>
  </si>
  <si>
    <t>0000701347</t>
  </si>
  <si>
    <t>2023-02-24 15:53:03</t>
  </si>
  <si>
    <t>0000831001</t>
  </si>
  <si>
    <t>2023-02-24 21:45:33</t>
  </si>
  <si>
    <t>0000759944</t>
  </si>
  <si>
    <t>2023-02-17</t>
  </si>
  <si>
    <t>2023-02-17 07:57:56</t>
  </si>
  <si>
    <t>0000028412</t>
  </si>
  <si>
    <t>2023-02-14</t>
  </si>
  <si>
    <t>2023-02-14 17:05:36</t>
  </si>
  <si>
    <t>0000723188</t>
  </si>
  <si>
    <t>2023-03-01 16:18:34</t>
  </si>
  <si>
    <t>0000039263</t>
  </si>
  <si>
    <t>2023-02-03</t>
  </si>
  <si>
    <t>2023-02-03 14:58:34</t>
  </si>
  <si>
    <t>0001488813</t>
  </si>
  <si>
    <t>2023-02-28</t>
  </si>
  <si>
    <t>2023-02-28 17:26:46</t>
  </si>
  <si>
    <t>0000842518</t>
  </si>
  <si>
    <t>2023-03-03</t>
  </si>
  <si>
    <t>2023-03-03 15:39:51</t>
  </si>
  <si>
    <t>0000037808</t>
  </si>
  <si>
    <t>2023-02-24 15:47:39</t>
  </si>
  <si>
    <t>0001649749</t>
  </si>
  <si>
    <t>2023-02-28 12:09:52</t>
  </si>
  <si>
    <t>0000712537</t>
  </si>
  <si>
    <t>2023-02-27 21:20:51</t>
  </si>
  <si>
    <t>0000036966</t>
  </si>
  <si>
    <t>2023-03-01 06:07:19</t>
  </si>
  <si>
    <t>0000868671</t>
  </si>
  <si>
    <t>2023-02-24 16:41:37</t>
  </si>
  <si>
    <t>0001058867</t>
  </si>
  <si>
    <t>2023-03-10 17:03:57</t>
  </si>
  <si>
    <t>0001265131</t>
  </si>
  <si>
    <t>2023-02-17 16:36:14</t>
  </si>
  <si>
    <t>0001331520</t>
  </si>
  <si>
    <t>2023-02-24 16:09:37</t>
  </si>
  <si>
    <t>0000019617</t>
  </si>
  <si>
    <t>2023-02-21</t>
  </si>
  <si>
    <t>2023-02-21 16:13:55</t>
  </si>
  <si>
    <t>0000091576</t>
  </si>
  <si>
    <t>2023-02-22 15:19:02</t>
  </si>
  <si>
    <t>0001462120</t>
  </si>
  <si>
    <t>2023-02-23</t>
  </si>
  <si>
    <t>2023-02-23 16:29:48</t>
  </si>
  <si>
    <t>0000036270</t>
  </si>
  <si>
    <t>2023-02-22 16:55:46</t>
  </si>
  <si>
    <t>0001476034</t>
  </si>
  <si>
    <t>2023-02-28 11:01:21</t>
  </si>
  <si>
    <t>0001475841</t>
  </si>
  <si>
    <t>2023-02-28 16:23:51</t>
  </si>
  <si>
    <t>0001174850</t>
  </si>
  <si>
    <t>2023-02-24 16:22:11</t>
  </si>
  <si>
    <t>0000805676</t>
  </si>
  <si>
    <t>2023-03-01 16:17:04</t>
  </si>
  <si>
    <t>0000713676</t>
  </si>
  <si>
    <t>2023-02-22 16:06:13</t>
  </si>
  <si>
    <t>0001068851</t>
  </si>
  <si>
    <t>2023-02-24 18:19:55</t>
  </si>
  <si>
    <t>0001178970</t>
  </si>
  <si>
    <t>2023-03-01 15:08:23</t>
  </si>
  <si>
    <t>0001281761</t>
  </si>
  <si>
    <t>2023-02-24 12:39:55</t>
  </si>
  <si>
    <t>0001430723</t>
  </si>
  <si>
    <t>2023-02-28 15:44:53</t>
  </si>
  <si>
    <t>0000018349</t>
  </si>
  <si>
    <t>2023-02-24 09:23:18</t>
  </si>
  <si>
    <t>0001005817</t>
  </si>
  <si>
    <t>2023-03-01 14:08:13</t>
  </si>
  <si>
    <t>0000092230</t>
  </si>
  <si>
    <t>2023-02-28 16:47:54</t>
  </si>
  <si>
    <t>0000036104</t>
  </si>
  <si>
    <t>2023-02-27 15:41:21</t>
  </si>
  <si>
    <t>0000801337</t>
  </si>
  <si>
    <t>2023-03-10 07:27:04</t>
  </si>
  <si>
    <t>0000072971</t>
  </si>
  <si>
    <t>2023-02-21 17:13:29</t>
  </si>
  <si>
    <t>0001212545</t>
  </si>
  <si>
    <t>2023-02-23 15:54:24</t>
  </si>
  <si>
    <t>0000910073</t>
  </si>
  <si>
    <t>2023-03-01 16:03:35</t>
  </si>
  <si>
    <t>revenue</t>
  </si>
  <si>
    <t>costOfRevenue</t>
  </si>
  <si>
    <t>grossProfit</t>
  </si>
  <si>
    <t>grossProfitRatio</t>
  </si>
  <si>
    <t>researchAndDevelopmentExpenses</t>
  </si>
  <si>
    <t>generalAndAdministrativeExpenses</t>
  </si>
  <si>
    <t>sellingAndMarketingExpenses</t>
  </si>
  <si>
    <t>sellingGeneralAndAdministrativeExpenses</t>
  </si>
  <si>
    <t>otherExpenses</t>
  </si>
  <si>
    <t>operatingExpenses</t>
  </si>
  <si>
    <t>costAndExpenses</t>
  </si>
  <si>
    <t>interestIncome</t>
  </si>
  <si>
    <t>interestExpense</t>
  </si>
  <si>
    <t>depreciationAndAmortization</t>
  </si>
  <si>
    <t>ebitda</t>
  </si>
  <si>
    <t>ebitdaratio</t>
  </si>
  <si>
    <t>operatingIncome</t>
  </si>
  <si>
    <t>operatingIncomeRatio</t>
  </si>
  <si>
    <t>totalOtherIncomeExpensesNet</t>
  </si>
  <si>
    <t>incomeBeforeTax</t>
  </si>
  <si>
    <t>incomeBeforeTaxRatio</t>
  </si>
  <si>
    <t>incomeTaxExpense</t>
  </si>
  <si>
    <t>netIncome</t>
  </si>
  <si>
    <t>netIncomeRatio</t>
  </si>
  <si>
    <t>eps</t>
  </si>
  <si>
    <t>epsdiluted</t>
  </si>
  <si>
    <t>weightedAverageShsOut</t>
  </si>
  <si>
    <t>weightedAverageShsOutDil</t>
  </si>
  <si>
    <t>sector</t>
  </si>
  <si>
    <t>longBusinessSummary</t>
  </si>
  <si>
    <t>marketCap</t>
  </si>
  <si>
    <t>Financial Services</t>
  </si>
  <si>
    <t>Associated Banc-Corp, a bank holding company, provides various banking and nonbanking products to individuals and businesses in Wisconsin, Illinois, and Minnesota. The company operates through three segments: Corporate and Commercial Specialty; Community, Consumer, and Business; and Risk Management and Shared Services. Its Corporate and Commercial Specialty segment offers lending solutions, including commercial loans and lines of credit, commercial real estate financing, construction loans, letters of credit, leasing, asset based lending, and loan syndications; deposit and cash management solutions, such as commercial checking and interest-bearing deposit products, cash vault and night depository services, liquidity solutions, payables and receivables solutions, and information services; specialized financial services such as interest rate risk management, foreign exchange solutions, and commodity hedging; fiduciary services such as administration of pension, profit-sharing and other employee benefit plans, fiduciary and corporate agency services, and institutional asset management; and investable funds solutions such as savings, money market deposit accounts, IRA accounts, CDs, fixed and variable annuities, full-service, discount and online investment brokerage; investment advisory services; and trust and investment management accounts. The company's Community, Consumer, and Business segment offers lending solutions, such as residential mortgages, home equity loans and lines of credit, personal and installment loans, auto loans, business loans, and business lines of credit; and deposit and transactional solutions such as checking, credit, debit and pre-paid cards, online banking and bill pay; and money transfer services. Associated Banc-Corp was founded in 1861 and is headquartered in Green Bay, Wisconsin.</t>
  </si>
  <si>
    <t>Atlantic Union Bankshares Corporation operates as the bank holding company for Atlantic Union Bank that provides banking and related financial products and services to consumers and businesses in the United States. It operates in two segments, Wholesale Banking and Consumer Banking. The company accepts various deposit products, including checking, savings, NOW, time deposit, and money market accounts; certificates of deposit; and other depository services. It also provides loans for commercial, industrial, residential mortgage, and consumer purposes, as well as credit cards. In addition, it provides treasury management and capital market, wealth management, private banking, trust, financial and retirement planning, brokerage, investment management, equipment finance, and insurance products and services. The company offers products and services through full-service branches and ATMs, as well as through its mobile and internet banking. The company was formerly known as Union Bankshares Corporation and changed its name to Atlantic Union Bankshares Corporation in May 2019. Atlantic Union Bankshares Corporation was founded in 1902 and is headquartered in Richmond, Virginia.</t>
  </si>
  <si>
    <t>Axos Financial, Inc., together with its subsidiaries, provides consumer and business banking products in the United States. It operates through two segments, Banking Business and Securities Business. The company offers deposits products, including consumer and business checking, demand, savings, time deposit, money market, zero balance, and insured cash sweep accounts. It also provides residential single family, multifamily, and commercial mortgage loans; commercial real estate secured loans; commercial and industrial non-real estate, asset-backed, lines of credit, and term loans; automobile loans; fixed rate unsecured loans; and other loans, such as structure settlements, small business administration consumer loans, and securities-backed loans. In addition, the company offers ACH origination, wire transfer, commercial check printing, business bill pay and account transfer; remote deposit capture, mobile deposit, lockbox, merchant, and online payment portal; concierge banking; mobile and text message banking; and payment services, as well as debit and credit cards, and digital wallets. Further, it provides disclosed clearing services; back-office services, such as record keeping, trade reporting, accounting, general back-office support, securities and margin lending, reorganization assistance, and custody of securities; and financing to brokerage customers. The company was formerly known as BofI Holding, Inc. and changed its name to Axos Financial, Inc. in September 2018. Axos Financial, Inc. was incorporated in 1999 and is based in Las Vegas, Nevada.</t>
  </si>
  <si>
    <t>Banc of California, Inc. operates as the bank holding company for Banc of California, National Association that provides banking and financial products and services in the United States. The company offers deposit products, including interest-bearing and noninterest-bearing demand, checking, savings, and money market deposits accounts; certificate of deposits; and retirement accounts and safe deposit boxes. It also provides various commercial and consumer loan products, such as commercial and industrial loans; commercial real estate and multifamily loans; construction loans; single family residential mortgage loans; warehouse and indirect/direct leveraged lending; home equity lines of credit; small business administration loans; and consumer loans comprising lines of credit and term loans, as well as and other consumer loans, including automobile loans. In addition, the company offers automated bill payment, cash and treasury management, foreign exchange, interest rate swaps, card payment, remote and mobile deposit capture, automated clearing house origination, wire transfer, direct deposit, and internet banking services; and master demand accounts. Further, it invests in agency securities, municipal bonds, agency residential mortgage-backed securities, and corporate debt securities. The company was formerly known as First PacTrust Bancorp, Inc. and changed its name to Banc of California, Inc. in July 2013. Banc of California, Inc. was founded in 1941 and is headquartered in Santa Ana, California.</t>
  </si>
  <si>
    <t>Bank of America Corporation, through its subsidiaries, provides banking and financial products and services for individual consumers, small and middle-market businesses, institutional investors, large corporations, and governments worldwide. Its Consumer Banking segment offers traditional and money market savings accounts, certificates of deposit and IRAs, noninterest-and interest-bearing checking accounts, and investment accounts and products; and credit and debit cards, residential mortgages, and home equity loans, as well as direct and indirect loans, such as automotive, recreational vehicle, and consumer personal loans. The company's Global Wealth &amp; Investment Management segment offers investment management, brokerage, banking, and trust and retirement products and services; and wealth management solutions, as well as customized solutions, including specialty asset management services. Its Global Banking segment provides lending products and services, including commercial loans, leases, commitment facilities, trade finance, and commercial real estate and asset-based lending; treasury solutions, such as treasury management, foreign exchange, and short-term investing options and merchant services; working capital management solutions; and debt and equity underwriting and distribution, and merger-related and other advisory services. The company's Global Markets segment offers market-making, financing, securities clearing, settlement, and custody services, as well as risk management products using interest rate, equity, credit, currency and commodity derivatives, foreign exchange, fixed-income, and mortgage-related products. The company was founded in 1784 and is based in Charlotte, North Carolina.</t>
  </si>
  <si>
    <t>Bank of Hawaii Corporation operates as the bank holding company for Bank of Hawaii that provides various financial products and services in Hawaii, Guam, and other Pacific Islands. It operates in three segments: Consumer Banking, Commercial Banking, and Treasury and Other. The Consumer Banking segment offers checking, savings, and time deposit accounts; residential mortgage loans, home equity lines of credit, automobile loans and leases, personal lines of credit, installment loans, small business loans and leases, and credit cards; private and international client banking, investment, credit, and trust services to individuals and families, and high-net-worth individuals; investment management; institutional investment advisory services to corporations, government entities, and foundations; and brokerage offerings, including equities, mutual funds, life insurance, and annuity products. The Commercial Banking segment provides corporate banking, commercial real estate loans, commercial lease financing, auto dealer financing, and deposit products. This segment also offers commercial lending and deposit products to middle-market and large companies, and government entities; commercial real estate mortgages to investors, developers, and builders; and international banking and merchant services. The Treasury and Other segment provides corporate asset and liability management services, including interest rate risk management and foreign exchange services. Bank of Hawaii Corporation was founded in 1897 and is headquartered in Honolulu, Hawaii.</t>
  </si>
  <si>
    <t>BankUnited, Inc. operates as the bank holding company for BankUnited, a national banking association that provides a range of banking services in the United States. The company offers deposit products, such as checking, money market deposit, and savings accounts; certificates of deposit; and treasury, commercial payment, and cash management services. Its loans portfolio includes commercial loans, including equipment loans, secured and unsecured lines of credit, formula-based lines of credit, owner-occupied commercial real estate term loans and lines of credit, mortgage warehouse lines, capital call lines, letters of credit, commercial credit cards, small business administration and U.S. department of agriculture product offerings, export-import bank financing products, trade finance, and business acquisition finance credit facilities; commercial real estate loans; residential mortgages; and other consumer loans. The company also offers online, mobile, and telephone banking services. It operates through a network of banking centers located in Florida counties and the New York metropolitan area, as well as Dallas, Texas. The company was formerly known as BU Financial Corporation. BankUnited, Inc. was incorporated in 2009 and is headquartered in Miami Lakes, Florida.</t>
  </si>
  <si>
    <t>Bar Harbor Bankshares operates as the holding company for Bar Harbor Bank &amp; Trust that provides banking and nonbanking products and services primarily to consumers and businesses. It accepts various deposit products, including interest-bearing and non-interest-bearing demand accounts, savings accounts, time deposits, and money market deposit accounts, as well as certificates of deposit. The company also provides commercial construction loans, such as raw land, land development, and construction of commercial and multifamily residential properties; commercial real estate owner occupied and non-owner occupied loans; tax exempt loans to various state and municipal government entities; commercial and industrial loans, including loans for the purpose of financing working capital and capital investment; residential real estate loans consists of one-to-four family homes; home equity loans; and consumer loans, including personal lines of credit and amortizing loans to qualified individuals for various purposes, such as auto loans, recreational equipment, overdraft protection, and other consumer loans. In addition, it provides life insurance, annuity, and retirement products, as well as financial planning services; and third-party investment and insurance services. Further, the company offers trust and estate administration, wealth advisory, and investment management services to individuals, businesses, not-for-profit organizations, and municipalities; and 401K plan, financial, estate and charitable planning, investment management, family office, municipal, and tax services. Bar Harbor Bankshares was founded in 1887 and is headquartered in Bar Harbor, Maine.</t>
  </si>
  <si>
    <t>Berkshire Hills Bancorp, Inc. operates as the bank holding company for Berkshire Bank that provides various banking products and services. It offers various deposit accounts, including demand deposit, interest-bearing checking, regular savings, money market savings, time certificates of deposit, and retirement deposit accounts; and loans, such as commercial real estate, commercial and industrial, consumer, and residential mortgage loans. The company also provides wealth management services comprising investment management, trust administration, tax return preparation, and financial planning; and investment products and brokerage services. In addition, it offers electronic banking, commercial cash management, online banking, small business banking, asset based lending, and mobile banking services; and debit cards and other electronic fee producing payment services to transaction account customers. The company serves personal, commercial, non-profit, and municipal deposit customers. It also has financial centers in Massachusetts, New York, Connecticut, Rhode Island, and Vermont. The company was founded in 1846 and is headquartered in Boston, Massachusetts.</t>
  </si>
  <si>
    <t>Blue Ridge Bankshares, Inc. operates as a bank holding company for the Blue Ridge Bank, National Association that provides commercial and consumer banking, and financial services. It operates through: Commercial Banking and Mortgage Banking segments. The company accepts checking, savings, money market, cash management, and individual retirement accounts, as well as certificates of deposit. It also offers commercial and industrial, residential mortgages, commercial mortgages, home equity, consumer installment, and guaranteed government loans; and residential mortgage loans and mortgages loans on real estate. In addition, it provides wire, direct deposit payroll, remote deposit, electronic statement, and other services; and property and casualty insurance products to individuals and businesses, as well as online, mobile, and telephone banking services. Further, the company offers employee benefit plans and administration services; management services for personal and corporate trusts, including estate planning and settlement, and trust administration, investment and wealth management, and other insurance products; and wholesale and third-party residential mortgage origination services to other financial institutions and credit unions. It operates in Callao, Charlottesville, Chester, Colonial Heights, Culpeper, Fredericksburg, Gordonsville, Harrisonburg, Hartfield, Henrico, Kilmarnock, Louisa, Luray, Martinsville, Midlothian, Mineral, Montross, Orange, Petersburg, Richmond, Shenandoah, Suffolk, Virginia Beach, Warsaw, and White Stone, Virginia; and Greensboro, North Carolina. Blue Ridge Bankshares, Inc. was founded in 1893 and is headquartered in Charlottesville, Virginia.</t>
  </si>
  <si>
    <t>Byline Bancorp, Inc. operates as the bank holding company for Byline Bank that provides various banking products and services for small and medium sized businesses, commercial real estate and financial sponsors, and consumers in the United States. It offers various retail deposit products, including non-interest-bearing accounts, money market demand accounts, savings accounts, interest-bearing checking accounts, and time deposits; ATM and debit cards; and online, mobile, and text banking services, as well as commercial deposits. The company also provides term loans, revolving lines of credit, and construction financing services; senior secured financing solutions to private equity backed lower middle market companies; small business administration and united states department of agriculture loans; and treasury management products and services. In addition, it offers financing solutions for equipment vendors and their end users; syndication services; and investment, trust, and wealth management services that include fiduciary and executor services, financial planning solutions, investment advisory services, and private banking services for foundations and endowments, and high net worth individuals. The company was formerly known as Metropolitan Bank Group, Inc. and changed its name to Byline Bancorp, Inc. in 2015. Byline Bancorp, Inc. was founded in 1914 and is headquartered in Chicago, Illinois.</t>
  </si>
  <si>
    <t>Cadence Bank provides commercial banking and financial services. Its products and services include consumer banking, consumer loans, mortgages, home equity lines and loans, credit cards, commercial and business banking, treasury management, specialized and asset-based lending, commercial real estate, equipment financing, and correspondent banking services. The company's products and services also comprise small business administration lending, foreign exchange, wealth management, investment and trust, financial planning, retirement plan management, and personal and business insurance services. It operates in Alabama, Arkansas, Florida, Georgia, Louisiana, Mississippi, Missouri, Tennessee, Texas, Illinois, and Oklahoma, the United States. Cadence Bank was incorporated in 1876 and is headquartered in Tupelo, Mississippi.</t>
  </si>
  <si>
    <t>Central Pacific Financial Corp. operates as the bank holding company for Central Pacific Bank that provides a range of commercial banking products and services to businesses, professionals, and individuals in the United States. It offers various deposit products and services, including checking, savings and time deposits, cash management and digital banking, trust, and retail brokerage services, as well as money market accounts and certificates of deposit. The company also provides various lending activities, such as commercial, commercial and residential mortgage, home equity, and consumer loans; and other products and services comprising debit cards, internet and mobile banking, cash management services, full-service ATMs, safe deposit boxes, international banking services, night depository facilities, foreign exchange, and wire transfers. In addition, it offers wealth management products and services that include non-deposit investment products, annuities, insurance, investment management, asset custody and general consultation, and planning services. Central Pacific Financial Corp. was founded in 1954 and is headquartered in Honolulu, Hawaii.</t>
  </si>
  <si>
    <t>Citigroup Inc., a diversified financial services holding company, provides various financial products and services to consumers, corporations, governments, and institutions in North America, Latin America, Asia, Europe, the Middle East, and Africa. It operates through three segments: Institutional Clients Group (ICG), Personal Banking and Wealth Management (PBWM), and Legacy Franchises. The ICG segment offers wholesale banking products and services, including fixed income and equity sales and trading, foreign exchange, prime brokerage, derivative, equity and fixed income research, corporate lending, investment banking and advisory, private banking, cash management, trade finance, and securities services to corporate, institutional, and public sector clients. The PBWM segment offers traditional banking services to retail and small business customers through retail banking, cash, rewards, value portfolios, and co-branded cards. It also provides various banking, credit cards, custody, trust, mortgages, home equity, small business, and personal consumer loans. The Legacy Franchises segment provides traditional retail banking and branded card products to retail and small business customers. The company was founded in 1812 and is headquartered in New York, New York.</t>
  </si>
  <si>
    <t>Citizens Financial Group, Inc. operates as the bank holding company for Citizens Bank, National Association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government banking, not-for-profit, healthcare, technology, professionals, oil and gas, asset finance, franchise finance, asset-based lending, commercial real estate, private equity, and sponsor finance industries. The company was formerly known as RBS Citizens Financial Group, Inc. and changed its name to Citizens Financial Group, Inc. in April 2014. Citizens Financial Group, Inc. was founded in 1828 and is headquartered in Providence, Rhode Island.</t>
  </si>
  <si>
    <t>Comerica Incorporated, through its subsidiaries, provides various financial products and services. The company operates through Commercial Bank, Retail Bank, Wealth Management, and Finance segments. The Commercial Bank segment offers various products and services, including commercial loans and lines of credit, deposits, cash management, capital market products, international trade finance, letters of credit, foreign exchange management services, and loan syndication services, as well as payment and card services for small and middle market businesses, multinational corporations, and governmental entities. The Retail Bank segment provides personal financial services, such as consumer lending, consumer deposit gathering, and mortgage loan origination; and various consumer products that include deposit accounts, installment loans, credit cards, student loans, home equity lines of credit, and residential mortgage loans, as well as commercial products and services to micro-businesses. The Wealth Management segment offers products and services comprising fiduciary, private banking, retirement, investment management and advisory, and investment banking and brokerage services; and sells annuity products, as well as life, disability, and long-term care insurance products. The Finance segment engages in the securities portfolio, and asset and liability management activities. It operates in Texas, California, Michigan, Arizona, Florida, Canada, and Mexico. The company was formerly known as DETROITBANK Corporation and changed its name to Comerica Incorporated in July 1982. Comerica Incorporated was founded in 1849 and is headquartered in Dallas, Texas.</t>
  </si>
  <si>
    <t>Community Bank System, Inc. operates as the bank holding company for Community Bank, N.A. that provides various banking and other financial services to retail, commercial, and municipal customers. It operates through three segments: Banking, Employee Benefit Services, and All Other. The company offers various deposits products, such as interest and noninterest -bearing checking, savings, and money market deposit accounts, as well as time deposits. It also provides loans, including consumer mortgages; general purpose commercial and industrial loans, and mortgages on commercial properties; paycheck protection program loans; installment loans that are originated through selected dealerships and are secured by automobiles, marine, and other recreational vehicles; personal installment loans and check credit lines of credit for consumers; and home equity products. In addition, the company offers broker-dealer and investment advisory; cash management, investment, and treasury services; asset management services; and employee benefit services, as well as operates as a full-service insurance agency that provides personal and commercial lines of insurance, and other risk management products and services. Further, it offers contribution plan administration, employee benefit trust, collective investment fund, retirement plan administration and benefit consulting, fund administration, transfer agency, actuarial and benefit consulting, VEBA/HRA, and health and welfare consulting services; and act as an investor in residential and commercial real estate activities. Additionally, the company offers wealth management, retirement planning, higher educational planning, fiduciary, risk management, trust, and personal financial planning services; and investment alternatives, including stocks, bonds, mutual funds, and insurance and advisory products, as well as master recordkeeping services. Community Bank System, Inc. was founded in 1866 and is headquartered in DeWitt, New York.</t>
  </si>
  <si>
    <t>Cullen/Frost Bankers, Inc. operates as the bank holding company for Frost Bank that provides commercial and consumer banking services in Texas. It operates in two segments, Banking and Frost Wealth Advisors. The company offers commercial banking services to corporations and other business clients, including financing for industrial and commercial properties, interim construction related to industrial and commercial properties, equipment, inventories and accounts receivables, and acquisitions; and treasury management services, as well as originates commercial leasing services. It also provides consumer banking services, such as checking accounts, savings programs, automated-teller machines (ATMs), overdraft facilities, installment and real estate loans, first mortgage loans, home equity loans and lines of credit, drive-in and night deposit services, safe deposit facilities, and brokerage services. In addition, the company offers international banking services comprising deposits, loans, letters of credit, foreign collections, funds transmitting, and foreign exchange services. Further, it offers trust, investment, agency, and custodial services for individual and corporate clients; provides capital market services that include sales and trading, new issue underwriting, money market trading, advisory, and securities safekeeping and clearance; and supports international business activities. Additionally, the company offers insurance and securities brokerage services; and holds securities for investment purposes, as well as investment management services to Frost-managed mutual funds, institutions, and individuals. The company serves energy, manufacturing, services, construction, retail, telecommunications, healthcare, military, and transportation industries. Cullen/Frost Bankers, Inc. was founded in 1868 and is headquartered in San Antonio, Texas.</t>
  </si>
  <si>
    <t>Customers Bancorp, Inc. operates as the bank holding company for Customers Bank that provides financial products and services to individual consumers, and small and middle market businesses. The company provides deposit banking products, which includes commercial and consumer checking, non-interest-bearing and interest-bearing demand, MMDA, savings, and time deposit accounts. Its lending business offers commercial and industrial, commercial real estate, and multifamily and residential mortgage loans; SBA lending and financing; specialty lending includes fund finance, real estate specialty finance, technology and venture, healthcare and financial institutions group finance; commercial loans to mortgage companies, and commercial equipment financing; and fund finance, which includes secured and variable rate financing, private equity funds, and cash management services. In addition, the company provides digital banking including Banking-as-a-Service to fintech companies, payments and treasury services to businesses, and consumer loans through fintech companies and the TassatPay, an blockchain-based instant B2B payments platform which offers instant payments including over-the-counter desks, exchanges, liquidity providers, market makers, funds, and other B2B verticals. Further, it offers mobile phone and internet banking, wire transfers, electronic bill payment, lock box, remote deposit capture, courier, merchant processing, cash vault, controlled disbursements, positive pay, and cash management services, such as account reconciliation, collections, and sweep accounts. The company was incorporated in 2010 and is headquartered in West Reading, Pennsylvania.</t>
  </si>
  <si>
    <t>Evans Bancorp, Inc. primarily operates as financial holding company for Evans Bank, N.A. that provides a range of banking products and services to consumer and commercial customers in the United States. It operates in two segments: Banking Activities and Insurance Agency Activities. The company offers deposit products, which include checking and negotiable order of withdrawal accounts, savings accounts, and certificates of deposit. It also provides residential mortgages; commercial and multi-family mortgages and commercial construction loans; home equities, such as home equity lines of credit and second mortgage loans; commercial and industrial loans comprising term loans and lines of credit; consumer loans, includes direct automobile, recreational vehicle, boat, home improvement, and personal loans; other loans consist of cash reserves, overdrafts, and loan clearing accounts; and installment loans. In addition, the company sells various premium-based insurance policies, including business and personal insurance, employee benefits, surety bonds, risk management, life, disability, and long-term care coverage, as well as provides claims adjusting services to various insurance companies; and non-deposit investment products, such as annuities and mutual funds. Evans Bancorp, Inc. was founded in 1920 and is headquartered in Williamsville, New York.</t>
  </si>
  <si>
    <t>F.N.B. Corporation, a bank and financial holding company, provides a range of financial products and services primarily to consumers, corporations, governments, and small- to medium-sized businesses in the United States. The company operates through three segments: Community Banking, Wealth Management, and Insurance. The Community Banking segment offers commercial banking solutions, including corporate and small business banking, investment real estate financing, business credit, capital market, and lease financing services. It also provides consumer banking products and services, such as deposit products, mortgage lending and consumer lending services, and mobile and online banking services. The Wealth Management segment provides personal and corporate fiduciary services comprising administration of decedent and trust estates; and securities brokerage and investment advisory services, mutual funds, and annuities. The Insurance segment comprises commercial and personal insurance, and reinsurance products, as well as mezzanine financing options for small- to medium-sized businesses. F.N.B. Corporation was founded in 1864 and is headquartered in Pittsburgh, Pennsylvania.</t>
  </si>
  <si>
    <t>FB Financial Corporation operates as a bank holding company for FirstBank that provides a suite of commercial and consumer banking services to businesses, professionals, and individuals. The company operates in segments, such as Banking and Mortgage. It offers checking, demand, money market, and savings accounts; deposit and lending products and services to corporate, commercial, and consumer customers; and time deposits and certificates of deposits, as well as residential mortgage loans. The company also provides owner-occupied and non-owner-occupied real estate commercial, residential real estate 1-4 family mortgage, multi-family residential, commercial and industrial, construction, land acquisition, residential lines of credit, and land development loans; and consumer and other loans, such as car, boat, and other recreational vehicle loans, as well as manufactured homes without real estate and personal lines of credit. In addition, the company offers mortgage banking services through its bank branch network and mortgage banking offices in the southeastern United States; direct-to-consumer internet delivery channel; and trust, insurance, and investment services, as well as online and mobile banking services. The company operates full-service bank branches and limited-service branches locations throughout Tennessee, Nashville, Chattanooga, Knoxville, Memphis, Jackson, Birmingham, Florence, Huntsville, Alabama, Bowling Green, and Kentucky; and mortgage offices throughout the southeastern United States. The company was formerly known as First South Bancorp, Inc. and changed its name to FB Financial Corporation in 2016. FB Financial Corporation was founded in 1906 and is headquartered in Nashville, Tennessee.</t>
  </si>
  <si>
    <t>First Commonwealth Financial Corporation, a financial holding company, provides various consumer and commercial banking services in the United States. Its consumer services include personal checking accounts, interest-earning checking accounts, savings and health savings accounts, insured money market accounts, debit cards, investment certificates, fixed and variable rate certificates of deposit, mortgage loans, secured and unsecured installment loans, construction and real estate loans, safe deposit facilities, credit cards, credit lines with overdraft checking protection, IRA accounts, and automated teller machine (atm) services, as well as internet, mobile, and telephone banking services. The company's commercial banking services comprise commercial lending, business checking accounts, online account management services, payroll direct deposits, commercial cash management services, and repurchase agreements, as well as ACH origination services. In addition, it offers various trust and asset management services; auto, home, and business insurance, as well as term life insurance; and annuities, mutual funds, and stock and bond brokerage services through a broker-dealer and insurance brokers. First Commonwealth Financial Corporation was founded in 1934 and is headquartered in Indiana, Pennsylvania.</t>
  </si>
  <si>
    <t>First Horizon Corporation operates as the bank holding company for First Horizon Bank that provides various financial services. The company operates through three segments: Regional Banking, Specialty Banking, and Corporate. It offers general banking services for consumers, businesses, financial institutions, and governments. The company provides underwriting services for bank-eligible securities and other fixed-income securities by financial subsidiaries; sells loans and derivatives; and offers advisory services. In addition, it offers commercial and business banking for business enterprises, consumer banking, and private client and wealth management services; and capital markets, professional commercial real estate, mortgage warehouse and asset-based lending, franchise and equipment finance, and corporate and correspondent banking. Further, the company provides transaction processing services including check clearing services and remittance processing, credit cards, investment, and sale of mutual fund and retail insurances, as well as trust, fiduciary, and agency services. First Horizon Corporation was founded in 1864 and is headquartered in Memphis, Tennessee.</t>
  </si>
  <si>
    <t>Glacier Bancorp, Inc. operates as the bank holding company for Glacier Bank that provides commercial banking services to individuals, small to medium-sized businesses, community organizations, and public entities in the United States. It offers non-interest bearing deposit and interest bearing deposit accounts, such as negotiable order of withdrawal and demand deposit accounts, savings accounts, money market deposit accounts, fixed rate certificates of deposit, negotiated-rate jumbo certificates, and individual retirement accounts. The company also provides construction and permanent loans on residential real estate; consumer land or lot loans; unimproved land and land development loans; and residential builder guidance lines comprising pre-sold and spec-home construction, and lot acquisition loans. In addition, it offers commercial real estate loans to purchase, construct, and finance commercial real estate properties; consumer loans secured by real estate, automobiles, or other assets; paycheck protection program loans; home equity loans consisting of junior lien mortgages, and first and junior lien lines of credit secured by owner-occupied 1-4 family residences; and agriculture loans. Further, the company provides mortgage origination and loan servicing services. Glacier Bancorp, Inc. was founded in 1955 and is headquartered in Kalispell, Montana.</t>
  </si>
  <si>
    <t>Guaranty Bancshares, Inc. operates as the bank holding company for Guaranty Bank &amp; Trust, N.A. that provides a range of commercial and consumer banking products and services for small- and medium-sized businesses, professionals, and individuals. The company offers checking and savings, money market, and business accounts, as well as certificates of deposit; and commercial and industrial, construction and development, 1-4 family residential, commercial real estate, farmland, agricultural, multi-family residential, and consumer loans. It also provides trustee, custodial and escrow, investment management, retirement plan, ATM, night depository, direct deposit, and cashier's check services, as well as online and mobile banking services; debit cards; letters of credit; and treasury management services, including wire transfer, positive pay, remote deposit capture, and automated clearinghouse services. The company was founded in 1913 and is headquartered in Addison, Texas.</t>
  </si>
  <si>
    <t>Hilltop Holdings Inc. provides business and consumer banking, and financial products and services. It operates through three segments: Banking, Broker-Dealer, and Mortgage Origination. The Banking segment offers savings, checking, interest-bearing checking, and money market accounts; certificates of deposit; lines and letters of credit, home improvement and equity loans, loans for purchasing and carrying securities, equipment loans, agricultural and commercial real estate loans, and other loans; and commercial and industrial loans, and term and construction finance. This segment also provides treasury management, wealth management, asset management, check cards, safe deposit boxes, online banking, bill pay, trust, and overdraft services; and estate planning, management and administration, investment portfolio management, employee benefit accounts, and individual retirement accounts, as well as automated teller machines. The Broker-Dealer segment offers public finance services that assist public entities in originating, syndicating, and distributing securities of municipalities and political subdivisions; specialized advisory and investment banking services; advice and guidance to arbitrage rebate compliance, portfolio management, and local government investment pool administration; structured finance services, which include advisory services for derivatives and commodities; and sells, trades in, and underwrites U.S. government and government agency bonds, corporate bonds, and municipal bonds, as well as mortgage-backed, asset-backed, and commercial mortgage-backed securities and structured products. This segment also provides asset and liability management advisory, clearing, retail, and securities lending services. The Mortgage Origination segment offers mortgage, jumbo, Federal Housing Administration, Veterans Affairs, and United States Department of Agriculture loans. Hilltop Holdings Inc. was founded in 1998 and is headquartered in Dallas, Texas.</t>
  </si>
  <si>
    <t>Home Bancshares, Inc. (Conway, AR) operates as the bank holding company for Centennial Bank that provides commercial and retail banking, and related financial services to businesses, real estate developers and investors, individuals, and municipalities. Its deposit products include checking, savings, and money market accounts, as well as certificates of deposit. The company's loan portfolio comprises non-farm/non-residential real estate, construction/land development, residential mortgage, consumer, agricultural, and commercial and industrial loans. It also provides internet banking, mobile banking and voice response information, cash management, overdraft protection, direct deposit, and automatic account transfer services, as well as safe deposit boxes and the United States savings bonds. In addition, the company writes policies for commercial and personal lines of business, including insurance for property, casualty, life, health, and employee benefits. It operates through branches in Arkansas, Florida, Alabama, Texas, and New York City. The company was founded in 1998 and is headquartered in Conway, Arkansas.</t>
  </si>
  <si>
    <t>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to consumers and small businesses; mortgage origination and servicing activities; residential mortgages and home equity loans; and credit cards, auto loans, leases, and travel services. The CIB segment provides investment banking products and services, including corporate strategy and structure advisory, and equity and debt markets capital-raising services, as well as loan origination and syndication; payments and cross-border financing;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and commercial real estate banking services to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The company also provides ATM, online and mobile, and telephone banking services. JPMorgan Chase &amp; Co. was founded in 1799 and is headquartered in New York, New York.</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</si>
  <si>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and personal finance and financial wellness, student loan refinancing, mortgage and home equity, lending, credit card, treasury, business advisory, wealth management, asset management, investment,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comprising consumer, energy, healthcare, industrial, public sector, real estate, and technology loans for middle market clients. In addition, the company offers community development financing, securities underwriting, brokerage, and investment banking services. The company was founded in 1849 and is headquartered in Cleveland, Ohio.</t>
  </si>
  <si>
    <t>Live Oak Bancshares, Inc. operates as the bank holding company for Live Oak Banking Company that provides various commercial banking products and services to individuals, small businesses, and professionals in North Carolina, the United States. It operates in two segments, Banking and Fintech. The company accepts various deposit products, including noninterest-bearing demand, as well as interest-bearing checking, money market, certificate of deposits, savings, and time deposits. It also offers commercial and industrial loans; construction and development loans; owner occupied and non-owner occupied collateral commercial real estate loans; and commercial land loans. In addition, it provides settlement, accounting, and securitization services for government guaranteed loans; wealth and investment management services to high-net-worth individuals and families; investment advisory services to a series of funds focused on providing venture capital to new and emerging financial technology companies; and an on-site restaurant location to company employees and business visitors. The company was incorporated in 2008 and is headquartered in Wilmington, North Carolina.</t>
  </si>
  <si>
    <t>M&amp;T Bank Corporation operates as a bank holding company for Manufacturers and Traders Trust Company and Wilmington Trust, National Association that offer retail and commercial banking products and services in the United States. The company's Business Banking segment offers deposit, lending, cash management, and other financial services to small businesses and professionals. Its Commercial Banking segment provides deposit products, commercial lending and leasing, letters of credit, and cash management services for middle-market and large commercial customers. The company's Commercial Real Estate segment originates, sells, and services commercial real estate loans; and offers deposit, and credit services. Its Discretionary Portfolio segment provides deposits, securities, residential real estate loans, and other assets; and short and long term borrowed funds, as well as foreign exchange services. The company's Residential Mortgage Banking segment offers residential real estate loans for consumers and sells those loans in the secondary market; and purchases servicing rights to loans, and sub-services residential real estate loans for others. Its Retail Banking segment offers demand, savings, and time accounts; consumer installment loans, automobile and recreational finance loans, home equity loans and lines of credit, and credit cards; mutual funds and annuities; and other services. The company also provides trust and wealth management; fiduciary and custodial; insurance agency; institutional brokerage and securities; and investment management and advisory services; financial management, and planning, leasing, and financing services. It offers its services through banking offices, business banking centers, telephone and internet banking, and automated teller machines. M&amp;T Bank Corporation was founded in 1856 and is headquartered in Buffalo, New York.</t>
  </si>
  <si>
    <t>Metropolitan Bank Holding Corp. operates as the bank holding company for Metropolitan Commercial Bank that provides a range of business, commercial, and retail banking products and services to small businesses, middle-market enterprises, public entities, and individuals in the New York metropolitan area. The company offers checking, savings, term deposit, and money market accounts, as well as certificates of deposit. It also provides lending products, including commercial real estate, construction, multi-family, and one-to four-family real estate loans; commercial and industrial loans; consumer loans; acquisition and renovation loans; loans to refinance or return borrower equity; loans on owner-occupied properties; working capital lines of credit; trade finance and letters of credit; and term loans. In addition, the company offers cash management services, as well as online and mobile banking, ACH, remote deposit capture, and debit card services. It operates banking centers in Manhattan, Brooklyn, Great Neck, and Long Island. Metropolitan Bank Holding Corp. was founded in 1999 and is headquartered in New York, New York.</t>
  </si>
  <si>
    <t>National Bank Holdings Corporation operates as the bank holding company for NBH Bank that provides various banking products and financial services to commercial, business, and consumer clients in the United States. It offers deposit products, including checking, savings, money market, and other deposit accounts, including fixed-rate and fixed maturity time deposits. The company also provides commercial and industrial loans and leases, such as working capital loans, equipment loans, lender finance loans, food and agriculture loans, government and non-profit loans, owner occupied commercial real estate loans, and other commercial loans and leases; non-owner occupied commercial real estate loans consisting of loans on commercial properties, such as office buildings, warehouse/distribution buildings, multi-family, hospitality, and retail buildings; small business administration loans to support manufacturers, distributors, and service providers; term loans, line of credits, and real estate secured loans; residential real estate loans; and consumer loans. In addition, it offers treasury management solutions comprising online and mobile banking, commercial credit card, wire transfer, automated clearing house, electronic bill payment, lock box, remote deposit capture, merchant processing, cash vault, controlled disbursements, and fraud prevention services, as well as other auxiliary services, including account reconciliation, collections, repurchase accounts, zero balance accounts, and sweep accounts. The company operates through a network of banking centers located in Colorado, the greater Kansas City region, New Mexico, Utah, and Texas. It also operates ATMs. The company was formerly known as NBH Holdings Corp. and changed its name to National Bank Holdings Corporation in March 2012. The company was incorporated in 2009 and is headquartered in Greenwood Village, Colorado.</t>
  </si>
  <si>
    <t>Nicolet Bankshares, Inc. operates as the bank holding company for Nicolet National Bank that provides banking products and services for businesses and individuals in Wisconsin and Michigan. The company accepts checking, savings, and money market accounts; various certificates of deposit; and individual retirement accounts. It also offers commercial loans, including commercial, industrial, and business loans and lines of credit; commercial real estate loans; agricultural (AG) production and AG real estate loans; commercial real estate investment real estate loans; construction and land development loans; residential real estate loans, such as residential first lien and junior lien mortgages, home equity loans, lines of credit, and residential construction loans; and consumer loans. In addition, the company provides cash management, international banking, personal brokerage, safe deposit boxes, and trust and fiduciary services, as well as wealth management and retirement plan services. Further, it offers mortgage refinancing; online services, such as commercial, retail, and trust online banking; automated bill payment, mobile banking deposits and account access, and remote deposit capture services; and other services consisting of wire transfers, debit cards, credit cards, pre-paid gift cards, direct deposits, and official bank checks, as well as facilitates crop insurance products. The company was formerly known as Green Bay Financial Corporation and changed its name to Nicolet Bankshares, Inc. in March 2002. Nicolet Bankshares, Inc. was incorporated in 2000 and is headquartered in Green Bay, Wisconsin.</t>
  </si>
  <si>
    <t>Park National Corporation operates as the bank holding company for Park National Bank that provides commercial banking and trust services in small and medium population areas. The company offers deposits for demand, savings, and time accounts; trust and wealth management services; cash management services; safe deposit operations; electronic funds transfers; Internet and mobile banking solutions with bill pay service; credit cards; and various additional banking-related services for individual customers. It also provides commercial loans, including financing for industrial and commercial properties, financing for equipment, inventory and accounts receivable, acquisition financing, and commercial leasing, as well as for consumer finance companies; commercial real estate loans comprising mortgage loans to developers and owners of commercial real estate; originates financing leases primarily for the purchase of commercial vehicles, operating/manufacturing equipment, and municipal vehicles/equipment; consumer loans, such as automobile loans; consumer finance services; home equity lines of credit; and residential real estate and construction loans, as well as installment loans and commercial loans. In addition, the company offers aircraft financing and asset management services; and ParkDirect, a personal banking application. Park National Corporation was founded in 1908 and is headquartered in Newark, Ohio.</t>
  </si>
  <si>
    <t>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certificates of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ATMs, call centers, and online and mobile banking channels.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fiduciary retirement advisory services for institutional clients. The company was founded in 1852 and is headquartered in Pittsburgh, Pennsylvania.</t>
  </si>
  <si>
    <t>Prosperity Bancshares, Inc. operates as bank holding company for the Prosperity Bank that provides financial products and services to businesses and consumers. It accepts various deposit products, such as demand, savings, money market, and time accounts, as well as and certificates of deposit. The company also offers 1-4 family residential mortgage, commercial real estate and multifamily residential, commercial and industrial, agricultural, and non-real estate agricultural loans, as well as construction, land development, and other land loans; consumer loans, including automobile, recreational vehicle, boat, home improvement, personal, and deposit account collateralized loans; and consumer durables and home equity loans, as well as loans for working capital, business expansion, and purchase of equipment and machinery. In addition, it provides internet banking, mobile banking, trust and wealth management, retail brokerage, mortgage services, and treasury management, as well as debit and credit cards. The company was founded in 1983 and is based in Houston, Texas.</t>
  </si>
  <si>
    <t>Provident Financial Services, Inc. operates as the bank holding company for Provident Bank that provides various banking products and services to individuals, families, and businesses in the United States. Its deposit products include savings, checking, interest-bearing checking, money market deposit, and certificate of deposit accounts, as well as IRA products. The company's loan portfolio comprises commercial real estate loans that are secured by properties, such as multi-family apartment buildings, office buildings, and retail and industrial properties; commercial business loans; fixed-rate and adjustable-rate mortgage loans collateralized by one- to four-family residential real estate properties; commercial construction loans; and consumer loans consisting of home equity loans, home equity lines of credit, marine loans, personal loans and unsecured lines of credit, and auto and recreational vehicle loans. It also offers cash management, remote deposit capture, payroll origination, escrow account management, and online and mobile banking services; and business credit cards. In addition, the company provides wealth management services comprising investment management, trust and estate administration, financial planning, tax compliance and planning, and private banking. Further, it sells insurance and investment products, including annuities; operates as a real estate investment trust for acquiring mortgage loans and other real estate related assets; and manages and sells real estate properties acquired through foreclosure. The company was founded in 1839 and is headquartered in Jersey City, New Jersey.</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</si>
  <si>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t>
  </si>
  <si>
    <t>ServisFirst Bancshares, Inc. operates as the bank holding company for ServisFirst Bank that provides various banking services to individual and corporate customers. It accepts demand, time, savings, and other deposits; checking, money market, and IRA accounts; and certificates of deposit. The company's loan products include commercial lending products, including seasonal, bridge, and term loans for working capital, expansion of the business, acquisition of property, and plant and equipment, as well as commercial lines of credit; commercial real estate loans, construction and development loans, and residential real estate loans; and consumer loans, such as home equity loans, vehicle financing, loans secured by deposits, and secured and unsecured personal loans. It also offers other banking products and services comprising telephone and mobile banking, Internet banking, direct deposit, traveler's checks, safe deposit boxes, attorney trust accounts, automatic account transfers, automated teller machines, and debit and credit card systems; treasury and cash management services; wire transfer, night depository, banking-by-mail, and remote capture services; and correspondent banking services to other financial institutions. In addition, the company holds and manages participations in residential mortgages and commercial real estate loans originated by ServisFirst Bank in Alabama, Florida, Georgia, and Tennessee. ServisFirst Bancshares, Inc. was founded in 2005 and is headquartered in Birmingham, Alabama.</t>
  </si>
  <si>
    <t>Synovus Financial Corp. operates as the bank holding company for Synovus Bank that provides commercial and consumer banking products and services. It operates through four segments: Community Banking, Wholesale Banking, Consumer Banking, and Financial Management Services. The company's commercial banking services include treasury and asset management, capital market, and institutional trust services, as well as commercial, financial, and real estate loans. Its consumer banking services comprise accepting customary types of demand and savings deposits accounts; mortgage, installment, and other consumer loans; investment and brokerage services; safe deposit services; automated banking services; automated fund transfers; internet-based banking services; and bank credit and debit card services. The company also offers various other financial services, including portfolio management for fixed-income securities, investment banking, execution of securities transactions as a broker/dealer, and trust and financial planning services, as well as provides individual investment advice on equity and other securities. The company was founded in 1888 and is headquartered in Columbus, Georgia.</t>
  </si>
  <si>
    <t>Tompkins Financial Corporation, a financial holding company, provides commercial and consumer banking, leasing, trust and investment management, financial planning and wealth management, and insurance services. The company operates in three segments: Banking, Insurance, and Wealth Management. It accepts various deposit products, including checking and savings accounts, time deposits, and IRA products, as well as brokered, reciprocal, and municipal money market deposits. The company also offers loans for various business purposes, including real estate financing, construction, equipment financing, accounts receivable financing, and commercial leasing; residential mortgage loans; personal loans; residential real estate loans; home equity loans; commercial and industrial loans; commercial real estate loans; agriculture loans; and consumer loans, such as personal installment loans, direct and indirect automobile financing, and overdraft lines of credit. In addition, it provides letters of credit and sweep accounts; credit and debit cards; deposit and cash management, internet-based account, remote deposit, safe deposit, voice response, ATM, and mobile and internet banking services; financial and tax planning services; property and casualty, medical, life, disability, and long-term care insurance services; employee benefit consulting services; and insurance planning services. The company primarily serves individuals, corporate executives, small business owners, and high net worth individuals. It operates through a network of banking offices in New York and Pennsylvania. The company was founded in 1836 and is headquartered in Ithaca, New York.</t>
  </si>
  <si>
    <t>Truist Financial Corporation, a holding company, provides banking and trust services in the Southeastern and Mid-Atlantic United States. The company operates through three segments: Consumer Banking and Wealth, Corporate and Commercial Banking, and Insurance Holdings. 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insurance, such as property and casualty, life, employee benefits, workers compensation and professional liability, surety coverage, title, and other insurance products; investment brokerage; mobile/online banking; and payment, lease financing, small business lending, and wealth management/private banking services. In addition, it offers association, capital market, institutional trust, insurance premium finance, derivatives, commercial lending, international banking, leasing, merchant, commercial deposit and treasury, small business and student lending, floor plan, commercial mortgage lending, mortgage warehouse lending, private equity investment, real estate lending, and supply chain financing services. Further, the company provides corporate and investment banking, retail and wholesale brokerage, securities underwriting and market making, loan syndication, and investment advisory services. The company was formerly known as BB&amp;T Corporation and changed its name to Truist Financial Corporation in December 2019. Truist Financial Corporation was founded in 1872 and is headquartered in Charlotte, North Carolina.</t>
  </si>
  <si>
    <t>U.S. Bancorp, a financial services holding company, provides various financial services to individuals, businesses, institutional organizations, governmental entities and other financial institutions in the United States. It operates in Corporate and Commercial Banking, Consumer and Business Banking, Wealth Management and Investment Services, Payment Services, and Treasury and Corporate Support segments. The company offers depository services, including checking accounts, savings accounts, and time certificate contracts; lending services, such as traditional credit products; and credit card services, lease financing and import/export trade, asset-backed lending, agricultural finance, and other products. In addition, it provides ancillary services comprising capital markets, treasury management, and receivable lock-box collection services to corporate and governmental entity customers. Further, the company offers asset management and fiduciary services for individuals, estates, foundations, business corporations, and charitable organizations. Additionally, it provides investment and insurance products to its customers principally within its markets, as well as fund administration services to mutual and other funds. Furthermore, the company provides corporate and purchasing card, and corporate trust services. The company offers merchant processing, investment management, ATM processing, mortgage banking, insurance, and brokerage and leasing services. U.S. Bancorp was founded in 1863 and is headquartered in Minneapolis, Minnesota.</t>
  </si>
  <si>
    <t>Webster Financial Corporation operates as the bank holding company for Webster Bank, National Association that provides a range of financial services to individuals, families, and businesses in the United States. It operates through three segments: Commercial Banking, HSA Bank, and Consumer Banking. The Commercial Banking segment provides commercial real estate and equipment financing, business banking, asset-based lending, and commercial services; public sector finance; mortgage warehouse financing; treasury management services; credit, deposit, and cash flow management services; and wealth management solutions to business owners and operators, including trust, asset management, financial planning, insurance, retirement, and investment products, as well as derivative, treasury, accounts payable, accounts receivable, and trade products and services. The HSA Bank segment offers health savings accounts, health reimbursement arrangements, flexible spending accounts, and commuter services that are distributed directly to employers and individual consumers, as well as through national and regional insurance carriers, consultants, and financial advisors. The Consumer Banking segment provides consumer deposit and fee-based services, residential mortgages, home equity lines, secured and unsecured loans, and credit cards to consumers; and small business banking products, such as credit, deposit, and cash flow management to businesses and professional service firms. It also offers online and mobile banking services. Webster Financial Corporation was founded in 1935 and is headquartered in Stamford, Connecticut.</t>
  </si>
  <si>
    <t>Wells Fargo &amp; Company, a diversified financial services company, provides banking, investment, mortgage, and consumer and commercial finance products and services in the United States and internationally. It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to corporate, commercial real estate, government, and institutional clients. Its products and services comprise corporate banking, investment banking, treasury management, commercial real estate lending and servicing, equity, and fixed income solutions, as well as sales, trading, and research capabilities services.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Its serves to independent offices and consumer banks. The company was founded in 1852 and is headquartered in San Francisco, California.</t>
  </si>
  <si>
    <t>Western Alliance Bancorporation operates as the bank holding company for Western Alliance Bank that provides various banking products and related services primarily in Arizona, California, and Nevada. It operates through Commercial and Consumer Related segments. The company offers deposit products, including checking, savings, and money market accounts, as well as fixed-rate and fixed maturity certificates of deposit accounts; demand deposits; and treasury management and residential mortgage products and services. It also offers commercial and industrial loan products, such as working capital lines of credit, loans to technology companies, inventory and accounts receivable lines, mortgage warehouse lines, equipment loans and leases, and other commercial loans; commercial real estate loans, which are secured by multi-family residential properties, professional offices, industrial facilities, retail centers, hotels, and other commercial properties; construction and land development loans for single family and multi-family residential projects, industrial/warehouse properties, office buildings, retail centers, medical office facilities, and residential lot developments; and consumer loans. In addition, the company provides other financial services, such as internet banking, wire transfers, electronic bill payment and presentment, funds transfer and other digital payment offerings, lock box services, courier, and cash management services. Further, it holds certain investment securities, municipal and non-profit loans, and leases; invests primarily in low-income housing tax credits and small business investment corporations; and holds certain real estate loans and related securities. Western Alliance Bancorporation was founded in 1994 and is headquartered in Phoenix, Arizona.</t>
  </si>
  <si>
    <t>New York Community Bancorp, Inc. operates as the bank holding company for Flagstar Bank, N.A. that provides banking products and services in the United States. The company's deposit products include interest-bearing checking and money market, savings, non-interest-bearing, and retirement accounts, as well as certificates of deposit. Its loan products comprise multi-family loans; commercial real estate loans; acquisition, development, and construction loans; commercial and industrial loans; one-to-four family loans; specialty finance loans and leases; warehouse loans; and other loans, such as home equity lines of credit, boat and recreational vehicle indirect lending, point of sale consumer loans, and other consumer loans, including overdraft loans. The company also offers cash management products; non-deposit investment and insurance products; and online banking, mobile banking, and bank-by-phone services. It primarily serves individuals, small and mid-size businesses, and professional associations. The company was formerly known as Queens County Bancorp, Inc. and changed its name to New York Community Bancorp, Inc. in November 2000. New York Community Bancorp, Inc. was founded in 1859 and is headquartered in Hicksville, New York.</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</si>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</sst>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43" formatCode="_(* #,##0.00_);_(* \(#,##0.00\);_(* &quot;-&quot;??_);_(@_)"/>
    <numFmt numFmtId="164" formatCode="#,##0.0"/>
    <numFmt numFmtId="165" formatCode="0.0"/>
    <numFmt numFmtId="166" formatCode="#,##0.000"/>
  </numFmts>
  <fonts count="33">
    <font>
      <sz val="10"/>
      <name val="Times New Roman"/>
    </font>
    <font>
      <sz val="12"/>
      <color theme="1"/>
      <name val="Calibri"/>
      <family val="2"/>
      <scheme val="minor"/>
    </font>
    <font>
      <sz val="10"/>
      <name val="Times New Roman"/>
      <family val="1"/>
    </font>
    <font>
      <sz val="8"/>
      <name val="Times New Roman"/>
      <family val="1"/>
    </font>
    <font>
      <sz val="12"/>
      <name val="Times New Roman"/>
      <family val="1"/>
    </font>
    <font>
      <b/>
      <sz val="12"/>
      <name val="Arial"/>
      <family val="2"/>
    </font>
    <font>
      <sz val="12"/>
      <name val="Arial"/>
      <family val="2"/>
    </font>
    <font>
      <b/>
      <i/>
      <sz val="12"/>
      <name val="Arial"/>
      <family val="2"/>
    </font>
    <font>
      <i/>
      <sz val="12"/>
      <name val="Arial"/>
      <family val="2"/>
    </font>
    <font>
      <sz val="10"/>
      <name val="Arial"/>
      <family val="2"/>
    </font>
    <font>
      <sz val="8"/>
      <color indexed="81"/>
      <name val="Tahoma"/>
      <family val="2"/>
    </font>
    <font>
      <b/>
      <sz val="8"/>
      <color indexed="81"/>
      <name val="Tahoma"/>
      <family val="2"/>
    </font>
    <font>
      <i/>
      <sz val="10"/>
      <name val="Times New Roman"/>
      <family val="1"/>
    </font>
    <font>
      <b/>
      <sz val="8"/>
      <color rgb="FF000000"/>
      <name val="Tahoma"/>
      <family val="2"/>
    </font>
    <font>
      <sz val="8"/>
      <color rgb="FF000000"/>
      <name val="Tahoma"/>
      <family val="2"/>
    </font>
    <font>
      <sz val="10"/>
      <name val="Calibri"/>
      <family val="2"/>
    </font>
    <font>
      <sz val="16"/>
      <name val="Calibri"/>
      <family val="2"/>
    </font>
    <font>
      <b/>
      <sz val="10"/>
      <name val="Calibri"/>
      <family val="2"/>
    </font>
    <font>
      <u/>
      <sz val="10"/>
      <color theme="10"/>
      <name val="Times New Roman"/>
      <family val="1"/>
    </font>
    <font>
      <sz val="16"/>
      <color rgb="FF404040"/>
      <name val="Inherit"/>
    </font>
    <font>
      <b/>
      <sz val="10"/>
      <color theme="8" tint="0.79998168889431442"/>
      <name val="Calibri"/>
      <family val="2"/>
    </font>
    <font>
      <sz val="10"/>
      <color theme="8" tint="0.79998168889431442"/>
      <name val="Calibri"/>
      <family val="2"/>
    </font>
    <font>
      <b/>
      <sz val="9"/>
      <color theme="0"/>
      <name val="Arial"/>
      <family val="2"/>
    </font>
    <font>
      <b/>
      <sz val="9"/>
      <color theme="1"/>
      <name val="Arial"/>
      <family val="2"/>
    </font>
    <font>
      <sz val="12"/>
      <color theme="1"/>
      <name val="Manrope"/>
    </font>
    <font>
      <u/>
      <sz val="12"/>
      <color theme="10"/>
      <name val="Calibri"/>
      <family val="2"/>
      <scheme val="minor"/>
    </font>
    <font>
      <sz val="12"/>
      <name val="Manrope"/>
    </font>
    <font>
      <i/>
      <sz val="12"/>
      <name val="Manrope"/>
    </font>
    <font>
      <b/>
      <sz val="10"/>
      <color theme="1"/>
      <name val="Manrope"/>
    </font>
    <font>
      <b/>
      <sz val="12"/>
      <color theme="1"/>
      <name val="Manrope"/>
    </font>
    <font>
      <b/>
      <i/>
      <sz val="12"/>
      <name val="Manrope"/>
    </font>
    <font>
      <b/>
      <sz val="12"/>
      <name val="Manrope"/>
    </font>
    <font>
      <sz val="12"/>
      <color rgb="FF000000"/>
      <name val="Calibri"/>
      <family val="2"/>
    </font>
  </fonts>
  <fills count="18">
    <fill>
      <patternFill patternType="none"/>
    </fill>
    <fill>
      <patternFill patternType="gray125"/>
    </fill>
    <fill>
      <patternFill patternType="solid">
        <fgColor indexed="11"/>
        <bgColor indexed="64"/>
      </patternFill>
    </fill>
    <fill>
      <patternFill patternType="solid">
        <fgColor indexed="34"/>
        <bgColor indexed="64"/>
      </patternFill>
    </fill>
    <fill>
      <patternFill patternType="solid">
        <fgColor indexed="15"/>
        <bgColor indexed="64"/>
      </patternFill>
    </fill>
    <fill>
      <patternFill patternType="darkUp">
        <fgColor indexed="26"/>
        <bgColor indexed="34"/>
      </patternFill>
    </fill>
    <fill>
      <patternFill patternType="solid">
        <fgColor indexed="13"/>
        <bgColor indexed="64"/>
      </patternFill>
    </fill>
    <fill>
      <patternFill patternType="lightUp">
        <fgColor indexed="11"/>
      </patternFill>
    </fill>
    <fill>
      <patternFill patternType="lightUp">
        <fgColor indexed="15"/>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1" tint="0.149998474074526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5">
    <xf numFmtId="0" fontId="0" fillId="0" borderId="0"/>
    <xf numFmtId="9" fontId="2" fillId="0" borderId="0" applyFont="0" applyFill="0" applyBorder="0" applyAlignment="0" applyProtection="0"/>
    <xf numFmtId="0" fontId="18" fillId="0" borderId="0" applyNumberFormat="0" applyFill="0" applyBorder="0" applyAlignment="0" applyProtection="0"/>
    <xf numFmtId="0" fontId="1" fillId="0" borderId="0"/>
    <xf numFmtId="0" fontId="25" fillId="0" borderId="0" applyNumberFormat="0" applyFill="0" applyBorder="0" applyAlignment="0" applyProtection="0"/>
  </cellStyleXfs>
  <cellXfs count="154">
    <xf numFmtId="0" fontId="0" fillId="0" borderId="0" xfId="0"/>
    <xf numFmtId="0" fontId="4" fillId="0" borderId="0" xfId="0" applyFont="1"/>
    <xf numFmtId="0" fontId="5" fillId="0" borderId="0" xfId="0" applyFont="1"/>
    <xf numFmtId="0" fontId="6" fillId="0" borderId="0" xfId="0" applyFont="1"/>
    <xf numFmtId="0" fontId="6" fillId="0" borderId="0" xfId="0" applyFont="1" applyAlignment="1">
      <alignment vertical="top"/>
    </xf>
    <xf numFmtId="0" fontId="6" fillId="0" borderId="0" xfId="0" applyFont="1" applyAlignment="1">
      <alignment wrapText="1"/>
    </xf>
    <xf numFmtId="0" fontId="5" fillId="0" borderId="1" xfId="0" applyFont="1" applyBorder="1"/>
    <xf numFmtId="0" fontId="5" fillId="2" borderId="1" xfId="0" applyFont="1" applyFill="1" applyBorder="1"/>
    <xf numFmtId="0" fontId="6" fillId="0" borderId="0" xfId="0" applyFont="1" applyProtection="1">
      <protection locked="0"/>
    </xf>
    <xf numFmtId="0" fontId="6" fillId="0" borderId="0" xfId="0" applyFont="1" applyAlignment="1" applyProtection="1">
      <alignment horizontal="left"/>
      <protection locked="0"/>
    </xf>
    <xf numFmtId="3" fontId="6" fillId="0" borderId="0" xfId="0" applyNumberFormat="1" applyFont="1" applyProtection="1">
      <protection locked="0"/>
    </xf>
    <xf numFmtId="0" fontId="6" fillId="0" borderId="2" xfId="0" applyFont="1" applyBorder="1" applyProtection="1">
      <protection locked="0"/>
    </xf>
    <xf numFmtId="3" fontId="6" fillId="0" borderId="2" xfId="0" applyNumberFormat="1" applyFont="1" applyBorder="1" applyProtection="1">
      <protection locked="0"/>
    </xf>
    <xf numFmtId="165" fontId="6" fillId="0" borderId="2" xfId="0" applyNumberFormat="1" applyFont="1" applyBorder="1" applyProtection="1">
      <protection locked="0"/>
    </xf>
    <xf numFmtId="0" fontId="5" fillId="0" borderId="3" xfId="0" applyFont="1" applyBorder="1" applyAlignment="1" applyProtection="1">
      <alignment wrapText="1"/>
      <protection locked="0"/>
    </xf>
    <xf numFmtId="0" fontId="5" fillId="0" borderId="3" xfId="0" applyFont="1" applyBorder="1" applyAlignment="1" applyProtection="1">
      <alignment vertical="top" wrapText="1"/>
      <protection locked="0"/>
    </xf>
    <xf numFmtId="0" fontId="5" fillId="0" borderId="0" xfId="0" applyFont="1" applyAlignment="1" applyProtection="1">
      <alignment wrapText="1"/>
      <protection locked="0"/>
    </xf>
    <xf numFmtId="3" fontId="5" fillId="0" borderId="0" xfId="0" applyNumberFormat="1" applyFont="1" applyAlignment="1" applyProtection="1">
      <alignment wrapText="1"/>
      <protection locked="0"/>
    </xf>
    <xf numFmtId="0" fontId="6" fillId="0" borderId="0" xfId="0" applyFont="1" applyAlignment="1" applyProtection="1">
      <alignment horizontal="left" vertical="center" wrapText="1"/>
      <protection locked="0"/>
    </xf>
    <xf numFmtId="3" fontId="6" fillId="0" borderId="0" xfId="0" applyNumberFormat="1" applyFont="1"/>
    <xf numFmtId="9" fontId="6" fillId="0" borderId="0" xfId="1" applyFont="1" applyBorder="1"/>
    <xf numFmtId="165" fontId="6" fillId="0" borderId="0" xfId="0" applyNumberFormat="1" applyFont="1"/>
    <xf numFmtId="0" fontId="6" fillId="0" borderId="0" xfId="0" applyFont="1" applyAlignment="1" applyProtection="1">
      <alignment vertical="top" wrapText="1"/>
      <protection locked="0"/>
    </xf>
    <xf numFmtId="0" fontId="6" fillId="0" borderId="0" xfId="0" applyFont="1" applyAlignment="1">
      <alignment vertical="top" wrapText="1"/>
    </xf>
    <xf numFmtId="0" fontId="6" fillId="0" borderId="2" xfId="0" applyFont="1" applyBorder="1"/>
    <xf numFmtId="0" fontId="5" fillId="0" borderId="0" xfId="0" applyFont="1" applyAlignment="1" applyProtection="1">
      <alignment vertical="top" wrapText="1"/>
      <protection locked="0"/>
    </xf>
    <xf numFmtId="0" fontId="6" fillId="3" borderId="1" xfId="0" applyFont="1" applyFill="1" applyBorder="1"/>
    <xf numFmtId="3" fontId="6" fillId="3" borderId="0" xfId="0" applyNumberFormat="1" applyFont="1" applyFill="1" applyProtection="1">
      <protection locked="0"/>
    </xf>
    <xf numFmtId="3" fontId="6" fillId="3" borderId="0" xfId="0" applyNumberFormat="1" applyFont="1" applyFill="1"/>
    <xf numFmtId="0" fontId="7" fillId="0" borderId="0" xfId="0" applyFont="1" applyAlignment="1">
      <alignment wrapText="1"/>
    </xf>
    <xf numFmtId="0" fontId="7" fillId="0" borderId="0" xfId="0" applyFont="1"/>
    <xf numFmtId="0" fontId="6" fillId="2" borderId="1" xfId="0" applyFont="1" applyFill="1" applyBorder="1"/>
    <xf numFmtId="1" fontId="6" fillId="0" borderId="0" xfId="0" applyNumberFormat="1" applyFont="1"/>
    <xf numFmtId="165" fontId="6" fillId="2" borderId="1" xfId="0" applyNumberFormat="1" applyFont="1" applyFill="1" applyBorder="1"/>
    <xf numFmtId="0" fontId="6" fillId="0" borderId="0" xfId="0" applyFont="1" applyAlignment="1" applyProtection="1">
      <alignment horizontal="left" vertical="center" wrapText="1" indent="1"/>
      <protection locked="0"/>
    </xf>
    <xf numFmtId="0" fontId="4" fillId="4" borderId="1" xfId="0" applyFont="1" applyFill="1" applyBorder="1"/>
    <xf numFmtId="0" fontId="6" fillId="0" borderId="0" xfId="0" applyFont="1" applyAlignment="1">
      <alignment horizontal="left" wrapText="1" indent="1"/>
    </xf>
    <xf numFmtId="0" fontId="6" fillId="0" borderId="0" xfId="0" applyFont="1" applyAlignment="1">
      <alignment horizontal="left" indent="1"/>
    </xf>
    <xf numFmtId="0" fontId="5" fillId="0" borderId="0" xfId="0" applyFont="1" applyAlignment="1">
      <alignment horizontal="left" wrapText="1" indent="1"/>
    </xf>
    <xf numFmtId="0" fontId="6" fillId="4" borderId="1" xfId="0" applyFont="1" applyFill="1" applyBorder="1"/>
    <xf numFmtId="0" fontId="7" fillId="0" borderId="0" xfId="0" applyFont="1" applyAlignment="1" applyProtection="1">
      <alignment wrapText="1"/>
      <protection locked="0"/>
    </xf>
    <xf numFmtId="0" fontId="7" fillId="0" borderId="0" xfId="0" applyFont="1" applyAlignment="1" applyProtection="1">
      <alignment horizontal="left"/>
      <protection locked="0"/>
    </xf>
    <xf numFmtId="9" fontId="6" fillId="0" borderId="0" xfId="1" applyFont="1" applyFill="1" applyBorder="1"/>
    <xf numFmtId="0" fontId="7" fillId="0" borderId="0" xfId="0" applyFont="1" applyProtection="1">
      <protection locked="0"/>
    </xf>
    <xf numFmtId="0" fontId="8" fillId="0" borderId="0" xfId="0" applyFont="1" applyProtection="1">
      <protection locked="0"/>
    </xf>
    <xf numFmtId="3" fontId="6" fillId="5" borderId="0" xfId="0" applyNumberFormat="1" applyFont="1" applyFill="1"/>
    <xf numFmtId="0" fontId="6" fillId="5" borderId="1" xfId="0" applyFont="1" applyFill="1" applyBorder="1"/>
    <xf numFmtId="164" fontId="6" fillId="0" borderId="0" xfId="0" applyNumberFormat="1" applyFont="1"/>
    <xf numFmtId="164" fontId="6" fillId="0" borderId="0" xfId="1" applyNumberFormat="1" applyFont="1" applyFill="1" applyBorder="1"/>
    <xf numFmtId="164" fontId="6" fillId="0" borderId="0" xfId="1" applyNumberFormat="1" applyFont="1" applyBorder="1"/>
    <xf numFmtId="2" fontId="6" fillId="0" borderId="0" xfId="0" applyNumberFormat="1" applyFont="1"/>
    <xf numFmtId="0" fontId="6" fillId="0" borderId="0" xfId="0" applyFont="1" applyAlignment="1" applyProtection="1">
      <alignment horizontal="left" wrapText="1" indent="1"/>
      <protection locked="0"/>
    </xf>
    <xf numFmtId="3" fontId="5" fillId="0" borderId="0" xfId="0" applyNumberFormat="1" applyFont="1" applyAlignment="1" applyProtection="1">
      <alignment vertical="top" wrapText="1"/>
      <protection locked="0"/>
    </xf>
    <xf numFmtId="3" fontId="6" fillId="0" borderId="0" xfId="0" applyNumberFormat="1" applyFont="1" applyAlignment="1">
      <alignment horizontal="right"/>
    </xf>
    <xf numFmtId="164" fontId="6" fillId="3" borderId="0" xfId="0" applyNumberFormat="1" applyFont="1" applyFill="1"/>
    <xf numFmtId="0" fontId="8" fillId="0" borderId="0" xfId="0" applyFont="1"/>
    <xf numFmtId="0" fontId="5" fillId="0" borderId="0" xfId="0" applyFont="1" applyAlignment="1">
      <alignment wrapText="1"/>
    </xf>
    <xf numFmtId="0" fontId="5" fillId="0" borderId="3" xfId="0" applyFont="1" applyBorder="1" applyAlignment="1" applyProtection="1">
      <alignment vertical="center" wrapText="1"/>
      <protection locked="0"/>
    </xf>
    <xf numFmtId="0" fontId="6" fillId="0" borderId="0" xfId="0" applyFont="1" applyAlignment="1">
      <alignment horizontal="right"/>
    </xf>
    <xf numFmtId="165" fontId="6" fillId="0" borderId="0" xfId="0" applyNumberFormat="1" applyFont="1" applyAlignment="1">
      <alignment horizontal="right"/>
    </xf>
    <xf numFmtId="165" fontId="6" fillId="0" borderId="0" xfId="0" applyNumberFormat="1" applyFont="1" applyAlignment="1" applyProtection="1">
      <alignment horizontal="left" vertical="center" wrapText="1" indent="1"/>
      <protection locked="0"/>
    </xf>
    <xf numFmtId="0" fontId="9" fillId="0" borderId="0" xfId="0" applyFont="1" applyProtection="1">
      <protection locked="0"/>
    </xf>
    <xf numFmtId="0" fontId="8" fillId="0" borderId="0" xfId="0" applyFont="1" applyAlignment="1" applyProtection="1">
      <alignment wrapText="1"/>
      <protection locked="0"/>
    </xf>
    <xf numFmtId="0" fontId="6" fillId="0" borderId="0" xfId="0" applyFont="1" applyAlignment="1" applyProtection="1">
      <alignment horizontal="left" wrapText="1" indent="2"/>
      <protection locked="0"/>
    </xf>
    <xf numFmtId="3" fontId="6" fillId="0" borderId="0" xfId="0" applyNumberFormat="1" applyFont="1" applyAlignment="1" applyProtection="1">
      <alignment horizontal="left" vertical="center" wrapText="1" indent="1"/>
      <protection locked="0"/>
    </xf>
    <xf numFmtId="0" fontId="6" fillId="0" borderId="0" xfId="0" applyFont="1" applyAlignment="1" applyProtection="1">
      <alignment horizontal="left" vertical="center" wrapText="1" indent="2"/>
      <protection locked="0"/>
    </xf>
    <xf numFmtId="0" fontId="8" fillId="0" borderId="0" xfId="0" applyFont="1" applyAlignment="1" applyProtection="1">
      <alignment horizontal="left" vertical="center" wrapText="1"/>
      <protection locked="0"/>
    </xf>
    <xf numFmtId="3" fontId="6" fillId="3" borderId="0" xfId="0" applyNumberFormat="1" applyFont="1" applyFill="1" applyAlignment="1">
      <alignment horizontal="right"/>
    </xf>
    <xf numFmtId="0" fontId="0" fillId="0" borderId="0" xfId="0" applyAlignment="1">
      <alignment wrapText="1"/>
    </xf>
    <xf numFmtId="3" fontId="6" fillId="0" borderId="0" xfId="0" applyNumberFormat="1" applyFont="1" applyAlignment="1" applyProtection="1">
      <alignment horizontal="left" vertical="center" wrapText="1"/>
      <protection locked="0"/>
    </xf>
    <xf numFmtId="0" fontId="6" fillId="0" borderId="0" xfId="0" applyFont="1" applyAlignment="1" applyProtection="1">
      <alignment wrapText="1"/>
      <protection locked="0"/>
    </xf>
    <xf numFmtId="3" fontId="6" fillId="6" borderId="0" xfId="0" applyNumberFormat="1" applyFont="1" applyFill="1"/>
    <xf numFmtId="0" fontId="5" fillId="0" borderId="0" xfId="0" applyFont="1" applyAlignment="1">
      <alignment horizontal="left" indent="1"/>
    </xf>
    <xf numFmtId="0" fontId="5" fillId="0" borderId="0" xfId="0" applyFont="1" applyAlignment="1">
      <alignment horizontal="left" wrapText="1" indent="2"/>
    </xf>
    <xf numFmtId="0" fontId="5" fillId="0" borderId="0" xfId="0" applyFont="1" applyAlignment="1">
      <alignment horizontal="left" indent="2"/>
    </xf>
    <xf numFmtId="1" fontId="6" fillId="0" borderId="0" xfId="0" applyNumberFormat="1" applyFont="1" applyAlignment="1">
      <alignment horizontal="right"/>
    </xf>
    <xf numFmtId="0" fontId="5" fillId="0" borderId="0" xfId="0" applyFont="1" applyAlignment="1">
      <alignment horizontal="left"/>
    </xf>
    <xf numFmtId="166" fontId="6" fillId="0" borderId="0" xfId="0" applyNumberFormat="1" applyFont="1"/>
    <xf numFmtId="0" fontId="6" fillId="0" borderId="0" xfId="0" applyFont="1" applyAlignment="1" applyProtection="1">
      <alignment horizontal="left" vertical="center" wrapText="1" indent="3"/>
      <protection locked="0"/>
    </xf>
    <xf numFmtId="2" fontId="8" fillId="0" borderId="0" xfId="0" applyNumberFormat="1" applyFont="1" applyProtection="1">
      <protection locked="0"/>
    </xf>
    <xf numFmtId="2" fontId="6" fillId="0" borderId="0" xfId="0" applyNumberFormat="1" applyFont="1" applyAlignment="1" applyProtection="1">
      <alignment vertical="top" wrapText="1"/>
      <protection locked="0"/>
    </xf>
    <xf numFmtId="0" fontId="6" fillId="7" borderId="1" xfId="0" applyFont="1" applyFill="1" applyBorder="1"/>
    <xf numFmtId="0" fontId="6" fillId="8" borderId="1" xfId="0" applyFont="1" applyFill="1" applyBorder="1"/>
    <xf numFmtId="0" fontId="6" fillId="0" borderId="0" xfId="0" applyFont="1" applyAlignment="1">
      <alignment horizontal="left"/>
    </xf>
    <xf numFmtId="0" fontId="6" fillId="0" borderId="3" xfId="0" applyFont="1" applyBorder="1"/>
    <xf numFmtId="0" fontId="6" fillId="0" borderId="4" xfId="0" applyFont="1" applyBorder="1"/>
    <xf numFmtId="0" fontId="6" fillId="0" borderId="2" xfId="0" applyFont="1" applyBorder="1" applyAlignment="1" applyProtection="1">
      <alignment vertical="top" wrapText="1"/>
      <protection locked="0"/>
    </xf>
    <xf numFmtId="2" fontId="6" fillId="0" borderId="2" xfId="0" applyNumberFormat="1" applyFont="1" applyBorder="1" applyAlignment="1" applyProtection="1">
      <alignment vertical="top" wrapText="1"/>
      <protection locked="0"/>
    </xf>
    <xf numFmtId="0" fontId="6" fillId="0" borderId="2" xfId="0" applyFont="1" applyBorder="1" applyAlignment="1">
      <alignment vertical="top" wrapText="1"/>
    </xf>
    <xf numFmtId="3" fontId="6" fillId="0" borderId="2" xfId="0" applyNumberFormat="1" applyFont="1" applyBorder="1"/>
    <xf numFmtId="14" fontId="6" fillId="2" borderId="1" xfId="0" applyNumberFormat="1" applyFont="1" applyFill="1" applyBorder="1"/>
    <xf numFmtId="0" fontId="8" fillId="0" borderId="0" xfId="0" applyFont="1" applyAlignment="1">
      <alignment wrapText="1"/>
    </xf>
    <xf numFmtId="0" fontId="6" fillId="0" borderId="0" xfId="0" applyFont="1" applyAlignment="1">
      <alignment horizontal="left" indent="2"/>
    </xf>
    <xf numFmtId="3" fontId="6" fillId="7" borderId="1" xfId="0" applyNumberFormat="1" applyFont="1" applyFill="1" applyBorder="1"/>
    <xf numFmtId="1" fontId="6" fillId="7" borderId="1" xfId="0" applyNumberFormat="1" applyFont="1" applyFill="1" applyBorder="1"/>
    <xf numFmtId="0" fontId="6" fillId="0" borderId="0" xfId="0" applyFont="1" applyAlignment="1" applyProtection="1">
      <alignment horizontal="left" vertical="center" wrapText="1" indent="5"/>
      <protection locked="0"/>
    </xf>
    <xf numFmtId="164" fontId="6" fillId="0" borderId="0" xfId="0" applyNumberFormat="1" applyFont="1" applyAlignment="1">
      <alignment horizontal="right"/>
    </xf>
    <xf numFmtId="0" fontId="6" fillId="7" borderId="1" xfId="0" applyFont="1" applyFill="1" applyBorder="1" applyAlignment="1">
      <alignment horizontal="center"/>
    </xf>
    <xf numFmtId="0" fontId="0" fillId="11" borderId="0" xfId="0" applyFill="1"/>
    <xf numFmtId="0" fontId="16" fillId="10" borderId="0" xfId="0" applyFont="1" applyFill="1" applyAlignment="1">
      <alignment horizontal="left" vertical="top"/>
    </xf>
    <xf numFmtId="0" fontId="15" fillId="10" borderId="0" xfId="0" applyFont="1" applyFill="1" applyAlignment="1">
      <alignment horizontal="left" vertical="top"/>
    </xf>
    <xf numFmtId="0" fontId="15" fillId="0" borderId="0" xfId="0" applyFont="1" applyAlignment="1">
      <alignment horizontal="left" vertical="top"/>
    </xf>
    <xf numFmtId="0" fontId="16" fillId="9" borderId="0" xfId="0" applyFont="1" applyFill="1" applyAlignment="1">
      <alignment horizontal="left" vertical="top"/>
    </xf>
    <xf numFmtId="2" fontId="15" fillId="9" borderId="0" xfId="0" applyNumberFormat="1" applyFont="1" applyFill="1" applyAlignment="1">
      <alignment horizontal="left" vertical="top"/>
    </xf>
    <xf numFmtId="0" fontId="15" fillId="9" borderId="0" xfId="0" applyFont="1" applyFill="1" applyAlignment="1">
      <alignment horizontal="left" vertical="top"/>
    </xf>
    <xf numFmtId="0" fontId="15" fillId="10" borderId="2" xfId="0" applyFont="1" applyFill="1" applyBorder="1" applyAlignment="1">
      <alignment horizontal="left" vertical="top"/>
    </xf>
    <xf numFmtId="0" fontId="15" fillId="9" borderId="2" xfId="0" applyFont="1" applyFill="1" applyBorder="1" applyAlignment="1">
      <alignment horizontal="left" vertical="top"/>
    </xf>
    <xf numFmtId="2" fontId="15" fillId="9" borderId="2" xfId="0" applyNumberFormat="1" applyFont="1" applyFill="1" applyBorder="1" applyAlignment="1">
      <alignment horizontal="left" vertical="top"/>
    </xf>
    <xf numFmtId="0" fontId="17" fillId="10" borderId="0" xfId="0" applyFont="1" applyFill="1" applyAlignment="1">
      <alignment horizontal="left" vertical="top"/>
    </xf>
    <xf numFmtId="0" fontId="17" fillId="9" borderId="0" xfId="0" applyFont="1" applyFill="1" applyAlignment="1">
      <alignment horizontal="left" vertical="top"/>
    </xf>
    <xf numFmtId="0" fontId="15" fillId="12" borderId="0" xfId="0" applyFont="1" applyFill="1" applyAlignment="1">
      <alignment horizontal="left" vertical="top"/>
    </xf>
    <xf numFmtId="2" fontId="15" fillId="12" borderId="0" xfId="0" applyNumberFormat="1" applyFont="1" applyFill="1" applyAlignment="1">
      <alignment horizontal="left" vertical="top"/>
    </xf>
    <xf numFmtId="0" fontId="15" fillId="13" borderId="0" xfId="0" applyFont="1" applyFill="1" applyAlignment="1">
      <alignment horizontal="left" vertical="top"/>
    </xf>
    <xf numFmtId="0" fontId="15" fillId="12" borderId="0" xfId="0" applyFont="1" applyFill="1" applyAlignment="1">
      <alignment horizontal="left" vertical="top" wrapText="1"/>
    </xf>
    <xf numFmtId="0" fontId="15" fillId="13" borderId="0" xfId="0" applyFont="1" applyFill="1" applyAlignment="1">
      <alignment horizontal="left" vertical="top" wrapText="1"/>
    </xf>
    <xf numFmtId="0" fontId="19" fillId="0" borderId="0" xfId="0" applyFont="1"/>
    <xf numFmtId="0" fontId="18" fillId="0" borderId="0" xfId="2"/>
    <xf numFmtId="0" fontId="20" fillId="10" borderId="0" xfId="0" applyFont="1" applyFill="1" applyAlignment="1">
      <alignment horizontal="left" vertical="top"/>
    </xf>
    <xf numFmtId="0" fontId="21" fillId="10" borderId="0" xfId="0" applyFont="1" applyFill="1" applyAlignment="1">
      <alignment horizontal="left" vertical="top"/>
    </xf>
    <xf numFmtId="0" fontId="2" fillId="0" borderId="0" xfId="0" applyFont="1"/>
    <xf numFmtId="2" fontId="15" fillId="12" borderId="0" xfId="0" applyNumberFormat="1" applyFont="1" applyFill="1" applyAlignment="1">
      <alignment horizontal="left" vertical="top" wrapText="1"/>
    </xf>
    <xf numFmtId="0" fontId="22" fillId="14" borderId="1" xfId="0" applyFont="1" applyFill="1" applyBorder="1" applyAlignment="1">
      <alignment horizontal="left" vertical="center" indent="1"/>
    </xf>
    <xf numFmtId="0" fontId="23" fillId="15" borderId="1" xfId="0" applyFont="1" applyFill="1" applyBorder="1" applyAlignment="1">
      <alignment horizontal="center" vertical="center"/>
    </xf>
    <xf numFmtId="0" fontId="23" fillId="16" borderId="1" xfId="0" applyFont="1" applyFill="1" applyBorder="1" applyAlignment="1">
      <alignment horizontal="center" vertical="center"/>
    </xf>
    <xf numFmtId="0" fontId="23" fillId="17" borderId="1" xfId="0" applyFont="1" applyFill="1" applyBorder="1" applyAlignment="1">
      <alignment horizontal="center" vertical="center"/>
    </xf>
    <xf numFmtId="0" fontId="2" fillId="0" borderId="0" xfId="0" applyFont="1" applyAlignment="1">
      <alignment wrapText="1"/>
    </xf>
    <xf numFmtId="2" fontId="15" fillId="0" borderId="0" xfId="0" applyNumberFormat="1" applyFont="1" applyAlignment="1">
      <alignment horizontal="left" vertical="top"/>
    </xf>
    <xf numFmtId="0" fontId="15" fillId="0" borderId="0" xfId="0" applyFont="1" applyAlignment="1">
      <alignment horizontal="left" vertical="top" wrapText="1"/>
    </xf>
    <xf numFmtId="0" fontId="6" fillId="0" borderId="0" xfId="0" applyFont="1" applyAlignment="1">
      <alignment wrapText="1"/>
    </xf>
    <xf numFmtId="0" fontId="6" fillId="0" borderId="0" xfId="0" applyFont="1"/>
    <xf numFmtId="0" fontId="7" fillId="0" borderId="0" xfId="0" applyFont="1"/>
    <xf numFmtId="0" fontId="12" fillId="0" borderId="0" xfId="0" applyFont="1"/>
    <xf numFmtId="0" fontId="0" fillId="0" borderId="0" xfId="0" applyAlignment="1">
      <alignment wrapText="1"/>
    </xf>
    <xf numFmtId="0" fontId="24" fillId="0" borderId="0" xfId="3" applyFont="1" applyAlignment="1">
      <alignment vertical="top"/>
    </xf>
    <xf numFmtId="0" fontId="25" fillId="0" borderId="0" xfId="4"/>
    <xf numFmtId="0" fontId="26" fillId="0" borderId="0" xfId="3" applyFont="1" applyAlignment="1" applyProtection="1">
      <alignment horizontal="left" vertical="top" wrapText="1"/>
      <protection locked="0"/>
    </xf>
    <xf numFmtId="3" fontId="26" fillId="0" borderId="0" xfId="3" applyNumberFormat="1" applyFont="1" applyAlignment="1" applyProtection="1">
      <alignment horizontal="left" vertical="top" wrapText="1"/>
      <protection locked="0"/>
    </xf>
    <xf numFmtId="0" fontId="27" fillId="0" borderId="0" xfId="3" applyFont="1" applyAlignment="1" applyProtection="1">
      <alignment horizontal="left" vertical="top" wrapText="1"/>
      <protection locked="0"/>
    </xf>
    <xf numFmtId="0" fontId="26" fillId="0" borderId="0" xfId="3" applyFont="1" applyAlignment="1" applyProtection="1">
      <alignment horizontal="left" vertical="top"/>
      <protection locked="0"/>
    </xf>
    <xf numFmtId="0" fontId="27" fillId="0" borderId="0" xfId="3" applyFont="1" applyAlignment="1" applyProtection="1">
      <alignment horizontal="left" vertical="top"/>
      <protection locked="0"/>
    </xf>
    <xf numFmtId="0" fontId="28" fillId="0" borderId="0" xfId="3" applyFont="1" applyAlignment="1">
      <alignment horizontal="left" vertical="top"/>
    </xf>
    <xf numFmtId="39" fontId="24" fillId="0" borderId="0" xfId="3" applyNumberFormat="1" applyFont="1" applyAlignment="1">
      <alignment horizontal="left" vertical="top"/>
    </xf>
    <xf numFmtId="0" fontId="24" fillId="0" borderId="0" xfId="3" applyFont="1" applyAlignment="1">
      <alignment horizontal="left" vertical="top"/>
    </xf>
    <xf numFmtId="0" fontId="29" fillId="0" borderId="0" xfId="3" applyFont="1" applyAlignment="1">
      <alignment horizontal="left" vertical="top"/>
    </xf>
    <xf numFmtId="42" fontId="24" fillId="0" borderId="0" xfId="3" applyNumberFormat="1" applyFont="1" applyAlignment="1">
      <alignment horizontal="left" vertical="top"/>
    </xf>
    <xf numFmtId="0" fontId="30" fillId="0" borderId="0" xfId="3" applyFont="1" applyAlignment="1" applyProtection="1">
      <alignment horizontal="left" vertical="top" wrapText="1"/>
      <protection locked="0"/>
    </xf>
    <xf numFmtId="0" fontId="31" fillId="0" borderId="0" xfId="3" applyFont="1" applyAlignment="1" applyProtection="1">
      <alignment horizontal="left" vertical="top" wrapText="1"/>
      <protection locked="0"/>
    </xf>
    <xf numFmtId="43" fontId="24" fillId="0" borderId="0" xfId="3" applyNumberFormat="1" applyFont="1" applyAlignment="1">
      <alignment horizontal="left" vertical="top"/>
    </xf>
    <xf numFmtId="0" fontId="26" fillId="0" borderId="0" xfId="3" applyFont="1" applyAlignment="1">
      <alignment horizontal="left" vertical="top"/>
    </xf>
    <xf numFmtId="44" fontId="24" fillId="0" borderId="0" xfId="3" applyNumberFormat="1" applyFont="1" applyAlignment="1">
      <alignment horizontal="left" vertical="top"/>
    </xf>
    <xf numFmtId="0" fontId="1" fillId="0" borderId="0" xfId="3"/>
    <xf numFmtId="4" fontId="1" fillId="0" borderId="0" xfId="3" applyNumberFormat="1"/>
    <xf numFmtId="42" fontId="1" fillId="0" borderId="0" xfId="3" applyNumberFormat="1"/>
    <xf numFmtId="0" fontId="32" fillId="0" borderId="0" xfId="0" applyFont="1"/>
  </cellXfs>
  <cellStyles count="5">
    <cellStyle name="Hyperlink" xfId="2" builtinId="8"/>
    <cellStyle name="Hyperlink 2" xfId="4" xr:uid="{A5DDBE9D-3B0F-984C-A686-EFCCCB7D1904}"/>
    <cellStyle name="Normal" xfId="0" builtinId="0"/>
    <cellStyle name="Normal 2" xfId="3" xr:uid="{795C9022-26F3-A548-9794-FACC712DD3DE}"/>
    <cellStyle name="Percent" xfId="1" builtinId="5"/>
  </cellStyles>
  <dxfs count="4">
    <dxf>
      <font>
        <condense val="0"/>
        <extend val="0"/>
        <color indexed="10"/>
      </font>
    </dxf>
    <dxf>
      <font>
        <b/>
        <i val="0"/>
        <condense val="0"/>
        <extend val="0"/>
        <color indexed="10"/>
      </font>
    </dxf>
    <dxf>
      <font>
        <b/>
        <i/>
        <condense val="0"/>
        <extend val="0"/>
      </font>
    </dxf>
    <dxf>
      <font>
        <b/>
        <i/>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27626800188736"/>
          <c:y val="7.317310433986593E-2"/>
          <c:w val="0.80762758743773866"/>
          <c:h val="0.68599785318624318"/>
        </c:manualLayout>
      </c:layout>
      <c:barChart>
        <c:barDir val="col"/>
        <c:grouping val="clustered"/>
        <c:varyColors val="0"/>
        <c:ser>
          <c:idx val="0"/>
          <c:order val="0"/>
          <c:spPr>
            <a:solidFill>
              <a:srgbClr val="000000"/>
            </a:solidFill>
            <a:ln w="12700">
              <a:solidFill>
                <a:srgbClr val="000000"/>
              </a:solidFill>
              <a:prstDash val="solid"/>
            </a:ln>
          </c:spPr>
          <c:invertIfNegative val="0"/>
          <c:cat>
            <c:strRef>
              <c:f>Scenarios!$B$8:$E$8</c:f>
              <c:strCache>
                <c:ptCount val="4"/>
                <c:pt idx="0">
                  <c:v>All</c:v>
                </c:pt>
                <c:pt idx="1">
                  <c:v>SBs</c:v>
                </c:pt>
                <c:pt idx="2">
                  <c:v>DBs</c:v>
                </c:pt>
                <c:pt idx="3">
                  <c:v>FBs</c:v>
                </c:pt>
              </c:strCache>
            </c:strRef>
          </c:cat>
          <c:val>
            <c:numRef>
              <c:f>Scenarios!$B$62:$E$62</c:f>
              <c:numCache>
                <c:formatCode>0.0</c:formatCode>
                <c:ptCount val="4"/>
                <c:pt idx="0">
                  <c:v>4.957200433318933</c:v>
                </c:pt>
                <c:pt idx="1">
                  <c:v>2.001647905582622</c:v>
                </c:pt>
                <c:pt idx="2">
                  <c:v>0.2063180268069198</c:v>
                </c:pt>
                <c:pt idx="3">
                  <c:v>2.7492345009293908</c:v>
                </c:pt>
              </c:numCache>
            </c:numRef>
          </c:val>
          <c:extLst>
            <c:ext xmlns:c16="http://schemas.microsoft.com/office/drawing/2014/chart" uri="{C3380CC4-5D6E-409C-BE32-E72D297353CC}">
              <c16:uniqueId val="{00000000-16F6-9A42-A2C5-8FA949004331}"/>
            </c:ext>
          </c:extLst>
        </c:ser>
        <c:dLbls>
          <c:showLegendKey val="0"/>
          <c:showVal val="0"/>
          <c:showCatName val="0"/>
          <c:showSerName val="0"/>
          <c:showPercent val="0"/>
          <c:showBubbleSize val="0"/>
        </c:dLbls>
        <c:gapWidth val="150"/>
        <c:axId val="1667398447"/>
        <c:axId val="1"/>
      </c:barChart>
      <c:catAx>
        <c:axId val="1667398447"/>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numFmt formatCode="0.0" sourceLinked="1"/>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667398447"/>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17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95064879162442"/>
          <c:y val="8.1913847928712855E-2"/>
          <c:w val="0.72614952423487222"/>
          <c:h val="0.80207309430198004"/>
        </c:manualLayout>
      </c:layout>
      <c:barChart>
        <c:barDir val="col"/>
        <c:grouping val="clustered"/>
        <c:varyColors val="0"/>
        <c:ser>
          <c:idx val="0"/>
          <c:order val="0"/>
          <c:tx>
            <c:v>Day 1</c:v>
          </c:tx>
          <c:spPr>
            <a:solidFill>
              <a:srgbClr val="FFFFFF"/>
            </a:solidFill>
            <a:ln w="12700">
              <a:solidFill>
                <a:srgbClr val="000000"/>
              </a:solidFill>
              <a:prstDash val="solid"/>
            </a:ln>
          </c:spPr>
          <c:invertIfNegative val="0"/>
          <c:cat>
            <c:strRef>
              <c:f>Data!$F$3:$Q$3</c:f>
              <c:strCache>
                <c:ptCount val="12"/>
                <c:pt idx="0">
                  <c:v>SB1</c:v>
                </c:pt>
                <c:pt idx="1">
                  <c:v>SB2</c:v>
                </c:pt>
                <c:pt idx="2">
                  <c:v>SB3</c:v>
                </c:pt>
                <c:pt idx="3">
                  <c:v>DB1</c:v>
                </c:pt>
                <c:pt idx="4">
                  <c:v>DB2</c:v>
                </c:pt>
                <c:pt idx="5">
                  <c:v>DB3</c:v>
                </c:pt>
                <c:pt idx="6">
                  <c:v>DB4</c:v>
                </c:pt>
                <c:pt idx="7">
                  <c:v>DB5</c:v>
                </c:pt>
                <c:pt idx="8">
                  <c:v>FB1</c:v>
                </c:pt>
                <c:pt idx="9">
                  <c:v>FB2</c:v>
                </c:pt>
                <c:pt idx="10">
                  <c:v>FB3</c:v>
                </c:pt>
                <c:pt idx="11">
                  <c:v>FB4</c:v>
                </c:pt>
              </c:strCache>
            </c:strRef>
          </c:cat>
          <c:val>
            <c:numRef>
              <c:f>Liquidity!$F$104:$Q$104</c:f>
              <c:numCache>
                <c:formatCode>#,##0</c:formatCode>
                <c:ptCount val="12"/>
                <c:pt idx="0">
                  <c:v>368.11575096251681</c:v>
                </c:pt>
                <c:pt idx="1">
                  <c:v>252.86410711388135</c:v>
                </c:pt>
                <c:pt idx="2">
                  <c:v>795.37890146623977</c:v>
                </c:pt>
                <c:pt idx="3">
                  <c:v>28.550063981033986</c:v>
                </c:pt>
                <c:pt idx="4">
                  <c:v>260.68727795886707</c:v>
                </c:pt>
                <c:pt idx="5">
                  <c:v>741.30530554100505</c:v>
                </c:pt>
                <c:pt idx="6">
                  <c:v>325.08732066765401</c:v>
                </c:pt>
                <c:pt idx="7">
                  <c:v>616.91142933346555</c:v>
                </c:pt>
                <c:pt idx="8">
                  <c:v>2463.5001785360419</c:v>
                </c:pt>
                <c:pt idx="9">
                  <c:v>588.02752800481721</c:v>
                </c:pt>
                <c:pt idx="10">
                  <c:v>1320.9716877836245</c:v>
                </c:pt>
                <c:pt idx="11">
                  <c:v>9067.6293583368861</c:v>
                </c:pt>
              </c:numCache>
            </c:numRef>
          </c:val>
          <c:extLst>
            <c:ext xmlns:c16="http://schemas.microsoft.com/office/drawing/2014/chart" uri="{C3380CC4-5D6E-409C-BE32-E72D297353CC}">
              <c16:uniqueId val="{00000000-AACD-9948-B0CD-98A10B3C7704}"/>
            </c:ext>
          </c:extLst>
        </c:ser>
        <c:ser>
          <c:idx val="1"/>
          <c:order val="1"/>
          <c:tx>
            <c:v>Day 2</c:v>
          </c:tx>
          <c:spPr>
            <a:solidFill>
              <a:srgbClr val="000000"/>
            </a:solidFill>
            <a:ln w="12700">
              <a:solidFill>
                <a:srgbClr val="000000"/>
              </a:solidFill>
              <a:prstDash val="solid"/>
            </a:ln>
          </c:spPr>
          <c:invertIfNegative val="0"/>
          <c:val>
            <c:numRef>
              <c:f>Liquidity!$F$115:$Q$115</c:f>
              <c:numCache>
                <c:formatCode>#,##0</c:formatCode>
                <c:ptCount val="12"/>
                <c:pt idx="0">
                  <c:v>379.62909815953003</c:v>
                </c:pt>
                <c:pt idx="1">
                  <c:v>260.15206510485132</c:v>
                </c:pt>
                <c:pt idx="2">
                  <c:v>384.61029568002959</c:v>
                </c:pt>
                <c:pt idx="3">
                  <c:v>32.044627322257611</c:v>
                </c:pt>
                <c:pt idx="4">
                  <c:v>273.90974637365548</c:v>
                </c:pt>
                <c:pt idx="5">
                  <c:v>724.95356657871071</c:v>
                </c:pt>
                <c:pt idx="6">
                  <c:v>340.11964551237497</c:v>
                </c:pt>
                <c:pt idx="7">
                  <c:v>622.26326100254391</c:v>
                </c:pt>
                <c:pt idx="8">
                  <c:v>2076.3491854699969</c:v>
                </c:pt>
                <c:pt idx="9">
                  <c:v>39.372258935482023</c:v>
                </c:pt>
                <c:pt idx="10">
                  <c:v>1315.5751270352202</c:v>
                </c:pt>
                <c:pt idx="11">
                  <c:v>7136.1561699232407</c:v>
                </c:pt>
              </c:numCache>
            </c:numRef>
          </c:val>
          <c:extLst>
            <c:ext xmlns:c16="http://schemas.microsoft.com/office/drawing/2014/chart" uri="{C3380CC4-5D6E-409C-BE32-E72D297353CC}">
              <c16:uniqueId val="{00000001-AACD-9948-B0CD-98A10B3C7704}"/>
            </c:ext>
          </c:extLst>
        </c:ser>
        <c:ser>
          <c:idx val="2"/>
          <c:order val="2"/>
          <c:tx>
            <c:v>Day 3</c:v>
          </c:tx>
          <c:spPr>
            <a:solidFill>
              <a:srgbClr val="000000"/>
            </a:solidFill>
            <a:ln w="12700">
              <a:solidFill>
                <a:srgbClr val="000000"/>
              </a:solidFill>
              <a:prstDash val="solid"/>
            </a:ln>
          </c:spPr>
          <c:invertIfNegative val="0"/>
          <c:val>
            <c:numRef>
              <c:f>Liquidity!$F$126:$Q$126</c:f>
              <c:numCache>
                <c:formatCode>#,##0</c:formatCode>
                <c:ptCount val="12"/>
                <c:pt idx="0">
                  <c:v>379.88303980250703</c:v>
                </c:pt>
                <c:pt idx="1">
                  <c:v>259.47460957230442</c:v>
                </c:pt>
                <c:pt idx="2">
                  <c:v>-36.779825442314177</c:v>
                </c:pt>
                <c:pt idx="3">
                  <c:v>35.057745030068929</c:v>
                </c:pt>
                <c:pt idx="4">
                  <c:v>280.27467006895176</c:v>
                </c:pt>
                <c:pt idx="5">
                  <c:v>692.28075235217739</c:v>
                </c:pt>
                <c:pt idx="6">
                  <c:v>346.71236587783665</c:v>
                </c:pt>
                <c:pt idx="7">
                  <c:v>614.54208726244633</c:v>
                </c:pt>
                <c:pt idx="8">
                  <c:v>1671.1946837686464</c:v>
                </c:pt>
                <c:pt idx="9">
                  <c:v>-484.09671246875769</c:v>
                </c:pt>
                <c:pt idx="10">
                  <c:v>1290.6091802036794</c:v>
                </c:pt>
                <c:pt idx="11">
                  <c:v>5347.4366389099523</c:v>
                </c:pt>
              </c:numCache>
            </c:numRef>
          </c:val>
          <c:extLst>
            <c:ext xmlns:c16="http://schemas.microsoft.com/office/drawing/2014/chart" uri="{C3380CC4-5D6E-409C-BE32-E72D297353CC}">
              <c16:uniqueId val="{00000002-AACD-9948-B0CD-98A10B3C7704}"/>
            </c:ext>
          </c:extLst>
        </c:ser>
        <c:ser>
          <c:idx val="3"/>
          <c:order val="3"/>
          <c:tx>
            <c:v>Day 4</c:v>
          </c:tx>
          <c:spPr>
            <a:solidFill>
              <a:srgbClr val="000000"/>
            </a:solidFill>
            <a:ln w="12700">
              <a:solidFill>
                <a:srgbClr val="000000"/>
              </a:solidFill>
              <a:prstDash val="solid"/>
            </a:ln>
          </c:spPr>
          <c:invertIfNegative val="0"/>
          <c:val>
            <c:numRef>
              <c:f>Liquidity!$F$137:$Q$137</c:f>
              <c:numCache>
                <c:formatCode>#,##0</c:formatCode>
                <c:ptCount val="12"/>
                <c:pt idx="0">
                  <c:v>379.59402784523854</c:v>
                </c:pt>
                <c:pt idx="1">
                  <c:v>258.46040804092763</c:v>
                </c:pt>
                <c:pt idx="2">
                  <c:v>-428.97166472499339</c:v>
                </c:pt>
                <c:pt idx="3">
                  <c:v>38.018406560802248</c:v>
                </c:pt>
                <c:pt idx="4">
                  <c:v>286.21336561252451</c:v>
                </c:pt>
                <c:pt idx="5">
                  <c:v>659.96657787990216</c:v>
                </c:pt>
                <c:pt idx="6">
                  <c:v>352.79720660231555</c:v>
                </c:pt>
                <c:pt idx="7">
                  <c:v>606.51192663681604</c:v>
                </c:pt>
                <c:pt idx="8">
                  <c:v>1292.9194590417774</c:v>
                </c:pt>
                <c:pt idx="9">
                  <c:v>-966.69346579756348</c:v>
                </c:pt>
                <c:pt idx="10">
                  <c:v>1265.3454160133442</c:v>
                </c:pt>
                <c:pt idx="11">
                  <c:v>3711.4426963047445</c:v>
                </c:pt>
              </c:numCache>
            </c:numRef>
          </c:val>
          <c:extLst>
            <c:ext xmlns:c16="http://schemas.microsoft.com/office/drawing/2014/chart" uri="{C3380CC4-5D6E-409C-BE32-E72D297353CC}">
              <c16:uniqueId val="{00000003-AACD-9948-B0CD-98A10B3C7704}"/>
            </c:ext>
          </c:extLst>
        </c:ser>
        <c:ser>
          <c:idx val="4"/>
          <c:order val="4"/>
          <c:tx>
            <c:v>Day 5</c:v>
          </c:tx>
          <c:spPr>
            <a:solidFill>
              <a:srgbClr val="000000"/>
            </a:solidFill>
            <a:ln w="12700">
              <a:solidFill>
                <a:srgbClr val="000000"/>
              </a:solidFill>
              <a:prstDash val="solid"/>
            </a:ln>
          </c:spPr>
          <c:invertIfNegative val="0"/>
          <c:val>
            <c:numRef>
              <c:f>Liquidity!$F$148:$Q$148</c:f>
              <c:numCache>
                <c:formatCode>#,##0</c:formatCode>
                <c:ptCount val="12"/>
                <c:pt idx="0">
                  <c:v>379.29720206686238</c:v>
                </c:pt>
                <c:pt idx="1">
                  <c:v>257.48906597557152</c:v>
                </c:pt>
                <c:pt idx="2">
                  <c:v>-792.14704298648394</c:v>
                </c:pt>
                <c:pt idx="3">
                  <c:v>40.948345226228241</c:v>
                </c:pt>
                <c:pt idx="4">
                  <c:v>292.04834205159455</c:v>
                </c:pt>
                <c:pt idx="5">
                  <c:v>628.80903497588815</c:v>
                </c:pt>
                <c:pt idx="6">
                  <c:v>358.7716995552571</c:v>
                </c:pt>
                <c:pt idx="7">
                  <c:v>598.80093605260663</c:v>
                </c:pt>
                <c:pt idx="8">
                  <c:v>941.78452361673408</c:v>
                </c:pt>
                <c:pt idx="9">
                  <c:v>-1410.7463817918197</c:v>
                </c:pt>
                <c:pt idx="10">
                  <c:v>1240.7295175703557</c:v>
                </c:pt>
                <c:pt idx="11">
                  <c:v>2216.1593922996617</c:v>
                </c:pt>
              </c:numCache>
            </c:numRef>
          </c:val>
          <c:extLst>
            <c:ext xmlns:c16="http://schemas.microsoft.com/office/drawing/2014/chart" uri="{C3380CC4-5D6E-409C-BE32-E72D297353CC}">
              <c16:uniqueId val="{00000004-AACD-9948-B0CD-98A10B3C7704}"/>
            </c:ext>
          </c:extLst>
        </c:ser>
        <c:dLbls>
          <c:showLegendKey val="0"/>
          <c:showVal val="0"/>
          <c:showCatName val="0"/>
          <c:showSerName val="0"/>
          <c:showPercent val="0"/>
          <c:showBubbleSize val="0"/>
        </c:dLbls>
        <c:gapWidth val="150"/>
        <c:axId val="1667981759"/>
        <c:axId val="1"/>
      </c:barChart>
      <c:catAx>
        <c:axId val="166798175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Times New Roman"/>
                <a:ea typeface="Times New Roman"/>
                <a:cs typeface="Times New Roman"/>
              </a:defRPr>
            </a:pPr>
            <a:endParaRPr lang="en-US"/>
          </a:p>
        </c:txPr>
        <c:crossAx val="1667981759"/>
        <c:crosses val="autoZero"/>
        <c:crossBetween val="between"/>
      </c:valAx>
      <c:spPr>
        <a:noFill/>
        <a:ln w="12700">
          <a:solidFill>
            <a:srgbClr val="808080"/>
          </a:solidFill>
          <a:prstDash val="solid"/>
        </a:ln>
      </c:spPr>
    </c:plotArea>
    <c:legend>
      <c:legendPos val="r"/>
      <c:layout>
        <c:manualLayout>
          <c:xMode val="edge"/>
          <c:yMode val="edge"/>
          <c:x val="0.88471319205787158"/>
          <c:y val="0.31400308372673258"/>
          <c:w val="0.10630973183587458"/>
          <c:h val="0.37885154667029697"/>
        </c:manualLayout>
      </c:layout>
      <c:overlay val="0"/>
      <c:spPr>
        <a:solidFill>
          <a:srgbClr val="FFFFFF"/>
        </a:solidFill>
        <a:ln w="3175">
          <a:solidFill>
            <a:srgbClr val="000000"/>
          </a:solidFill>
          <a:prstDash val="solid"/>
        </a:ln>
      </c:spPr>
      <c:txPr>
        <a:bodyPr/>
        <a:lstStyle/>
        <a:p>
          <a:pPr>
            <a:defRPr sz="14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6350">
      <a:noFill/>
    </a:ln>
  </c:spPr>
  <c:txPr>
    <a:bodyPr/>
    <a:lstStyle/>
    <a:p>
      <a:pPr>
        <a:defRPr sz="15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10520959663199"/>
          <c:y val="7.2831491262842052E-2"/>
          <c:w val="0.6169150708944201"/>
          <c:h val="0.70590522300908454"/>
        </c:manualLayout>
      </c:layout>
      <c:barChart>
        <c:barDir val="col"/>
        <c:grouping val="clustered"/>
        <c:varyColors val="0"/>
        <c:ser>
          <c:idx val="0"/>
          <c:order val="0"/>
          <c:tx>
            <c:v>Baseline</c:v>
          </c:tx>
          <c:spPr>
            <a:solidFill>
              <a:srgbClr val="000000"/>
            </a:solidFill>
            <a:ln w="12700">
              <a:solidFill>
                <a:srgbClr val="000000"/>
              </a:solidFill>
              <a:prstDash val="solid"/>
            </a:ln>
          </c:spPr>
          <c:invertIfNegative val="0"/>
          <c:cat>
            <c:strRef>
              <c:f>Scenarios!$B$8:$E$8</c:f>
              <c:strCache>
                <c:ptCount val="4"/>
                <c:pt idx="0">
                  <c:v>All</c:v>
                </c:pt>
                <c:pt idx="1">
                  <c:v>SBs</c:v>
                </c:pt>
                <c:pt idx="2">
                  <c:v>DBs</c:v>
                </c:pt>
                <c:pt idx="3">
                  <c:v>FBs</c:v>
                </c:pt>
              </c:strCache>
            </c:strRef>
          </c:cat>
          <c:val>
            <c:numRef>
              <c:f>Scenarios!$B$11:$E$11</c:f>
              <c:numCache>
                <c:formatCode>0.0</c:formatCode>
                <c:ptCount val="4"/>
                <c:pt idx="0">
                  <c:v>11.762867885692444</c:v>
                </c:pt>
                <c:pt idx="1">
                  <c:v>4.9536604973151626</c:v>
                </c:pt>
                <c:pt idx="2">
                  <c:v>18.224238204790488</c:v>
                </c:pt>
                <c:pt idx="3">
                  <c:v>12.684909044578768</c:v>
                </c:pt>
              </c:numCache>
            </c:numRef>
          </c:val>
          <c:extLst>
            <c:ext xmlns:c16="http://schemas.microsoft.com/office/drawing/2014/chart" uri="{C3380CC4-5D6E-409C-BE32-E72D297353CC}">
              <c16:uniqueId val="{00000000-837A-BF4E-A323-ECBEF955A5BB}"/>
            </c:ext>
          </c:extLst>
        </c:ser>
        <c:ser>
          <c:idx val="1"/>
          <c:order val="1"/>
          <c:tx>
            <c:v>After shocks</c:v>
          </c:tx>
          <c:spPr>
            <a:solidFill>
              <a:srgbClr val="993366"/>
            </a:solidFill>
            <a:ln w="12700">
              <a:solidFill>
                <a:srgbClr val="000000"/>
              </a:solidFill>
              <a:prstDash val="solid"/>
            </a:ln>
          </c:spPr>
          <c:invertIfNegative val="0"/>
          <c:val>
            <c:numRef>
              <c:f>Scenarios!$B$17:$E$17</c:f>
              <c:numCache>
                <c:formatCode>0.0</c:formatCode>
                <c:ptCount val="4"/>
                <c:pt idx="0">
                  <c:v>-1.2592597784072632</c:v>
                </c:pt>
                <c:pt idx="1">
                  <c:v>-10.943866388431875</c:v>
                </c:pt>
                <c:pt idx="2">
                  <c:v>8.5801325135243456</c:v>
                </c:pt>
                <c:pt idx="3">
                  <c:v>-9.8115267842432893E-2</c:v>
                </c:pt>
              </c:numCache>
            </c:numRef>
          </c:val>
          <c:extLst>
            <c:ext xmlns:c16="http://schemas.microsoft.com/office/drawing/2014/chart" uri="{C3380CC4-5D6E-409C-BE32-E72D297353CC}">
              <c16:uniqueId val="{00000001-837A-BF4E-A323-ECBEF955A5BB}"/>
            </c:ext>
          </c:extLst>
        </c:ser>
        <c:ser>
          <c:idx val="2"/>
          <c:order val="2"/>
          <c:tx>
            <c:v>After shocks &amp; contagion</c:v>
          </c:tx>
          <c:spPr>
            <a:solidFill>
              <a:srgbClr val="FFFFCC"/>
            </a:solidFill>
            <a:ln w="12700">
              <a:solidFill>
                <a:srgbClr val="000000"/>
              </a:solidFill>
              <a:prstDash val="solid"/>
            </a:ln>
          </c:spPr>
          <c:invertIfNegative val="0"/>
          <c:val>
            <c:numRef>
              <c:f>Scenarios!$B$20:$E$20</c:f>
              <c:numCache>
                <c:formatCode>0.0</c:formatCode>
                <c:ptCount val="4"/>
                <c:pt idx="0">
                  <c:v>-6.1192930633016491</c:v>
                </c:pt>
                <c:pt idx="1">
                  <c:v>-15.523496537866444</c:v>
                </c:pt>
                <c:pt idx="2">
                  <c:v>2.3237590738805549</c:v>
                </c:pt>
                <c:pt idx="3">
                  <c:v>-4.9090264917413027</c:v>
                </c:pt>
              </c:numCache>
            </c:numRef>
          </c:val>
          <c:extLst>
            <c:ext xmlns:c16="http://schemas.microsoft.com/office/drawing/2014/chart" uri="{C3380CC4-5D6E-409C-BE32-E72D297353CC}">
              <c16:uniqueId val="{00000002-837A-BF4E-A323-ECBEF955A5BB}"/>
            </c:ext>
          </c:extLst>
        </c:ser>
        <c:dLbls>
          <c:showLegendKey val="0"/>
          <c:showVal val="0"/>
          <c:showCatName val="0"/>
          <c:showSerName val="0"/>
          <c:showPercent val="0"/>
          <c:showBubbleSize val="0"/>
        </c:dLbls>
        <c:gapWidth val="150"/>
        <c:axId val="1666055615"/>
        <c:axId val="1"/>
      </c:barChart>
      <c:catAx>
        <c:axId val="1666055615"/>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17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666055615"/>
        <c:crosses val="autoZero"/>
        <c:crossBetween val="between"/>
      </c:valAx>
      <c:spPr>
        <a:noFill/>
        <a:ln w="12700">
          <a:solidFill>
            <a:srgbClr val="808080"/>
          </a:solidFill>
          <a:prstDash val="solid"/>
        </a:ln>
      </c:spPr>
    </c:plotArea>
    <c:legend>
      <c:legendPos val="r"/>
      <c:layout>
        <c:manualLayout>
          <c:xMode val="edge"/>
          <c:yMode val="edge"/>
          <c:x val="0.79963195494913686"/>
          <c:y val="0.19888599537160714"/>
          <c:w val="0.19450507012276302"/>
          <c:h val="0.51262165004231142"/>
        </c:manualLayout>
      </c:layout>
      <c:overlay val="0"/>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1014049211606"/>
          <c:y val="7.3036027530987369E-2"/>
          <c:w val="0.63809921051705853"/>
          <c:h val="0.69665133952634095"/>
        </c:manualLayout>
      </c:layout>
      <c:barChart>
        <c:barDir val="col"/>
        <c:grouping val="clustered"/>
        <c:varyColors val="0"/>
        <c:ser>
          <c:idx val="0"/>
          <c:order val="0"/>
          <c:tx>
            <c:v>Baseline</c:v>
          </c:tx>
          <c:spPr>
            <a:solidFill>
              <a:srgbClr val="000000"/>
            </a:solidFill>
            <a:ln w="12700">
              <a:solidFill>
                <a:srgbClr val="000000"/>
              </a:solidFill>
              <a:prstDash val="solid"/>
            </a:ln>
          </c:spPr>
          <c:invertIfNegative val="0"/>
          <c:cat>
            <c:strRef>
              <c:f>Scenarios!$F$8:$Q$8</c:f>
              <c:strCache>
                <c:ptCount val="12"/>
                <c:pt idx="0">
                  <c:v>SB1</c:v>
                </c:pt>
                <c:pt idx="1">
                  <c:v>SB2</c:v>
                </c:pt>
                <c:pt idx="2">
                  <c:v>SB3</c:v>
                </c:pt>
                <c:pt idx="3">
                  <c:v>DB1</c:v>
                </c:pt>
                <c:pt idx="4">
                  <c:v>DB2</c:v>
                </c:pt>
                <c:pt idx="5">
                  <c:v>DB3</c:v>
                </c:pt>
                <c:pt idx="6">
                  <c:v>DB4</c:v>
                </c:pt>
                <c:pt idx="7">
                  <c:v>DB5</c:v>
                </c:pt>
                <c:pt idx="8">
                  <c:v>FB1</c:v>
                </c:pt>
                <c:pt idx="9">
                  <c:v>FB2</c:v>
                </c:pt>
                <c:pt idx="10">
                  <c:v>FB3</c:v>
                </c:pt>
                <c:pt idx="11">
                  <c:v>FB4</c:v>
                </c:pt>
              </c:strCache>
            </c:strRef>
          </c:cat>
          <c:val>
            <c:numRef>
              <c:f>Scenarios!$F$11:$Q$11</c:f>
              <c:numCache>
                <c:formatCode>0.0</c:formatCode>
                <c:ptCount val="12"/>
                <c:pt idx="0">
                  <c:v>7.8999999999999977</c:v>
                </c:pt>
                <c:pt idx="1">
                  <c:v>8.1000000000000085</c:v>
                </c:pt>
                <c:pt idx="2">
                  <c:v>4.289627746729507</c:v>
                </c:pt>
                <c:pt idx="3">
                  <c:v>23.876427373511582</c:v>
                </c:pt>
                <c:pt idx="4">
                  <c:v>0.43159723245679266</c:v>
                </c:pt>
                <c:pt idx="5">
                  <c:v>16.732397098703455</c:v>
                </c:pt>
                <c:pt idx="6">
                  <c:v>8.2999999999999989</c:v>
                </c:pt>
                <c:pt idx="7">
                  <c:v>27.913237383939766</c:v>
                </c:pt>
                <c:pt idx="8">
                  <c:v>21.444402219444481</c:v>
                </c:pt>
                <c:pt idx="9">
                  <c:v>19.034078146894551</c:v>
                </c:pt>
                <c:pt idx="10">
                  <c:v>12.168478051305209</c:v>
                </c:pt>
                <c:pt idx="11">
                  <c:v>7.7439645354870487E-3</c:v>
                </c:pt>
              </c:numCache>
            </c:numRef>
          </c:val>
          <c:extLst>
            <c:ext xmlns:c16="http://schemas.microsoft.com/office/drawing/2014/chart" uri="{C3380CC4-5D6E-409C-BE32-E72D297353CC}">
              <c16:uniqueId val="{00000000-6E14-384A-8CE7-0CF1D0608CBB}"/>
            </c:ext>
          </c:extLst>
        </c:ser>
        <c:ser>
          <c:idx val="1"/>
          <c:order val="1"/>
          <c:tx>
            <c:v>After shocks</c:v>
          </c:tx>
          <c:spPr>
            <a:solidFill>
              <a:srgbClr val="993366"/>
            </a:solidFill>
            <a:ln w="12700">
              <a:solidFill>
                <a:srgbClr val="000000"/>
              </a:solidFill>
              <a:prstDash val="solid"/>
            </a:ln>
          </c:spPr>
          <c:invertIfNegative val="0"/>
          <c:val>
            <c:numRef>
              <c:f>Scenarios!$F$17:$Q$17</c:f>
              <c:numCache>
                <c:formatCode>0.0</c:formatCode>
                <c:ptCount val="12"/>
                <c:pt idx="0">
                  <c:v>1.9255317292216292</c:v>
                </c:pt>
                <c:pt idx="1">
                  <c:v>-32.171096797801468</c:v>
                </c:pt>
                <c:pt idx="2">
                  <c:v>-10.477473457516625</c:v>
                </c:pt>
                <c:pt idx="3">
                  <c:v>8.2882757232407585</c:v>
                </c:pt>
                <c:pt idx="4">
                  <c:v>-6.9557072874392363</c:v>
                </c:pt>
                <c:pt idx="5">
                  <c:v>8.2578603419402921</c:v>
                </c:pt>
                <c:pt idx="6">
                  <c:v>-3.6264361623747421</c:v>
                </c:pt>
                <c:pt idx="7">
                  <c:v>17.098872687890964</c:v>
                </c:pt>
                <c:pt idx="8">
                  <c:v>9.9925905295798287</c:v>
                </c:pt>
                <c:pt idx="9">
                  <c:v>7.0923028269474511</c:v>
                </c:pt>
                <c:pt idx="10">
                  <c:v>0.5299685158174493</c:v>
                </c:pt>
                <c:pt idx="11">
                  <c:v>-14.879131767490614</c:v>
                </c:pt>
              </c:numCache>
            </c:numRef>
          </c:val>
          <c:extLst>
            <c:ext xmlns:c16="http://schemas.microsoft.com/office/drawing/2014/chart" uri="{C3380CC4-5D6E-409C-BE32-E72D297353CC}">
              <c16:uniqueId val="{00000001-6E14-384A-8CE7-0CF1D0608CBB}"/>
            </c:ext>
          </c:extLst>
        </c:ser>
        <c:ser>
          <c:idx val="2"/>
          <c:order val="2"/>
          <c:tx>
            <c:v>After shocks &amp; contagion</c:v>
          </c:tx>
          <c:spPr>
            <a:solidFill>
              <a:srgbClr val="FFFFCC"/>
            </a:solidFill>
            <a:ln w="12700">
              <a:solidFill>
                <a:srgbClr val="000000"/>
              </a:solidFill>
              <a:prstDash val="solid"/>
            </a:ln>
          </c:spPr>
          <c:invertIfNegative val="0"/>
          <c:val>
            <c:numRef>
              <c:f>Scenarios!$F$20:$Q$20</c:f>
              <c:numCache>
                <c:formatCode>0.0</c:formatCode>
                <c:ptCount val="12"/>
                <c:pt idx="0">
                  <c:v>-4.0228309611115529</c:v>
                </c:pt>
                <c:pt idx="1">
                  <c:v>-53.649142279506712</c:v>
                </c:pt>
                <c:pt idx="2">
                  <c:v>-14.326379431485117</c:v>
                </c:pt>
                <c:pt idx="3">
                  <c:v>-68.261435510694284</c:v>
                </c:pt>
                <c:pt idx="4">
                  <c:v>-25.474802819478711</c:v>
                </c:pt>
                <c:pt idx="5">
                  <c:v>6.68142754769221</c:v>
                </c:pt>
                <c:pt idx="6">
                  <c:v>-8.4177312775326065</c:v>
                </c:pt>
                <c:pt idx="7">
                  <c:v>10.784259095992041</c:v>
                </c:pt>
                <c:pt idx="8">
                  <c:v>10.05934026586</c:v>
                </c:pt>
                <c:pt idx="9">
                  <c:v>7.4307501452784068</c:v>
                </c:pt>
                <c:pt idx="10">
                  <c:v>0.57323649712781866</c:v>
                </c:pt>
                <c:pt idx="11">
                  <c:v>-28.622707752712746</c:v>
                </c:pt>
              </c:numCache>
            </c:numRef>
          </c:val>
          <c:extLst>
            <c:ext xmlns:c16="http://schemas.microsoft.com/office/drawing/2014/chart" uri="{C3380CC4-5D6E-409C-BE32-E72D297353CC}">
              <c16:uniqueId val="{00000002-6E14-384A-8CE7-0CF1D0608CBB}"/>
            </c:ext>
          </c:extLst>
        </c:ser>
        <c:dLbls>
          <c:showLegendKey val="0"/>
          <c:showVal val="0"/>
          <c:showCatName val="0"/>
          <c:showSerName val="0"/>
          <c:showPercent val="0"/>
          <c:showBubbleSize val="0"/>
        </c:dLbls>
        <c:gapWidth val="150"/>
        <c:axId val="1666093455"/>
        <c:axId val="1"/>
      </c:barChart>
      <c:catAx>
        <c:axId val="1666093455"/>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17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666093455"/>
        <c:crosses val="autoZero"/>
        <c:crossBetween val="between"/>
      </c:valAx>
      <c:spPr>
        <a:noFill/>
        <a:ln w="12700">
          <a:solidFill>
            <a:srgbClr val="808080"/>
          </a:solidFill>
          <a:prstDash val="solid"/>
        </a:ln>
      </c:spPr>
    </c:plotArea>
    <c:legend>
      <c:legendPos val="r"/>
      <c:layout>
        <c:manualLayout>
          <c:xMode val="edge"/>
          <c:yMode val="edge"/>
          <c:x val="0.82506914048039026"/>
          <c:y val="0.20506269268315683"/>
          <c:w val="0.16981672537953979"/>
          <c:h val="0.51406127069887264"/>
        </c:manualLayout>
      </c:layout>
      <c:overlay val="0"/>
      <c:spPr>
        <a:solidFill>
          <a:srgbClr val="FFFFFF"/>
        </a:solidFill>
        <a:ln w="3175">
          <a:solidFill>
            <a:srgbClr val="000000"/>
          </a:solidFill>
          <a:prstDash val="solid"/>
        </a:ln>
      </c:spPr>
      <c:txPr>
        <a:bodyPr/>
        <a:lstStyle/>
        <a:p>
          <a:pPr>
            <a:defRPr sz="15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2998964080519"/>
          <c:y val="6.4002020897144213E-2"/>
          <c:w val="0.67104947314139163"/>
          <c:h val="0.73068973857572972"/>
        </c:manualLayout>
      </c:layout>
      <c:barChart>
        <c:barDir val="col"/>
        <c:grouping val="clustered"/>
        <c:varyColors val="0"/>
        <c:ser>
          <c:idx val="0"/>
          <c:order val="0"/>
          <c:tx>
            <c:v>Baseline</c:v>
          </c:tx>
          <c:spPr>
            <a:solidFill>
              <a:srgbClr val="000000"/>
            </a:solidFill>
            <a:ln w="12700">
              <a:solidFill>
                <a:srgbClr val="000000"/>
              </a:solidFill>
              <a:prstDash val="solid"/>
            </a:ln>
          </c:spPr>
          <c:invertIfNegative val="0"/>
          <c:cat>
            <c:strRef>
              <c:f>Scenarios!$B$8:$E$8</c:f>
              <c:strCache>
                <c:ptCount val="4"/>
                <c:pt idx="0">
                  <c:v>All</c:v>
                </c:pt>
                <c:pt idx="1">
                  <c:v>SBs</c:v>
                </c:pt>
                <c:pt idx="2">
                  <c:v>DBs</c:v>
                </c:pt>
                <c:pt idx="3">
                  <c:v>FBs</c:v>
                </c:pt>
              </c:strCache>
            </c:strRef>
          </c:cat>
          <c:val>
            <c:numRef>
              <c:f>Data!$B$151:$E$151</c:f>
              <c:numCache>
                <c:formatCode>#,##0.0</c:formatCode>
                <c:ptCount val="4"/>
                <c:pt idx="0">
                  <c:v>0</c:v>
                </c:pt>
                <c:pt idx="1">
                  <c:v>3.3714879173570425</c:v>
                </c:pt>
                <c:pt idx="2">
                  <c:v>2.221047073008017</c:v>
                </c:pt>
                <c:pt idx="3">
                  <c:v>0</c:v>
                </c:pt>
              </c:numCache>
            </c:numRef>
          </c:val>
          <c:extLst>
            <c:ext xmlns:c16="http://schemas.microsoft.com/office/drawing/2014/chart" uri="{C3380CC4-5D6E-409C-BE32-E72D297353CC}">
              <c16:uniqueId val="{00000000-78BD-1740-8613-65F1737EF6B4}"/>
            </c:ext>
          </c:extLst>
        </c:ser>
        <c:ser>
          <c:idx val="1"/>
          <c:order val="1"/>
          <c:tx>
            <c:v>Stress</c:v>
          </c:tx>
          <c:spPr>
            <a:solidFill>
              <a:srgbClr val="993366"/>
            </a:solidFill>
            <a:ln w="12700">
              <a:solidFill>
                <a:srgbClr val="000000"/>
              </a:solidFill>
              <a:prstDash val="solid"/>
            </a:ln>
          </c:spPr>
          <c:invertIfNegative val="0"/>
          <c:val>
            <c:numRef>
              <c:f>Scenarios!$B$85:$E$85</c:f>
              <c:numCache>
                <c:formatCode>#,##0.0</c:formatCode>
                <c:ptCount val="4"/>
                <c:pt idx="0">
                  <c:v>0</c:v>
                </c:pt>
                <c:pt idx="1">
                  <c:v>3.3995655378025251</c:v>
                </c:pt>
                <c:pt idx="2">
                  <c:v>3.3866422791322361</c:v>
                </c:pt>
                <c:pt idx="3">
                  <c:v>0</c:v>
                </c:pt>
              </c:numCache>
            </c:numRef>
          </c:val>
          <c:extLst>
            <c:ext xmlns:c16="http://schemas.microsoft.com/office/drawing/2014/chart" uri="{C3380CC4-5D6E-409C-BE32-E72D297353CC}">
              <c16:uniqueId val="{00000001-78BD-1740-8613-65F1737EF6B4}"/>
            </c:ext>
          </c:extLst>
        </c:ser>
        <c:dLbls>
          <c:showLegendKey val="0"/>
          <c:showVal val="0"/>
          <c:showCatName val="0"/>
          <c:showSerName val="0"/>
          <c:showPercent val="0"/>
          <c:showBubbleSize val="0"/>
        </c:dLbls>
        <c:gapWidth val="150"/>
        <c:axId val="1666125247"/>
        <c:axId val="1"/>
      </c:barChart>
      <c:catAx>
        <c:axId val="1666125247"/>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16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in val="1"/>
        </c:scaling>
        <c:delete val="0"/>
        <c:axPos val="l"/>
        <c:numFmt formatCode="0" sourceLinked="0"/>
        <c:majorTickMark val="out"/>
        <c:minorTickMark val="none"/>
        <c:tickLblPos val="nextTo"/>
        <c:spPr>
          <a:ln w="3175">
            <a:solidFill>
              <a:srgbClr val="000000"/>
            </a:solidFill>
            <a:prstDash val="solid"/>
          </a:ln>
        </c:spPr>
        <c:txPr>
          <a:bodyPr rot="0" vert="horz"/>
          <a:lstStyle/>
          <a:p>
            <a:pPr>
              <a:defRPr sz="1625" b="0" i="0" u="none" strike="noStrike" baseline="0">
                <a:solidFill>
                  <a:srgbClr val="000000"/>
                </a:solidFill>
                <a:latin typeface="Arial"/>
                <a:ea typeface="Arial"/>
                <a:cs typeface="Arial"/>
              </a:defRPr>
            </a:pPr>
            <a:endParaRPr lang="en-US"/>
          </a:p>
        </c:txPr>
        <c:crossAx val="1666125247"/>
        <c:crosses val="autoZero"/>
        <c:crossBetween val="between"/>
        <c:majorUnit val="1"/>
      </c:valAx>
      <c:spPr>
        <a:noFill/>
        <a:ln w="12700">
          <a:solidFill>
            <a:srgbClr val="808080"/>
          </a:solidFill>
          <a:prstDash val="solid"/>
        </a:ln>
      </c:spPr>
    </c:plotArea>
    <c:legend>
      <c:legendPos val="r"/>
      <c:layout>
        <c:manualLayout>
          <c:xMode val="edge"/>
          <c:yMode val="edge"/>
          <c:x val="0.80937164866357258"/>
          <c:y val="0.22934057488143342"/>
          <c:w val="0.18505264022562051"/>
          <c:h val="0.48801540934072463"/>
        </c:manualLayout>
      </c:layout>
      <c:overlay val="0"/>
      <c:spPr>
        <a:solidFill>
          <a:srgbClr val="FFFFFF"/>
        </a:solidFill>
        <a:ln w="3175">
          <a:solidFill>
            <a:srgbClr val="000000"/>
          </a:solidFill>
          <a:prstDash val="solid"/>
        </a:ln>
      </c:spPr>
      <c:txPr>
        <a:bodyPr/>
        <a:lstStyle/>
        <a:p>
          <a:pPr>
            <a:defRPr sz="14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81099885959609"/>
          <c:y val="7.2388469469582745E-2"/>
          <c:w val="0.67896937940948121"/>
          <c:h val="0.70779836814703123"/>
        </c:manualLayout>
      </c:layout>
      <c:barChart>
        <c:barDir val="col"/>
        <c:grouping val="clustered"/>
        <c:varyColors val="0"/>
        <c:ser>
          <c:idx val="0"/>
          <c:order val="0"/>
          <c:tx>
            <c:v>Baseline</c:v>
          </c:tx>
          <c:spPr>
            <a:solidFill>
              <a:srgbClr val="000000"/>
            </a:solidFill>
            <a:ln w="12700">
              <a:solidFill>
                <a:srgbClr val="000000"/>
              </a:solidFill>
              <a:prstDash val="solid"/>
            </a:ln>
          </c:spPr>
          <c:invertIfNegative val="0"/>
          <c:cat>
            <c:strRef>
              <c:f>Scenarios!$F$8:$Q$8</c:f>
              <c:strCache>
                <c:ptCount val="12"/>
                <c:pt idx="0">
                  <c:v>SB1</c:v>
                </c:pt>
                <c:pt idx="1">
                  <c:v>SB2</c:v>
                </c:pt>
                <c:pt idx="2">
                  <c:v>SB3</c:v>
                </c:pt>
                <c:pt idx="3">
                  <c:v>DB1</c:v>
                </c:pt>
                <c:pt idx="4">
                  <c:v>DB2</c:v>
                </c:pt>
                <c:pt idx="5">
                  <c:v>DB3</c:v>
                </c:pt>
                <c:pt idx="6">
                  <c:v>DB4</c:v>
                </c:pt>
                <c:pt idx="7">
                  <c:v>DB5</c:v>
                </c:pt>
                <c:pt idx="8">
                  <c:v>FB1</c:v>
                </c:pt>
                <c:pt idx="9">
                  <c:v>FB2</c:v>
                </c:pt>
                <c:pt idx="10">
                  <c:v>FB3</c:v>
                </c:pt>
                <c:pt idx="11">
                  <c:v>FB4</c:v>
                </c:pt>
              </c:strCache>
            </c:strRef>
          </c:cat>
          <c:val>
            <c:numRef>
              <c:f>Data!$F$151:$Q$151</c:f>
              <c:numCache>
                <c:formatCode>#,##0.0</c:formatCode>
                <c:ptCount val="12"/>
                <c:pt idx="0">
                  <c:v>3.3</c:v>
                </c:pt>
                <c:pt idx="1">
                  <c:v>3.3</c:v>
                </c:pt>
                <c:pt idx="2">
                  <c:v>3.4</c:v>
                </c:pt>
                <c:pt idx="3">
                  <c:v>3.1</c:v>
                </c:pt>
                <c:pt idx="4">
                  <c:v>2.85</c:v>
                </c:pt>
                <c:pt idx="5">
                  <c:v>2.25</c:v>
                </c:pt>
                <c:pt idx="6">
                  <c:v>2.2000000000000002</c:v>
                </c:pt>
                <c:pt idx="7">
                  <c:v>1.9</c:v>
                </c:pt>
                <c:pt idx="8">
                  <c:v>1.9</c:v>
                </c:pt>
                <c:pt idx="9">
                  <c:v>1.65</c:v>
                </c:pt>
                <c:pt idx="10">
                  <c:v>2.2999999999999998</c:v>
                </c:pt>
                <c:pt idx="11">
                  <c:v>0</c:v>
                </c:pt>
              </c:numCache>
            </c:numRef>
          </c:val>
          <c:extLst>
            <c:ext xmlns:c16="http://schemas.microsoft.com/office/drawing/2014/chart" uri="{C3380CC4-5D6E-409C-BE32-E72D297353CC}">
              <c16:uniqueId val="{00000000-C341-B844-B4D6-13797B6E916C}"/>
            </c:ext>
          </c:extLst>
        </c:ser>
        <c:ser>
          <c:idx val="1"/>
          <c:order val="1"/>
          <c:tx>
            <c:v>Stress</c:v>
          </c:tx>
          <c:spPr>
            <a:solidFill>
              <a:srgbClr val="993366"/>
            </a:solidFill>
            <a:ln w="12700">
              <a:solidFill>
                <a:srgbClr val="000000"/>
              </a:solidFill>
              <a:prstDash val="solid"/>
            </a:ln>
          </c:spPr>
          <c:invertIfNegative val="0"/>
          <c:val>
            <c:numRef>
              <c:f>Scenarios!$F$85:$Q$85</c:f>
              <c:numCache>
                <c:formatCode>#,##0.0</c:formatCode>
                <c:ptCount val="12"/>
                <c:pt idx="0">
                  <c:v>3.7</c:v>
                </c:pt>
                <c:pt idx="1">
                  <c:v>3.35</c:v>
                </c:pt>
                <c:pt idx="2">
                  <c:v>3.35</c:v>
                </c:pt>
                <c:pt idx="3">
                  <c:v>3.15</c:v>
                </c:pt>
                <c:pt idx="4">
                  <c:v>3.75</c:v>
                </c:pt>
                <c:pt idx="5">
                  <c:v>3.55</c:v>
                </c:pt>
                <c:pt idx="6">
                  <c:v>3.65</c:v>
                </c:pt>
                <c:pt idx="7">
                  <c:v>2.95</c:v>
                </c:pt>
                <c:pt idx="8">
                  <c:v>3</c:v>
                </c:pt>
                <c:pt idx="9">
                  <c:v>2.5499999999999998</c:v>
                </c:pt>
                <c:pt idx="10">
                  <c:v>2.9</c:v>
                </c:pt>
                <c:pt idx="11">
                  <c:v>0</c:v>
                </c:pt>
              </c:numCache>
            </c:numRef>
          </c:val>
          <c:extLst>
            <c:ext xmlns:c16="http://schemas.microsoft.com/office/drawing/2014/chart" uri="{C3380CC4-5D6E-409C-BE32-E72D297353CC}">
              <c16:uniqueId val="{00000001-C341-B844-B4D6-13797B6E916C}"/>
            </c:ext>
          </c:extLst>
        </c:ser>
        <c:dLbls>
          <c:showLegendKey val="0"/>
          <c:showVal val="0"/>
          <c:showCatName val="0"/>
          <c:showSerName val="0"/>
          <c:showPercent val="0"/>
          <c:showBubbleSize val="0"/>
        </c:dLbls>
        <c:gapWidth val="150"/>
        <c:axId val="1666157135"/>
        <c:axId val="1"/>
      </c:barChart>
      <c:catAx>
        <c:axId val="1666157135"/>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in val="1"/>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666157135"/>
        <c:crosses val="autoZero"/>
        <c:crossBetween val="between"/>
        <c:majorUnit val="1"/>
      </c:valAx>
      <c:spPr>
        <a:noFill/>
        <a:ln w="12700">
          <a:solidFill>
            <a:srgbClr val="808080"/>
          </a:solidFill>
          <a:prstDash val="solid"/>
        </a:ln>
      </c:spPr>
    </c:plotArea>
    <c:legend>
      <c:legendPos val="r"/>
      <c:layout>
        <c:manualLayout>
          <c:xMode val="edge"/>
          <c:yMode val="edge"/>
          <c:x val="0.82107924951844247"/>
          <c:y val="0.21984646283354758"/>
          <c:w val="0.17368984124428591"/>
          <c:h val="0.49063295973828303"/>
        </c:manualLayout>
      </c:layout>
      <c:overlay val="0"/>
      <c:spPr>
        <a:solidFill>
          <a:srgbClr val="FFFFFF"/>
        </a:solidFill>
        <a:ln w="3175">
          <a:solidFill>
            <a:srgbClr val="000000"/>
          </a:solidFill>
          <a:prstDash val="solid"/>
        </a:ln>
      </c:spPr>
      <c:txPr>
        <a:bodyPr/>
        <a:lstStyle/>
        <a:p>
          <a:pPr>
            <a:defRPr sz="15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054506920674945"/>
          <c:y val="6.5991920411064553E-2"/>
          <c:w val="0.65587698963149743"/>
          <c:h val="0.72083482295162815"/>
        </c:manualLayout>
      </c:layout>
      <c:barChart>
        <c:barDir val="col"/>
        <c:grouping val="clustered"/>
        <c:varyColors val="0"/>
        <c:ser>
          <c:idx val="0"/>
          <c:order val="0"/>
          <c:tx>
            <c:v>Baseline</c:v>
          </c:tx>
          <c:spPr>
            <a:solidFill>
              <a:srgbClr val="000000"/>
            </a:solidFill>
            <a:ln w="12700">
              <a:solidFill>
                <a:srgbClr val="000000"/>
              </a:solidFill>
              <a:prstDash val="solid"/>
            </a:ln>
          </c:spPr>
          <c:invertIfNegative val="0"/>
          <c:cat>
            <c:strRef>
              <c:f>Scenarios!$F$8:$Q$8</c:f>
              <c:strCache>
                <c:ptCount val="12"/>
                <c:pt idx="0">
                  <c:v>SB1</c:v>
                </c:pt>
                <c:pt idx="1">
                  <c:v>SB2</c:v>
                </c:pt>
                <c:pt idx="2">
                  <c:v>SB3</c:v>
                </c:pt>
                <c:pt idx="3">
                  <c:v>DB1</c:v>
                </c:pt>
                <c:pt idx="4">
                  <c:v>DB2</c:v>
                </c:pt>
                <c:pt idx="5">
                  <c:v>DB3</c:v>
                </c:pt>
                <c:pt idx="6">
                  <c:v>DB4</c:v>
                </c:pt>
                <c:pt idx="7">
                  <c:v>DB5</c:v>
                </c:pt>
                <c:pt idx="8">
                  <c:v>FB1</c:v>
                </c:pt>
                <c:pt idx="9">
                  <c:v>FB2</c:v>
                </c:pt>
                <c:pt idx="10">
                  <c:v>FB3</c:v>
                </c:pt>
                <c:pt idx="11">
                  <c:v>FB4</c:v>
                </c:pt>
              </c:strCache>
            </c:strRef>
          </c:cat>
          <c:val>
            <c:numRef>
              <c:f>Data!$F$170:$Q$170</c:f>
              <c:numCache>
                <c:formatCode>0.0</c:formatCode>
                <c:ptCount val="12"/>
                <c:pt idx="0">
                  <c:v>15.65</c:v>
                </c:pt>
                <c:pt idx="1">
                  <c:v>19.850000000000001</c:v>
                </c:pt>
                <c:pt idx="2">
                  <c:v>17.100000000000001</c:v>
                </c:pt>
                <c:pt idx="3">
                  <c:v>18.774999999999999</c:v>
                </c:pt>
                <c:pt idx="4">
                  <c:v>13.265000000000001</c:v>
                </c:pt>
                <c:pt idx="5">
                  <c:v>3.085</c:v>
                </c:pt>
                <c:pt idx="6">
                  <c:v>5.88</c:v>
                </c:pt>
                <c:pt idx="7">
                  <c:v>1.6850000000000001</c:v>
                </c:pt>
                <c:pt idx="8">
                  <c:v>1.22</c:v>
                </c:pt>
                <c:pt idx="9">
                  <c:v>6.125</c:v>
                </c:pt>
                <c:pt idx="10">
                  <c:v>8.2249999999999996</c:v>
                </c:pt>
                <c:pt idx="11">
                  <c:v>0</c:v>
                </c:pt>
              </c:numCache>
            </c:numRef>
          </c:val>
          <c:extLst>
            <c:ext xmlns:c16="http://schemas.microsoft.com/office/drawing/2014/chart" uri="{C3380CC4-5D6E-409C-BE32-E72D297353CC}">
              <c16:uniqueId val="{00000000-2E39-0147-8F22-6BCE5223F0E7}"/>
            </c:ext>
          </c:extLst>
        </c:ser>
        <c:ser>
          <c:idx val="1"/>
          <c:order val="1"/>
          <c:tx>
            <c:v>Stress</c:v>
          </c:tx>
          <c:spPr>
            <a:solidFill>
              <a:srgbClr val="993366"/>
            </a:solidFill>
            <a:ln w="12700">
              <a:solidFill>
                <a:srgbClr val="000000"/>
              </a:solidFill>
              <a:prstDash val="solid"/>
            </a:ln>
          </c:spPr>
          <c:invertIfNegative val="0"/>
          <c:val>
            <c:numRef>
              <c:f>Scenarios!$F$105:$Q$105</c:f>
              <c:numCache>
                <c:formatCode>0.0</c:formatCode>
                <c:ptCount val="12"/>
                <c:pt idx="0">
                  <c:v>25.65</c:v>
                </c:pt>
                <c:pt idx="1">
                  <c:v>21.254999999999999</c:v>
                </c:pt>
                <c:pt idx="2">
                  <c:v>22.614999999999998</c:v>
                </c:pt>
                <c:pt idx="3">
                  <c:v>17.77</c:v>
                </c:pt>
                <c:pt idx="4">
                  <c:v>23.75</c:v>
                </c:pt>
                <c:pt idx="5">
                  <c:v>21.004999999999999</c:v>
                </c:pt>
                <c:pt idx="6">
                  <c:v>22.3</c:v>
                </c:pt>
                <c:pt idx="7">
                  <c:v>12.305</c:v>
                </c:pt>
                <c:pt idx="8">
                  <c:v>10.25</c:v>
                </c:pt>
                <c:pt idx="9">
                  <c:v>11.48</c:v>
                </c:pt>
                <c:pt idx="10">
                  <c:v>15.875</c:v>
                </c:pt>
                <c:pt idx="11">
                  <c:v>0</c:v>
                </c:pt>
              </c:numCache>
            </c:numRef>
          </c:val>
          <c:extLst>
            <c:ext xmlns:c16="http://schemas.microsoft.com/office/drawing/2014/chart" uri="{C3380CC4-5D6E-409C-BE32-E72D297353CC}">
              <c16:uniqueId val="{00000001-2E39-0147-8F22-6BCE5223F0E7}"/>
            </c:ext>
          </c:extLst>
        </c:ser>
        <c:dLbls>
          <c:showLegendKey val="0"/>
          <c:showVal val="0"/>
          <c:showCatName val="0"/>
          <c:showSerName val="0"/>
          <c:showPercent val="0"/>
          <c:showBubbleSize val="0"/>
        </c:dLbls>
        <c:gapWidth val="150"/>
        <c:axId val="1708147791"/>
        <c:axId val="1"/>
      </c:barChart>
      <c:catAx>
        <c:axId val="1708147791"/>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17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3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708147791"/>
        <c:crosses val="autoZero"/>
        <c:crossBetween val="between"/>
        <c:majorUnit val="5"/>
      </c:valAx>
      <c:spPr>
        <a:noFill/>
        <a:ln w="12700">
          <a:solidFill>
            <a:srgbClr val="808080"/>
          </a:solidFill>
          <a:prstDash val="solid"/>
        </a:ln>
      </c:spPr>
    </c:plotArea>
    <c:legend>
      <c:legendPos val="r"/>
      <c:layout>
        <c:manualLayout>
          <c:xMode val="edge"/>
          <c:yMode val="edge"/>
          <c:x val="0.81624251731612185"/>
          <c:y val="0.23097172143872594"/>
          <c:w val="0.1783841263008743"/>
          <c:h val="0.46448159366249281"/>
        </c:manualLayout>
      </c:layout>
      <c:overlay val="0"/>
      <c:spPr>
        <a:solidFill>
          <a:srgbClr val="FFFFFF"/>
        </a:solid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7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4275886622801"/>
          <c:y val="8.0359657278690572E-2"/>
          <c:w val="0.78969224072568533"/>
          <c:h val="0.66668752705284029"/>
        </c:manualLayout>
      </c:layout>
      <c:barChart>
        <c:barDir val="col"/>
        <c:grouping val="clustered"/>
        <c:varyColors val="0"/>
        <c:ser>
          <c:idx val="0"/>
          <c:order val="0"/>
          <c:spPr>
            <a:solidFill>
              <a:srgbClr val="000000"/>
            </a:solidFill>
            <a:ln w="12700">
              <a:solidFill>
                <a:srgbClr val="000000"/>
              </a:solidFill>
              <a:prstDash val="solid"/>
            </a:ln>
          </c:spPr>
          <c:invertIfNegative val="0"/>
          <c:cat>
            <c:strRef>
              <c:f>Scenarios!$F$8:$Q$8</c:f>
              <c:strCache>
                <c:ptCount val="12"/>
                <c:pt idx="0">
                  <c:v>SB1</c:v>
                </c:pt>
                <c:pt idx="1">
                  <c:v>SB2</c:v>
                </c:pt>
                <c:pt idx="2">
                  <c:v>SB3</c:v>
                </c:pt>
                <c:pt idx="3">
                  <c:v>DB1</c:v>
                </c:pt>
                <c:pt idx="4">
                  <c:v>DB2</c:v>
                </c:pt>
                <c:pt idx="5">
                  <c:v>DB3</c:v>
                </c:pt>
                <c:pt idx="6">
                  <c:v>DB4</c:v>
                </c:pt>
                <c:pt idx="7">
                  <c:v>DB5</c:v>
                </c:pt>
                <c:pt idx="8">
                  <c:v>FB1</c:v>
                </c:pt>
                <c:pt idx="9">
                  <c:v>FB2</c:v>
                </c:pt>
                <c:pt idx="10">
                  <c:v>FB3</c:v>
                </c:pt>
                <c:pt idx="11">
                  <c:v>FB4</c:v>
                </c:pt>
              </c:strCache>
            </c:strRef>
          </c:cat>
          <c:val>
            <c:numRef>
              <c:f>Scenarios!$F$62:$Q$62</c:f>
              <c:numCache>
                <c:formatCode>0.0</c:formatCode>
                <c:ptCount val="12"/>
                <c:pt idx="0">
                  <c:v>7.618502718819764E-2</c:v>
                </c:pt>
                <c:pt idx="1">
                  <c:v>0.31219797767760621</c:v>
                </c:pt>
                <c:pt idx="2">
                  <c:v>1.6132649007168185</c:v>
                </c:pt>
                <c:pt idx="3">
                  <c:v>9.8097340477901977E-4</c:v>
                </c:pt>
                <c:pt idx="4">
                  <c:v>9.0060264724347847E-2</c:v>
                </c:pt>
                <c:pt idx="5">
                  <c:v>3.0196535302440226E-2</c:v>
                </c:pt>
                <c:pt idx="6">
                  <c:v>8.5080253375352674E-2</c:v>
                </c:pt>
                <c:pt idx="7">
                  <c:v>0</c:v>
                </c:pt>
                <c:pt idx="8">
                  <c:v>0</c:v>
                </c:pt>
                <c:pt idx="9">
                  <c:v>0.15726656402057085</c:v>
                </c:pt>
                <c:pt idx="10">
                  <c:v>0.20285754244994322</c:v>
                </c:pt>
                <c:pt idx="11">
                  <c:v>2.3891103944588767</c:v>
                </c:pt>
              </c:numCache>
            </c:numRef>
          </c:val>
          <c:extLst>
            <c:ext xmlns:c16="http://schemas.microsoft.com/office/drawing/2014/chart" uri="{C3380CC4-5D6E-409C-BE32-E72D297353CC}">
              <c16:uniqueId val="{00000000-7C5F-C64A-BD2D-95120BD85A90}"/>
            </c:ext>
          </c:extLst>
        </c:ser>
        <c:dLbls>
          <c:showLegendKey val="0"/>
          <c:showVal val="0"/>
          <c:showCatName val="0"/>
          <c:showSerName val="0"/>
          <c:showPercent val="0"/>
          <c:showBubbleSize val="0"/>
        </c:dLbls>
        <c:gapWidth val="150"/>
        <c:axId val="1708176959"/>
        <c:axId val="1"/>
      </c:barChart>
      <c:catAx>
        <c:axId val="1708176959"/>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numFmt formatCode="0.0" sourceLinked="1"/>
        <c:majorTickMark val="out"/>
        <c:minorTickMark val="none"/>
        <c:tickLblPos val="nextTo"/>
        <c:spPr>
          <a:ln w="3175">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en-US"/>
          </a:p>
        </c:txPr>
        <c:crossAx val="1708176959"/>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2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13338580658614"/>
          <c:y val="5.6018390405194282E-2"/>
          <c:w val="0.63855259834157119"/>
          <c:h val="0.75728564807021903"/>
        </c:manualLayout>
      </c:layout>
      <c:barChart>
        <c:barDir val="col"/>
        <c:grouping val="clustered"/>
        <c:varyColors val="0"/>
        <c:ser>
          <c:idx val="0"/>
          <c:order val="0"/>
          <c:tx>
            <c:v>Baseline</c:v>
          </c:tx>
          <c:spPr>
            <a:solidFill>
              <a:srgbClr val="000000"/>
            </a:solidFill>
            <a:ln w="12700">
              <a:solidFill>
                <a:srgbClr val="000000"/>
              </a:solidFill>
              <a:prstDash val="solid"/>
            </a:ln>
          </c:spPr>
          <c:invertIfNegative val="0"/>
          <c:cat>
            <c:strRef>
              <c:f>Scenarios!$F$8:$Q$8</c:f>
              <c:strCache>
                <c:ptCount val="12"/>
                <c:pt idx="0">
                  <c:v>SB1</c:v>
                </c:pt>
                <c:pt idx="1">
                  <c:v>SB2</c:v>
                </c:pt>
                <c:pt idx="2">
                  <c:v>SB3</c:v>
                </c:pt>
                <c:pt idx="3">
                  <c:v>DB1</c:v>
                </c:pt>
                <c:pt idx="4">
                  <c:v>DB2</c:v>
                </c:pt>
                <c:pt idx="5">
                  <c:v>DB3</c:v>
                </c:pt>
                <c:pt idx="6">
                  <c:v>DB4</c:v>
                </c:pt>
                <c:pt idx="7">
                  <c:v>DB5</c:v>
                </c:pt>
                <c:pt idx="8">
                  <c:v>FB1</c:v>
                </c:pt>
                <c:pt idx="9">
                  <c:v>FB2</c:v>
                </c:pt>
                <c:pt idx="10">
                  <c:v>FB3</c:v>
                </c:pt>
                <c:pt idx="11">
                  <c:v>FB4</c:v>
                </c:pt>
              </c:strCache>
            </c:strRef>
          </c:cat>
          <c:val>
            <c:numRef>
              <c:f>Data!$F$139:$Q$139</c:f>
              <c:numCache>
                <c:formatCode>#,##0.0</c:formatCode>
                <c:ptCount val="12"/>
                <c:pt idx="0">
                  <c:v>0.78960108932527329</c:v>
                </c:pt>
                <c:pt idx="1">
                  <c:v>0.24405719551074118</c:v>
                </c:pt>
                <c:pt idx="2">
                  <c:v>13.501330687683479</c:v>
                </c:pt>
                <c:pt idx="3">
                  <c:v>8.1752534895643816</c:v>
                </c:pt>
                <c:pt idx="4">
                  <c:v>0.53188553296758267</c:v>
                </c:pt>
                <c:pt idx="5">
                  <c:v>22.848032582188722</c:v>
                </c:pt>
                <c:pt idx="6">
                  <c:v>1.2421800663282481</c:v>
                </c:pt>
                <c:pt idx="7">
                  <c:v>16.845731096105467</c:v>
                </c:pt>
                <c:pt idx="8">
                  <c:v>28.944227427729075</c:v>
                </c:pt>
                <c:pt idx="9">
                  <c:v>2.3279116682297873</c:v>
                </c:pt>
                <c:pt idx="10">
                  <c:v>8.310250884738247</c:v>
                </c:pt>
                <c:pt idx="11">
                  <c:v>0.30713919742961898</c:v>
                </c:pt>
              </c:numCache>
            </c:numRef>
          </c:val>
          <c:extLst>
            <c:ext xmlns:c16="http://schemas.microsoft.com/office/drawing/2014/chart" uri="{C3380CC4-5D6E-409C-BE32-E72D297353CC}">
              <c16:uniqueId val="{00000000-12E1-6443-A2CC-330F2B1E8022}"/>
            </c:ext>
          </c:extLst>
        </c:ser>
        <c:ser>
          <c:idx val="1"/>
          <c:order val="1"/>
          <c:tx>
            <c:v>Stress</c:v>
          </c:tx>
          <c:spPr>
            <a:solidFill>
              <a:srgbClr val="993366"/>
            </a:solidFill>
            <a:ln w="12700">
              <a:solidFill>
                <a:srgbClr val="000000"/>
              </a:solidFill>
              <a:prstDash val="solid"/>
            </a:ln>
          </c:spPr>
          <c:invertIfNegative val="0"/>
          <c:val>
            <c:numRef>
              <c:f>Scenarios!$F$82:$Q$82</c:f>
              <c:numCache>
                <c:formatCode>#,##0.0</c:formatCode>
                <c:ptCount val="12"/>
                <c:pt idx="0">
                  <c:v>-0.4085096301304102</c:v>
                </c:pt>
                <c:pt idx="1">
                  <c:v>-4.7715340315502566</c:v>
                </c:pt>
                <c:pt idx="2">
                  <c:v>-40.626124923553959</c:v>
                </c:pt>
                <c:pt idx="3">
                  <c:v>4.1833801701823567</c:v>
                </c:pt>
                <c:pt idx="4">
                  <c:v>-0.62341336147134163</c:v>
                </c:pt>
                <c:pt idx="5">
                  <c:v>10.474640978309951</c:v>
                </c:pt>
                <c:pt idx="6">
                  <c:v>-0.13398328216392408</c:v>
                </c:pt>
                <c:pt idx="7">
                  <c:v>10.340659541618439</c:v>
                </c:pt>
                <c:pt idx="8">
                  <c:v>12.881732004771246</c:v>
                </c:pt>
                <c:pt idx="9">
                  <c:v>0.89438936190738683</c:v>
                </c:pt>
                <c:pt idx="10">
                  <c:v>1.0785978337900877</c:v>
                </c:pt>
                <c:pt idx="11">
                  <c:v>-1.5902322750973932</c:v>
                </c:pt>
              </c:numCache>
            </c:numRef>
          </c:val>
          <c:extLst>
            <c:ext xmlns:c16="http://schemas.microsoft.com/office/drawing/2014/chart" uri="{C3380CC4-5D6E-409C-BE32-E72D297353CC}">
              <c16:uniqueId val="{00000001-12E1-6443-A2CC-330F2B1E8022}"/>
            </c:ext>
          </c:extLst>
        </c:ser>
        <c:dLbls>
          <c:showLegendKey val="0"/>
          <c:showVal val="0"/>
          <c:showCatName val="0"/>
          <c:showSerName val="0"/>
          <c:showPercent val="0"/>
          <c:showBubbleSize val="0"/>
        </c:dLbls>
        <c:gapWidth val="150"/>
        <c:axId val="1708207503"/>
        <c:axId val="1"/>
      </c:barChart>
      <c:catAx>
        <c:axId val="1708207503"/>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16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650" b="0" i="0" u="none" strike="noStrike" baseline="0">
                <a:solidFill>
                  <a:srgbClr val="000000"/>
                </a:solidFill>
                <a:latin typeface="Arial"/>
                <a:ea typeface="Arial"/>
                <a:cs typeface="Arial"/>
              </a:defRPr>
            </a:pPr>
            <a:endParaRPr lang="en-US"/>
          </a:p>
        </c:txPr>
        <c:crossAx val="1708207503"/>
        <c:crosses val="autoZero"/>
        <c:crossBetween val="between"/>
        <c:majorUnit val="5"/>
      </c:valAx>
      <c:spPr>
        <a:noFill/>
        <a:ln w="12700">
          <a:solidFill>
            <a:srgbClr val="808080"/>
          </a:solidFill>
          <a:prstDash val="solid"/>
        </a:ln>
      </c:spPr>
    </c:plotArea>
    <c:legend>
      <c:legendPos val="r"/>
      <c:layout>
        <c:manualLayout>
          <c:xMode val="edge"/>
          <c:yMode val="edge"/>
          <c:x val="0.81287011800378173"/>
          <c:y val="0.29254048322712572"/>
          <c:w val="0.18165720470061938"/>
          <c:h val="0.37968020163520572"/>
        </c:manualLayout>
      </c:layout>
      <c:overlay val="0"/>
      <c:spPr>
        <a:solidFill>
          <a:srgbClr val="FFFFFF"/>
        </a:solidFill>
        <a:ln w="3175">
          <a:solidFill>
            <a:srgbClr val="000000"/>
          </a:solidFill>
          <a:prstDash val="solid"/>
        </a:ln>
      </c:spPr>
      <c:txPr>
        <a:bodyPr/>
        <a:lstStyle/>
        <a:p>
          <a:pPr>
            <a:defRPr sz="15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6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62862202777949"/>
          <c:y val="8.3626254342773723E-2"/>
          <c:w val="0.71928913376406867"/>
          <c:h val="0.8014182707849149"/>
        </c:manualLayout>
      </c:layout>
      <c:barChart>
        <c:barDir val="col"/>
        <c:grouping val="clustered"/>
        <c:varyColors val="0"/>
        <c:ser>
          <c:idx val="0"/>
          <c:order val="0"/>
          <c:tx>
            <c:v>Day 1</c:v>
          </c:tx>
          <c:spPr>
            <a:solidFill>
              <a:srgbClr val="FFFFFF"/>
            </a:solidFill>
            <a:ln w="12700">
              <a:solidFill>
                <a:srgbClr val="000000"/>
              </a:solidFill>
              <a:prstDash val="solid"/>
            </a:ln>
          </c:spPr>
          <c:invertIfNegative val="0"/>
          <c:cat>
            <c:strRef>
              <c:f>Data!$F$3:$Q$3</c:f>
              <c:strCache>
                <c:ptCount val="12"/>
                <c:pt idx="0">
                  <c:v>SB1</c:v>
                </c:pt>
                <c:pt idx="1">
                  <c:v>SB2</c:v>
                </c:pt>
                <c:pt idx="2">
                  <c:v>SB3</c:v>
                </c:pt>
                <c:pt idx="3">
                  <c:v>DB1</c:v>
                </c:pt>
                <c:pt idx="4">
                  <c:v>DB2</c:v>
                </c:pt>
                <c:pt idx="5">
                  <c:v>DB3</c:v>
                </c:pt>
                <c:pt idx="6">
                  <c:v>DB4</c:v>
                </c:pt>
                <c:pt idx="7">
                  <c:v>DB5</c:v>
                </c:pt>
                <c:pt idx="8">
                  <c:v>FB1</c:v>
                </c:pt>
                <c:pt idx="9">
                  <c:v>FB2</c:v>
                </c:pt>
                <c:pt idx="10">
                  <c:v>FB3</c:v>
                </c:pt>
                <c:pt idx="11">
                  <c:v>FB4</c:v>
                </c:pt>
              </c:strCache>
            </c:strRef>
          </c:cat>
          <c:val>
            <c:numRef>
              <c:f>Liquidity!$F$26:$Q$26</c:f>
              <c:numCache>
                <c:formatCode>#,##0</c:formatCode>
                <c:ptCount val="12"/>
                <c:pt idx="0">
                  <c:v>193.79382573902831</c:v>
                </c:pt>
                <c:pt idx="1">
                  <c:v>85.290713844995025</c:v>
                </c:pt>
                <c:pt idx="2">
                  <c:v>467.39478862265423</c:v>
                </c:pt>
                <c:pt idx="3">
                  <c:v>8.4262617127913586</c:v>
                </c:pt>
                <c:pt idx="4">
                  <c:v>164.42408037803671</c:v>
                </c:pt>
                <c:pt idx="5">
                  <c:v>460.70582783773125</c:v>
                </c:pt>
                <c:pt idx="6">
                  <c:v>214.02478338177229</c:v>
                </c:pt>
                <c:pt idx="7">
                  <c:v>421.79457759462548</c:v>
                </c:pt>
                <c:pt idx="8">
                  <c:v>2098.0614106454632</c:v>
                </c:pt>
                <c:pt idx="9">
                  <c:v>424.8367795058457</c:v>
                </c:pt>
                <c:pt idx="10">
                  <c:v>1061.4596520327932</c:v>
                </c:pt>
                <c:pt idx="11">
                  <c:v>10320.904873334759</c:v>
                </c:pt>
              </c:numCache>
            </c:numRef>
          </c:val>
          <c:extLst>
            <c:ext xmlns:c16="http://schemas.microsoft.com/office/drawing/2014/chart" uri="{C3380CC4-5D6E-409C-BE32-E72D297353CC}">
              <c16:uniqueId val="{00000000-B6FF-2A41-85F9-47922291AF2D}"/>
            </c:ext>
          </c:extLst>
        </c:ser>
        <c:ser>
          <c:idx val="1"/>
          <c:order val="1"/>
          <c:tx>
            <c:v>Day 2</c:v>
          </c:tx>
          <c:spPr>
            <a:solidFill>
              <a:srgbClr val="000000"/>
            </a:solidFill>
            <a:ln w="12700">
              <a:solidFill>
                <a:srgbClr val="000000"/>
              </a:solidFill>
              <a:prstDash val="solid"/>
            </a:ln>
          </c:spPr>
          <c:invertIfNegative val="0"/>
          <c:val>
            <c:numRef>
              <c:f>Liquidity!$F$37:$Q$37</c:f>
              <c:numCache>
                <c:formatCode>#,##0</c:formatCode>
                <c:ptCount val="12"/>
                <c:pt idx="0">
                  <c:v>66.894315813500953</c:v>
                </c:pt>
                <c:pt idx="1">
                  <c:v>-44.786434575200019</c:v>
                </c:pt>
                <c:pt idx="2">
                  <c:v>-167.1606378295819</c:v>
                </c:pt>
                <c:pt idx="3">
                  <c:v>-4.5196436387410586</c:v>
                </c:pt>
                <c:pt idx="4">
                  <c:v>103.06323267147127</c:v>
                </c:pt>
                <c:pt idx="5">
                  <c:v>242.68308442876878</c:v>
                </c:pt>
                <c:pt idx="6">
                  <c:v>143.97990901905837</c:v>
                </c:pt>
                <c:pt idx="7">
                  <c:v>289.00228934243023</c:v>
                </c:pt>
                <c:pt idx="8">
                  <c:v>1586.6307065021592</c:v>
                </c:pt>
                <c:pt idx="9">
                  <c:v>-172.33532068435488</c:v>
                </c:pt>
                <c:pt idx="10">
                  <c:v>914.00637380821172</c:v>
                </c:pt>
                <c:pt idx="11">
                  <c:v>10509.713832436122</c:v>
                </c:pt>
              </c:numCache>
            </c:numRef>
          </c:val>
          <c:extLst>
            <c:ext xmlns:c16="http://schemas.microsoft.com/office/drawing/2014/chart" uri="{C3380CC4-5D6E-409C-BE32-E72D297353CC}">
              <c16:uniqueId val="{00000001-B6FF-2A41-85F9-47922291AF2D}"/>
            </c:ext>
          </c:extLst>
        </c:ser>
        <c:ser>
          <c:idx val="2"/>
          <c:order val="2"/>
          <c:tx>
            <c:v>Day 3</c:v>
          </c:tx>
          <c:spPr>
            <a:solidFill>
              <a:srgbClr val="000000"/>
            </a:solidFill>
            <a:ln w="12700">
              <a:solidFill>
                <a:srgbClr val="000000"/>
              </a:solidFill>
              <a:prstDash val="solid"/>
            </a:ln>
          </c:spPr>
          <c:invertIfNegative val="0"/>
          <c:val>
            <c:numRef>
              <c:f>Liquidity!$F$48:$Q$48</c:f>
              <c:numCache>
                <c:formatCode>#,##0</c:formatCode>
                <c:ptCount val="12"/>
                <c:pt idx="0">
                  <c:v>-57.322182497721542</c:v>
                </c:pt>
                <c:pt idx="1">
                  <c:v>-167.86107998413127</c:v>
                </c:pt>
                <c:pt idx="2">
                  <c:v>-770.10429319029208</c:v>
                </c:pt>
                <c:pt idx="3">
                  <c:v>-16.814679250538035</c:v>
                </c:pt>
                <c:pt idx="4">
                  <c:v>39.143396779574687</c:v>
                </c:pt>
                <c:pt idx="5">
                  <c:v>23.658665274629129</c:v>
                </c:pt>
                <c:pt idx="6">
                  <c:v>69.566563586622351</c:v>
                </c:pt>
                <c:pt idx="7">
                  <c:v>148.14560790400992</c:v>
                </c:pt>
                <c:pt idx="8">
                  <c:v>1019.9390323384414</c:v>
                </c:pt>
                <c:pt idx="9">
                  <c:v>-747.04179241661222</c:v>
                </c:pt>
                <c:pt idx="10">
                  <c:v>729.6526373409406</c:v>
                </c:pt>
                <c:pt idx="11">
                  <c:v>10202.60543033143</c:v>
                </c:pt>
              </c:numCache>
            </c:numRef>
          </c:val>
          <c:extLst>
            <c:ext xmlns:c16="http://schemas.microsoft.com/office/drawing/2014/chart" uri="{C3380CC4-5D6E-409C-BE32-E72D297353CC}">
              <c16:uniqueId val="{00000002-B6FF-2A41-85F9-47922291AF2D}"/>
            </c:ext>
          </c:extLst>
        </c:ser>
        <c:ser>
          <c:idx val="3"/>
          <c:order val="3"/>
          <c:tx>
            <c:v>Day 4</c:v>
          </c:tx>
          <c:spPr>
            <a:solidFill>
              <a:srgbClr val="000000"/>
            </a:solidFill>
            <a:ln w="12700">
              <a:solidFill>
                <a:srgbClr val="000000"/>
              </a:solidFill>
              <a:prstDash val="solid"/>
            </a:ln>
          </c:spPr>
          <c:invertIfNegative val="0"/>
          <c:val>
            <c:numRef>
              <c:f>Liquidity!$F$59:$Q$59</c:f>
              <c:numCache>
                <c:formatCode>#,##0</c:formatCode>
                <c:ptCount val="12"/>
                <c:pt idx="0">
                  <c:v>-165.32774980623435</c:v>
                </c:pt>
                <c:pt idx="1">
                  <c:v>-275.3195643577219</c:v>
                </c:pt>
                <c:pt idx="2">
                  <c:v>-1296.4593916752019</c:v>
                </c:pt>
                <c:pt idx="3">
                  <c:v>-27.576957140583573</c:v>
                </c:pt>
                <c:pt idx="4">
                  <c:v>-17.316394515928096</c:v>
                </c:pt>
                <c:pt idx="5">
                  <c:v>-167.00511477185864</c:v>
                </c:pt>
                <c:pt idx="6">
                  <c:v>3.5303458895623407</c:v>
                </c:pt>
                <c:pt idx="7">
                  <c:v>24.055475693287462</c:v>
                </c:pt>
                <c:pt idx="8">
                  <c:v>516.61445566636939</c:v>
                </c:pt>
                <c:pt idx="9">
                  <c:v>-1255.4466791991872</c:v>
                </c:pt>
                <c:pt idx="10">
                  <c:v>564.16184019415368</c:v>
                </c:pt>
                <c:pt idx="11">
                  <c:v>9881.0592681771996</c:v>
                </c:pt>
              </c:numCache>
            </c:numRef>
          </c:val>
          <c:extLst>
            <c:ext xmlns:c16="http://schemas.microsoft.com/office/drawing/2014/chart" uri="{C3380CC4-5D6E-409C-BE32-E72D297353CC}">
              <c16:uniqueId val="{00000003-B6FF-2A41-85F9-47922291AF2D}"/>
            </c:ext>
          </c:extLst>
        </c:ser>
        <c:ser>
          <c:idx val="4"/>
          <c:order val="4"/>
          <c:tx>
            <c:v>Day 5</c:v>
          </c:tx>
          <c:spPr>
            <a:solidFill>
              <a:srgbClr val="000000"/>
            </a:solidFill>
            <a:ln w="12700">
              <a:solidFill>
                <a:srgbClr val="000000"/>
              </a:solidFill>
              <a:prstDash val="solid"/>
            </a:ln>
          </c:spPr>
          <c:invertIfNegative val="0"/>
          <c:val>
            <c:numRef>
              <c:f>Liquidity!$F$70:$Q$70</c:f>
              <c:numCache>
                <c:formatCode>#,##0</c:formatCode>
                <c:ptCount val="12"/>
                <c:pt idx="0">
                  <c:v>-258.70291138265202</c:v>
                </c:pt>
                <c:pt idx="1">
                  <c:v>-368.86868216376456</c:v>
                </c:pt>
                <c:pt idx="2">
                  <c:v>-1754.0352337027416</c:v>
                </c:pt>
                <c:pt idx="3">
                  <c:v>-36.952418727064213</c:v>
                </c:pt>
                <c:pt idx="4">
                  <c:v>-66.800834248124829</c:v>
                </c:pt>
                <c:pt idx="5">
                  <c:v>-331.72255736525358</c:v>
                </c:pt>
                <c:pt idx="6">
                  <c:v>-54.566526369906569</c:v>
                </c:pt>
                <c:pt idx="7">
                  <c:v>-84.19114905041215</c:v>
                </c:pt>
                <c:pt idx="8">
                  <c:v>74.649890684526326</c:v>
                </c:pt>
                <c:pt idx="9">
                  <c:v>-1702.7518730485481</c:v>
                </c:pt>
                <c:pt idx="10">
                  <c:v>417.84381798797403</c:v>
                </c:pt>
                <c:pt idx="11">
                  <c:v>9568.8299663658327</c:v>
                </c:pt>
              </c:numCache>
            </c:numRef>
          </c:val>
          <c:extLst>
            <c:ext xmlns:c16="http://schemas.microsoft.com/office/drawing/2014/chart" uri="{C3380CC4-5D6E-409C-BE32-E72D297353CC}">
              <c16:uniqueId val="{00000004-B6FF-2A41-85F9-47922291AF2D}"/>
            </c:ext>
          </c:extLst>
        </c:ser>
        <c:dLbls>
          <c:showLegendKey val="0"/>
          <c:showVal val="0"/>
          <c:showCatName val="0"/>
          <c:showSerName val="0"/>
          <c:showPercent val="0"/>
          <c:showBubbleSize val="0"/>
        </c:dLbls>
        <c:gapWidth val="150"/>
        <c:axId val="1667935199"/>
        <c:axId val="1"/>
      </c:barChart>
      <c:catAx>
        <c:axId val="1667935199"/>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4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Times New Roman"/>
                <a:ea typeface="Times New Roman"/>
                <a:cs typeface="Times New Roman"/>
              </a:defRPr>
            </a:pPr>
            <a:endParaRPr lang="en-US"/>
          </a:p>
        </c:txPr>
        <c:crossAx val="1667935199"/>
        <c:crosses val="autoZero"/>
        <c:crossBetween val="between"/>
      </c:valAx>
      <c:spPr>
        <a:noFill/>
        <a:ln w="12700">
          <a:solidFill>
            <a:srgbClr val="808080"/>
          </a:solidFill>
          <a:prstDash val="solid"/>
        </a:ln>
      </c:spPr>
    </c:plotArea>
    <c:legend>
      <c:legendPos val="r"/>
      <c:layout>
        <c:manualLayout>
          <c:xMode val="edge"/>
          <c:yMode val="edge"/>
          <c:x val="0.8825971258686659"/>
          <c:y val="0.31011402652111925"/>
          <c:w val="0.10826035431653075"/>
          <c:h val="0.38677142633532846"/>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6350">
      <a:noFill/>
    </a:ln>
  </c:spPr>
  <c:txPr>
    <a:bodyPr/>
    <a:lstStyle/>
    <a:p>
      <a:pPr>
        <a:defRPr sz="15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889000</xdr:colOff>
      <xdr:row>0</xdr:row>
      <xdr:rowOff>190500</xdr:rowOff>
    </xdr:from>
    <xdr:to>
      <xdr:col>13</xdr:col>
      <xdr:colOff>596900</xdr:colOff>
      <xdr:row>20</xdr:row>
      <xdr:rowOff>165100</xdr:rowOff>
    </xdr:to>
    <xdr:graphicFrame macro="">
      <xdr:nvGraphicFramePr>
        <xdr:cNvPr id="5122" name="Chart 2">
          <a:extLst>
            <a:ext uri="{FF2B5EF4-FFF2-40B4-BE49-F238E27FC236}">
              <a16:creationId xmlns:a16="http://schemas.microsoft.com/office/drawing/2014/main" id="{B2D27F0B-D923-DE7E-6861-D987516E9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22</xdr:row>
      <xdr:rowOff>25400</xdr:rowOff>
    </xdr:from>
    <xdr:to>
      <xdr:col>12</xdr:col>
      <xdr:colOff>901700</xdr:colOff>
      <xdr:row>44</xdr:row>
      <xdr:rowOff>152400</xdr:rowOff>
    </xdr:to>
    <xdr:graphicFrame macro="">
      <xdr:nvGraphicFramePr>
        <xdr:cNvPr id="5357" name="Chart 237">
          <a:extLst>
            <a:ext uri="{FF2B5EF4-FFF2-40B4-BE49-F238E27FC236}">
              <a16:creationId xmlns:a16="http://schemas.microsoft.com/office/drawing/2014/main" id="{17717C41-8E57-B111-BEA1-B64F248ED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901700</xdr:colOff>
      <xdr:row>21</xdr:row>
      <xdr:rowOff>177800</xdr:rowOff>
    </xdr:from>
    <xdr:to>
      <xdr:col>20</xdr:col>
      <xdr:colOff>787400</xdr:colOff>
      <xdr:row>44</xdr:row>
      <xdr:rowOff>88900</xdr:rowOff>
    </xdr:to>
    <xdr:graphicFrame macro="">
      <xdr:nvGraphicFramePr>
        <xdr:cNvPr id="5358" name="Chart 238">
          <a:extLst>
            <a:ext uri="{FF2B5EF4-FFF2-40B4-BE49-F238E27FC236}">
              <a16:creationId xmlns:a16="http://schemas.microsoft.com/office/drawing/2014/main" id="{C8416779-D42A-D2A7-9E01-0EE341561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45</xdr:row>
      <xdr:rowOff>25400</xdr:rowOff>
    </xdr:from>
    <xdr:to>
      <xdr:col>17</xdr:col>
      <xdr:colOff>635000</xdr:colOff>
      <xdr:row>67</xdr:row>
      <xdr:rowOff>25400</xdr:rowOff>
    </xdr:to>
    <xdr:graphicFrame macro="">
      <xdr:nvGraphicFramePr>
        <xdr:cNvPr id="5359" name="Chart 239">
          <a:extLst>
            <a:ext uri="{FF2B5EF4-FFF2-40B4-BE49-F238E27FC236}">
              <a16:creationId xmlns:a16="http://schemas.microsoft.com/office/drawing/2014/main" id="{E885A8D4-0A92-C244-C0B0-24EDAFB0E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127000</xdr:colOff>
      <xdr:row>44</xdr:row>
      <xdr:rowOff>139700</xdr:rowOff>
    </xdr:from>
    <xdr:to>
      <xdr:col>25</xdr:col>
      <xdr:colOff>787400</xdr:colOff>
      <xdr:row>66</xdr:row>
      <xdr:rowOff>101600</xdr:rowOff>
    </xdr:to>
    <xdr:graphicFrame macro="">
      <xdr:nvGraphicFramePr>
        <xdr:cNvPr id="5360" name="Chart 240">
          <a:extLst>
            <a:ext uri="{FF2B5EF4-FFF2-40B4-BE49-F238E27FC236}">
              <a16:creationId xmlns:a16="http://schemas.microsoft.com/office/drawing/2014/main" id="{F9EA3E00-C75B-F8AA-B6B5-EF721F65A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292100</xdr:colOff>
      <xdr:row>66</xdr:row>
      <xdr:rowOff>165100</xdr:rowOff>
    </xdr:from>
    <xdr:to>
      <xdr:col>20</xdr:col>
      <xdr:colOff>762000</xdr:colOff>
      <xdr:row>90</xdr:row>
      <xdr:rowOff>12700</xdr:rowOff>
    </xdr:to>
    <xdr:graphicFrame macro="">
      <xdr:nvGraphicFramePr>
        <xdr:cNvPr id="5361" name="Chart 241">
          <a:extLst>
            <a:ext uri="{FF2B5EF4-FFF2-40B4-BE49-F238E27FC236}">
              <a16:creationId xmlns:a16="http://schemas.microsoft.com/office/drawing/2014/main" id="{04AF1F6F-7E7A-F00D-897F-D3EEA31AE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863600</xdr:colOff>
      <xdr:row>0</xdr:row>
      <xdr:rowOff>190500</xdr:rowOff>
    </xdr:from>
    <xdr:to>
      <xdr:col>21</xdr:col>
      <xdr:colOff>228600</xdr:colOff>
      <xdr:row>21</xdr:row>
      <xdr:rowOff>63500</xdr:rowOff>
    </xdr:to>
    <xdr:graphicFrame macro="">
      <xdr:nvGraphicFramePr>
        <xdr:cNvPr id="5362" name="Chart 242">
          <a:extLst>
            <a:ext uri="{FF2B5EF4-FFF2-40B4-BE49-F238E27FC236}">
              <a16:creationId xmlns:a16="http://schemas.microsoft.com/office/drawing/2014/main" id="{08618901-E673-C8EF-E9A0-B973697F2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647700</xdr:colOff>
      <xdr:row>66</xdr:row>
      <xdr:rowOff>165100</xdr:rowOff>
    </xdr:from>
    <xdr:to>
      <xdr:col>28</xdr:col>
      <xdr:colOff>50800</xdr:colOff>
      <xdr:row>92</xdr:row>
      <xdr:rowOff>266700</xdr:rowOff>
    </xdr:to>
    <xdr:graphicFrame macro="">
      <xdr:nvGraphicFramePr>
        <xdr:cNvPr id="5365" name="Chart 245">
          <a:extLst>
            <a:ext uri="{FF2B5EF4-FFF2-40B4-BE49-F238E27FC236}">
              <a16:creationId xmlns:a16="http://schemas.microsoft.com/office/drawing/2014/main" id="{FD51F200-10C1-B2F3-319C-D3955074E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635000</xdr:colOff>
      <xdr:row>92</xdr:row>
      <xdr:rowOff>520700</xdr:rowOff>
    </xdr:from>
    <xdr:to>
      <xdr:col>13</xdr:col>
      <xdr:colOff>38100</xdr:colOff>
      <xdr:row>109</xdr:row>
      <xdr:rowOff>25400</xdr:rowOff>
    </xdr:to>
    <xdr:graphicFrame macro="">
      <xdr:nvGraphicFramePr>
        <xdr:cNvPr id="5366" name="Chart 246">
          <a:extLst>
            <a:ext uri="{FF2B5EF4-FFF2-40B4-BE49-F238E27FC236}">
              <a16:creationId xmlns:a16="http://schemas.microsoft.com/office/drawing/2014/main" id="{FDF7F900-C5D5-9EF2-C041-95AAF92BE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317500</xdr:colOff>
      <xdr:row>92</xdr:row>
      <xdr:rowOff>520700</xdr:rowOff>
    </xdr:from>
    <xdr:to>
      <xdr:col>20</xdr:col>
      <xdr:colOff>787400</xdr:colOff>
      <xdr:row>109</xdr:row>
      <xdr:rowOff>101600</xdr:rowOff>
    </xdr:to>
    <xdr:graphicFrame macro="">
      <xdr:nvGraphicFramePr>
        <xdr:cNvPr id="5367" name="Chart 247">
          <a:extLst>
            <a:ext uri="{FF2B5EF4-FFF2-40B4-BE49-F238E27FC236}">
              <a16:creationId xmlns:a16="http://schemas.microsoft.com/office/drawing/2014/main" id="{F4F0C63E-C7B5-D452-4C0C-DFE211348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0.01053</cdr:x>
      <cdr:y>0.07441</cdr:y>
    </cdr:from>
    <cdr:to>
      <cdr:x>0.06645</cdr:x>
      <cdr:y>0.85073</cdr:y>
    </cdr:to>
    <cdr:sp macro="" textlink="">
      <cdr:nvSpPr>
        <cdr:cNvPr id="29697" name="Text Box 1">
          <a:extLst xmlns:a="http://schemas.openxmlformats.org/drawingml/2006/main">
            <a:ext uri="{FF2B5EF4-FFF2-40B4-BE49-F238E27FC236}">
              <a16:creationId xmlns:a16="http://schemas.microsoft.com/office/drawing/2014/main" id="{469A408A-B86A-EE6C-AD7F-3C68E354686C}"/>
            </a:ext>
          </a:extLst>
        </cdr:cNvPr>
        <cdr:cNvSpPr txBox="1">
          <a:spLocks xmlns:a="http://schemas.openxmlformats.org/drawingml/2006/main" noChangeArrowheads="1"/>
        </cdr:cNvSpPr>
      </cdr:nvSpPr>
      <cdr:spPr bwMode="auto">
        <a:xfrm xmlns:a="http://schemas.openxmlformats.org/drawingml/2006/main">
          <a:off x="73006" y="272161"/>
          <a:ext cx="387750" cy="283946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200" b="0" i="0" u="none" strike="noStrike" baseline="0">
              <a:solidFill>
                <a:srgbClr val="000000"/>
              </a:solidFill>
              <a:latin typeface="Times New Roman" pitchFamily="1" charset="0"/>
              <a:cs typeface="Times New Roman" pitchFamily="1" charset="0"/>
            </a:rPr>
            <a:t>Liquidity available (B$ million)</a:t>
          </a:r>
        </a:p>
      </cdr:txBody>
    </cdr:sp>
  </cdr:relSizeAnchor>
  <cdr:relSizeAnchor xmlns:cdr="http://schemas.openxmlformats.org/drawingml/2006/chartDrawing">
    <cdr:from>
      <cdr:x>0.15759</cdr:x>
      <cdr:y>0.10066</cdr:y>
    </cdr:from>
    <cdr:to>
      <cdr:x>0.59755</cdr:x>
      <cdr:y>0.16774</cdr:y>
    </cdr:to>
    <cdr:sp macro="" textlink="">
      <cdr:nvSpPr>
        <cdr:cNvPr id="29698" name="Text Box 2">
          <a:extLst xmlns:a="http://schemas.openxmlformats.org/drawingml/2006/main">
            <a:ext uri="{FF2B5EF4-FFF2-40B4-BE49-F238E27FC236}">
              <a16:creationId xmlns:a16="http://schemas.microsoft.com/office/drawing/2014/main" id="{0017E5F3-989D-27CE-851D-B6AF7E49C39C}"/>
            </a:ext>
          </a:extLst>
        </cdr:cNvPr>
        <cdr:cNvSpPr txBox="1">
          <a:spLocks xmlns:a="http://schemas.openxmlformats.org/drawingml/2006/main" noChangeArrowheads="1"/>
        </cdr:cNvSpPr>
      </cdr:nvSpPr>
      <cdr:spPr bwMode="auto">
        <a:xfrm xmlns:a="http://schemas.openxmlformats.org/drawingml/2006/main">
          <a:off x="1092772" y="368173"/>
          <a:ext cx="3050755" cy="24536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1200" b="0" i="0" u="none" strike="noStrike" baseline="0">
              <a:solidFill>
                <a:srgbClr val="000000"/>
              </a:solidFill>
              <a:latin typeface="Times New Roman" pitchFamily="1" charset="0"/>
              <a:cs typeface="Times New Roman" pitchFamily="1" charset="0"/>
            </a:rPr>
            <a:t>Basic liquidity test ("proportional withdrawals")</a:t>
          </a:r>
        </a:p>
      </cdr:txBody>
    </cdr:sp>
  </cdr:relSizeAnchor>
</c:userShapes>
</file>

<file path=xl/drawings/drawing11.xml><?xml version="1.0" encoding="utf-8"?>
<c:userShapes xmlns:c="http://schemas.openxmlformats.org/drawingml/2006/chart">
  <cdr:relSizeAnchor xmlns:cdr="http://schemas.openxmlformats.org/drawingml/2006/chartDrawing">
    <cdr:from>
      <cdr:x>0.01015</cdr:x>
      <cdr:y>0.07246</cdr:y>
    </cdr:from>
    <cdr:to>
      <cdr:x>0.0651</cdr:x>
      <cdr:y>0.84729</cdr:y>
    </cdr:to>
    <cdr:sp macro="" textlink="">
      <cdr:nvSpPr>
        <cdr:cNvPr id="38913" name="Text Box 1">
          <a:extLst xmlns:a="http://schemas.openxmlformats.org/drawingml/2006/main">
            <a:ext uri="{FF2B5EF4-FFF2-40B4-BE49-F238E27FC236}">
              <a16:creationId xmlns:a16="http://schemas.microsoft.com/office/drawing/2014/main" id="{67F86D0C-4165-0784-50C7-B3D9507C9BDB}"/>
            </a:ext>
          </a:extLst>
        </cdr:cNvPr>
        <cdr:cNvSpPr txBox="1">
          <a:spLocks xmlns:a="http://schemas.openxmlformats.org/drawingml/2006/main" noChangeArrowheads="1"/>
        </cdr:cNvSpPr>
      </cdr:nvSpPr>
      <cdr:spPr bwMode="auto">
        <a:xfrm xmlns:a="http://schemas.openxmlformats.org/drawingml/2006/main">
          <a:off x="71679" y="270548"/>
          <a:ext cx="387998" cy="289304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200" b="0" i="0" u="none" strike="noStrike" baseline="0">
              <a:solidFill>
                <a:srgbClr val="000000"/>
              </a:solidFill>
              <a:latin typeface="Times New Roman" pitchFamily="1" charset="0"/>
              <a:cs typeface="Times New Roman" pitchFamily="1" charset="0"/>
            </a:rPr>
            <a:t>Liquidity available (B$ million)</a:t>
          </a:r>
        </a:p>
      </cdr:txBody>
    </cdr:sp>
  </cdr:relSizeAnchor>
  <cdr:relSizeAnchor xmlns:cdr="http://schemas.openxmlformats.org/drawingml/2006/chartDrawing">
    <cdr:from>
      <cdr:x>0.16095</cdr:x>
      <cdr:y>0.1014</cdr:y>
    </cdr:from>
    <cdr:to>
      <cdr:x>0.52045</cdr:x>
      <cdr:y>0.16706</cdr:y>
    </cdr:to>
    <cdr:sp macro="" textlink="">
      <cdr:nvSpPr>
        <cdr:cNvPr id="38914" name="Text Box 2">
          <a:extLst xmlns:a="http://schemas.openxmlformats.org/drawingml/2006/main">
            <a:ext uri="{FF2B5EF4-FFF2-40B4-BE49-F238E27FC236}">
              <a16:creationId xmlns:a16="http://schemas.microsoft.com/office/drawing/2014/main" id="{F2CA917A-5E8A-1CB1-00C8-B900E5488988}"/>
            </a:ext>
          </a:extLst>
        </cdr:cNvPr>
        <cdr:cNvSpPr txBox="1">
          <a:spLocks xmlns:a="http://schemas.openxmlformats.org/drawingml/2006/main" noChangeArrowheads="1"/>
        </cdr:cNvSpPr>
      </cdr:nvSpPr>
      <cdr:spPr bwMode="auto">
        <a:xfrm xmlns:a="http://schemas.openxmlformats.org/drawingml/2006/main">
          <a:off x="1136498" y="378606"/>
          <a:ext cx="2538514" cy="24517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1200" b="0" i="0" u="none" strike="noStrike" baseline="0">
              <a:solidFill>
                <a:srgbClr val="000000"/>
              </a:solidFill>
              <a:latin typeface="Times New Roman" pitchFamily="1" charset="0"/>
              <a:cs typeface="Times New Roman" pitchFamily="1" charset="0"/>
            </a:rPr>
            <a:t>Flight to safety/contagion test</a:t>
          </a:r>
        </a:p>
      </cdr:txBody>
    </cdr:sp>
  </cdr:relSizeAnchor>
</c:userShapes>
</file>

<file path=xl/drawings/drawing2.xml><?xml version="1.0" encoding="utf-8"?>
<c:userShapes xmlns:c="http://schemas.openxmlformats.org/drawingml/2006/chart">
  <cdr:relSizeAnchor xmlns:cdr="http://schemas.openxmlformats.org/drawingml/2006/chartDrawing">
    <cdr:from>
      <cdr:x>0.00948</cdr:x>
      <cdr:y>0.02704</cdr:y>
    </cdr:from>
    <cdr:to>
      <cdr:x>0.11004</cdr:x>
      <cdr:y>0.91101</cdr:y>
    </cdr:to>
    <cdr:sp macro="" textlink="">
      <cdr:nvSpPr>
        <cdr:cNvPr id="7169" name="Text Box 1">
          <a:extLst xmlns:a="http://schemas.openxmlformats.org/drawingml/2006/main">
            <a:ext uri="{FF2B5EF4-FFF2-40B4-BE49-F238E27FC236}">
              <a16:creationId xmlns:a16="http://schemas.microsoft.com/office/drawing/2014/main" id="{8D0CB25C-17AF-A96F-E7E6-1740427AC8FF}"/>
            </a:ext>
          </a:extLst>
        </cdr:cNvPr>
        <cdr:cNvSpPr txBox="1">
          <a:spLocks xmlns:a="http://schemas.openxmlformats.org/drawingml/2006/main" noChangeArrowheads="1"/>
        </cdr:cNvSpPr>
      </cdr:nvSpPr>
      <cdr:spPr bwMode="auto">
        <a:xfrm xmlns:a="http://schemas.openxmlformats.org/drawingml/2006/main">
          <a:off x="50800" y="112970"/>
          <a:ext cx="538925" cy="369349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36576" tIns="27432" rIns="36576" bIns="27432" anchor="ctr" upright="1"/>
        <a:lstStyle xmlns:a="http://schemas.openxmlformats.org/drawingml/2006/main"/>
        <a:p xmlns:a="http://schemas.openxmlformats.org/drawingml/2006/main">
          <a:pPr algn="ctr" rtl="0">
            <a:defRPr sz="1000"/>
          </a:pPr>
          <a:r>
            <a:rPr lang="en-US" sz="1650" b="0" i="0" u="none" strike="noStrike" baseline="0">
              <a:solidFill>
                <a:srgbClr val="000000"/>
              </a:solidFill>
              <a:latin typeface="Arial" pitchFamily="2" charset="0"/>
              <a:cs typeface="Arial" pitchFamily="2" charset="0"/>
            </a:rPr>
            <a:t>Capital injection  (% GDP)</a:t>
          </a:r>
        </a:p>
      </cdr:txBody>
    </cdr:sp>
  </cdr:relSizeAnchor>
</c:userShapes>
</file>

<file path=xl/drawings/drawing3.xml><?xml version="1.0" encoding="utf-8"?>
<c:userShapes xmlns:c="http://schemas.openxmlformats.org/drawingml/2006/chart">
  <cdr:relSizeAnchor xmlns:cdr="http://schemas.openxmlformats.org/drawingml/2006/chartDrawing">
    <cdr:from>
      <cdr:x>0.00784</cdr:x>
      <cdr:y>0.11627</cdr:y>
    </cdr:from>
    <cdr:to>
      <cdr:x>0.10111</cdr:x>
      <cdr:y>0.9045</cdr:y>
    </cdr:to>
    <cdr:sp macro="" textlink="">
      <cdr:nvSpPr>
        <cdr:cNvPr id="9219" name="Text Box 1027">
          <a:extLst xmlns:a="http://schemas.openxmlformats.org/drawingml/2006/main">
            <a:ext uri="{FF2B5EF4-FFF2-40B4-BE49-F238E27FC236}">
              <a16:creationId xmlns:a16="http://schemas.microsoft.com/office/drawing/2014/main" id="{B7285D03-E9AE-8798-CB3C-8DBD145EC930}"/>
            </a:ext>
          </a:extLst>
        </cdr:cNvPr>
        <cdr:cNvSpPr txBox="1">
          <a:spLocks xmlns:a="http://schemas.openxmlformats.org/drawingml/2006/main" noChangeArrowheads="1"/>
        </cdr:cNvSpPr>
      </cdr:nvSpPr>
      <cdr:spPr bwMode="auto">
        <a:xfrm xmlns:a="http://schemas.openxmlformats.org/drawingml/2006/main">
          <a:off x="50800" y="528638"/>
          <a:ext cx="604069" cy="358378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550" b="0" i="0" u="none" strike="noStrike" baseline="0">
              <a:solidFill>
                <a:srgbClr val="000000"/>
              </a:solidFill>
              <a:latin typeface="Arial" pitchFamily="2" charset="0"/>
              <a:cs typeface="Arial" pitchFamily="2" charset="0"/>
            </a:rPr>
            <a:t>Capital adequacy ratio (%)</a:t>
          </a:r>
        </a:p>
      </cdr:txBody>
    </cdr:sp>
  </cdr:relSizeAnchor>
</c:userShapes>
</file>

<file path=xl/drawings/drawing4.xml><?xml version="1.0" encoding="utf-8"?>
<c:userShapes xmlns:c="http://schemas.openxmlformats.org/drawingml/2006/chart">
  <cdr:relSizeAnchor xmlns:cdr="http://schemas.openxmlformats.org/drawingml/2006/chartDrawing">
    <cdr:from>
      <cdr:x>0.00685</cdr:x>
      <cdr:y>0.15002</cdr:y>
    </cdr:from>
    <cdr:to>
      <cdr:x>0.10721</cdr:x>
      <cdr:y>0.97218</cdr:y>
    </cdr:to>
    <cdr:sp macro="" textlink="">
      <cdr:nvSpPr>
        <cdr:cNvPr id="19457" name="Text Box 1">
          <a:extLst xmlns:a="http://schemas.openxmlformats.org/drawingml/2006/main">
            <a:ext uri="{FF2B5EF4-FFF2-40B4-BE49-F238E27FC236}">
              <a16:creationId xmlns:a16="http://schemas.microsoft.com/office/drawing/2014/main" id="{F6585168-FCDC-3592-F136-EB844FAAE515}"/>
            </a:ext>
          </a:extLst>
        </cdr:cNvPr>
        <cdr:cNvSpPr txBox="1">
          <a:spLocks xmlns:a="http://schemas.openxmlformats.org/drawingml/2006/main" noChangeArrowheads="1"/>
        </cdr:cNvSpPr>
      </cdr:nvSpPr>
      <cdr:spPr bwMode="auto">
        <a:xfrm xmlns:a="http://schemas.openxmlformats.org/drawingml/2006/main">
          <a:off x="50800" y="680187"/>
          <a:ext cx="744322" cy="372756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36576" tIns="27432" rIns="36576" bIns="27432" anchor="ctr" upright="1"/>
        <a:lstStyle xmlns:a="http://schemas.openxmlformats.org/drawingml/2006/main"/>
        <a:p xmlns:a="http://schemas.openxmlformats.org/drawingml/2006/main">
          <a:pPr algn="ctr" rtl="0">
            <a:defRPr sz="1000"/>
          </a:pPr>
          <a:r>
            <a:rPr lang="en-US" sz="1675" b="0" i="0" u="none" strike="noStrike" baseline="0">
              <a:solidFill>
                <a:srgbClr val="000000"/>
              </a:solidFill>
              <a:latin typeface="Arial" pitchFamily="2" charset="0"/>
              <a:cs typeface="Arial" pitchFamily="2" charset="0"/>
            </a:rPr>
            <a:t>Capital adequacy ratio (%)</a:t>
          </a:r>
        </a:p>
      </cdr:txBody>
    </cdr:sp>
  </cdr:relSizeAnchor>
</c:userShapes>
</file>

<file path=xl/drawings/drawing5.xml><?xml version="1.0" encoding="utf-8"?>
<c:userShapes xmlns:c="http://schemas.openxmlformats.org/drawingml/2006/chart">
  <cdr:relSizeAnchor xmlns:cdr="http://schemas.openxmlformats.org/drawingml/2006/chartDrawing">
    <cdr:from>
      <cdr:x>0.00746</cdr:x>
      <cdr:y>0.17262</cdr:y>
    </cdr:from>
    <cdr:to>
      <cdr:x>0.09489</cdr:x>
      <cdr:y>0.9874</cdr:y>
    </cdr:to>
    <cdr:sp macro="" textlink="">
      <cdr:nvSpPr>
        <cdr:cNvPr id="20481" name="Text Box 1">
          <a:extLst xmlns:a="http://schemas.openxmlformats.org/drawingml/2006/main">
            <a:ext uri="{FF2B5EF4-FFF2-40B4-BE49-F238E27FC236}">
              <a16:creationId xmlns:a16="http://schemas.microsoft.com/office/drawing/2014/main" id="{4227D30C-5AAE-511A-8547-971C956BB79B}"/>
            </a:ext>
          </a:extLst>
        </cdr:cNvPr>
        <cdr:cNvSpPr txBox="1">
          <a:spLocks xmlns:a="http://schemas.openxmlformats.org/drawingml/2006/main" noChangeArrowheads="1"/>
        </cdr:cNvSpPr>
      </cdr:nvSpPr>
      <cdr:spPr bwMode="auto">
        <a:xfrm xmlns:a="http://schemas.openxmlformats.org/drawingml/2006/main">
          <a:off x="50800" y="824281"/>
          <a:ext cx="595122" cy="389077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r>
            <a:rPr lang="en-US" sz="1625" b="0" i="0" u="none" strike="noStrike" baseline="0">
              <a:solidFill>
                <a:srgbClr val="000000"/>
              </a:solidFill>
              <a:latin typeface="Arial" pitchFamily="2" charset="0"/>
              <a:cs typeface="Arial" pitchFamily="2" charset="0"/>
            </a:rPr>
            <a:t>Average rating</a:t>
          </a:r>
        </a:p>
      </cdr:txBody>
    </cdr:sp>
  </cdr:relSizeAnchor>
</c:userShapes>
</file>

<file path=xl/drawings/drawing6.xml><?xml version="1.0" encoding="utf-8"?>
<c:userShapes xmlns:c="http://schemas.openxmlformats.org/drawingml/2006/chart">
  <cdr:relSizeAnchor xmlns:cdr="http://schemas.openxmlformats.org/drawingml/2006/chartDrawing">
    <cdr:from>
      <cdr:x>0.00701</cdr:x>
      <cdr:y>0.15064</cdr:y>
    </cdr:from>
    <cdr:to>
      <cdr:x>0.08958</cdr:x>
      <cdr:y>0.85719</cdr:y>
    </cdr:to>
    <cdr:sp macro="" textlink="">
      <cdr:nvSpPr>
        <cdr:cNvPr id="21505" name="Text Box 1">
          <a:extLst xmlns:a="http://schemas.openxmlformats.org/drawingml/2006/main">
            <a:ext uri="{FF2B5EF4-FFF2-40B4-BE49-F238E27FC236}">
              <a16:creationId xmlns:a16="http://schemas.microsoft.com/office/drawing/2014/main" id="{D5C8055A-5452-843F-D70B-5EFE1B2ADD61}"/>
            </a:ext>
          </a:extLst>
        </cdr:cNvPr>
        <cdr:cNvSpPr txBox="1">
          <a:spLocks xmlns:a="http://schemas.openxmlformats.org/drawingml/2006/main" noChangeArrowheads="1"/>
        </cdr:cNvSpPr>
      </cdr:nvSpPr>
      <cdr:spPr bwMode="auto">
        <a:xfrm xmlns:a="http://schemas.openxmlformats.org/drawingml/2006/main">
          <a:off x="50800" y="715493"/>
          <a:ext cx="598821" cy="33560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36576" tIns="27432" rIns="36576" bIns="27432" anchor="ctr" upright="1"/>
        <a:lstStyle xmlns:a="http://schemas.openxmlformats.org/drawingml/2006/main"/>
        <a:p xmlns:a="http://schemas.openxmlformats.org/drawingml/2006/main">
          <a:pPr algn="ctr" rtl="0">
            <a:defRPr sz="1000"/>
          </a:pPr>
          <a:r>
            <a:rPr lang="en-US" sz="1725" b="0" i="0" u="none" strike="noStrike" baseline="0">
              <a:solidFill>
                <a:srgbClr val="000000"/>
              </a:solidFill>
              <a:latin typeface="Arial" pitchFamily="2" charset="0"/>
              <a:cs typeface="Arial" pitchFamily="2" charset="0"/>
            </a:rPr>
            <a:t>Average rating</a:t>
          </a:r>
        </a:p>
      </cdr:txBody>
    </cdr:sp>
  </cdr:relSizeAnchor>
</c:userShapes>
</file>

<file path=xl/drawings/drawing7.xml><?xml version="1.0" encoding="utf-8"?>
<c:userShapes xmlns:c="http://schemas.openxmlformats.org/drawingml/2006/chart">
  <cdr:relSizeAnchor xmlns:cdr="http://schemas.openxmlformats.org/drawingml/2006/chartDrawing">
    <cdr:from>
      <cdr:x>0.00719</cdr:x>
      <cdr:y>0.14435</cdr:y>
    </cdr:from>
    <cdr:to>
      <cdr:x>0.08974</cdr:x>
      <cdr:y>0.86055</cdr:y>
    </cdr:to>
    <cdr:sp macro="" textlink="">
      <cdr:nvSpPr>
        <cdr:cNvPr id="22529" name="Text Box 1">
          <a:extLst xmlns:a="http://schemas.openxmlformats.org/drawingml/2006/main">
            <a:ext uri="{FF2B5EF4-FFF2-40B4-BE49-F238E27FC236}">
              <a16:creationId xmlns:a16="http://schemas.microsoft.com/office/drawing/2014/main" id="{3A808DDE-4365-9153-F97B-FDB874C00071}"/>
            </a:ext>
          </a:extLst>
        </cdr:cNvPr>
        <cdr:cNvSpPr txBox="1">
          <a:spLocks xmlns:a="http://schemas.openxmlformats.org/drawingml/2006/main" noChangeArrowheads="1"/>
        </cdr:cNvSpPr>
      </cdr:nvSpPr>
      <cdr:spPr bwMode="auto">
        <a:xfrm xmlns:a="http://schemas.openxmlformats.org/drawingml/2006/main">
          <a:off x="50800" y="724141"/>
          <a:ext cx="582867" cy="35927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36576" tIns="27432" rIns="36576" bIns="27432" anchor="ctr" upright="1"/>
        <a:lstStyle xmlns:a="http://schemas.openxmlformats.org/drawingml/2006/main"/>
        <a:p xmlns:a="http://schemas.openxmlformats.org/drawingml/2006/main">
          <a:pPr algn="ctr" rtl="0">
            <a:defRPr sz="1000"/>
          </a:pPr>
          <a:r>
            <a:rPr lang="en-US" sz="1700" b="0" i="0" u="none" strike="noStrike" baseline="0">
              <a:solidFill>
                <a:srgbClr val="000000"/>
              </a:solidFill>
              <a:latin typeface="Arial" pitchFamily="2" charset="0"/>
              <a:cs typeface="Arial" pitchFamily="2" charset="0"/>
            </a:rPr>
            <a:t>Probability of default (%)</a:t>
          </a:r>
        </a:p>
      </cdr:txBody>
    </cdr:sp>
  </cdr:relSizeAnchor>
</c:userShapes>
</file>

<file path=xl/drawings/drawing8.xml><?xml version="1.0" encoding="utf-8"?>
<c:userShapes xmlns:c="http://schemas.openxmlformats.org/drawingml/2006/chart">
  <cdr:relSizeAnchor xmlns:cdr="http://schemas.openxmlformats.org/drawingml/2006/chartDrawing">
    <cdr:from>
      <cdr:x>0.00737</cdr:x>
      <cdr:y>0.16539</cdr:y>
    </cdr:from>
    <cdr:to>
      <cdr:x>0.09998</cdr:x>
      <cdr:y>0.92297</cdr:y>
    </cdr:to>
    <cdr:sp macro="" textlink="">
      <cdr:nvSpPr>
        <cdr:cNvPr id="24577" name="Text Box 1">
          <a:extLst xmlns:a="http://schemas.openxmlformats.org/drawingml/2006/main">
            <a:ext uri="{FF2B5EF4-FFF2-40B4-BE49-F238E27FC236}">
              <a16:creationId xmlns:a16="http://schemas.microsoft.com/office/drawing/2014/main" id="{5EB6B8FF-338A-6F7F-6E5A-8D74373448CB}"/>
            </a:ext>
          </a:extLst>
        </cdr:cNvPr>
        <cdr:cNvSpPr txBox="1">
          <a:spLocks xmlns:a="http://schemas.openxmlformats.org/drawingml/2006/main" noChangeArrowheads="1"/>
        </cdr:cNvSpPr>
      </cdr:nvSpPr>
      <cdr:spPr bwMode="auto">
        <a:xfrm xmlns:a="http://schemas.openxmlformats.org/drawingml/2006/main">
          <a:off x="50800" y="707838"/>
          <a:ext cx="638683" cy="324236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36576" tIns="27432" rIns="36576" bIns="27432" anchor="ctr" upright="1"/>
        <a:lstStyle xmlns:a="http://schemas.openxmlformats.org/drawingml/2006/main"/>
        <a:p xmlns:a="http://schemas.openxmlformats.org/drawingml/2006/main">
          <a:pPr algn="ctr" rtl="0">
            <a:defRPr sz="1000"/>
          </a:pPr>
          <a:r>
            <a:rPr lang="en-US" sz="1775" b="0" i="0" u="none" strike="noStrike" baseline="0">
              <a:solidFill>
                <a:srgbClr val="000000"/>
              </a:solidFill>
              <a:latin typeface="Arial" pitchFamily="2" charset="0"/>
              <a:cs typeface="Arial" pitchFamily="2" charset="0"/>
            </a:rPr>
            <a:t>Capital injection (%  GDP)</a:t>
          </a:r>
        </a:p>
      </cdr:txBody>
    </cdr:sp>
  </cdr:relSizeAnchor>
</c:userShapes>
</file>

<file path=xl/drawings/drawing9.xml><?xml version="1.0" encoding="utf-8"?>
<c:userShapes xmlns:c="http://schemas.openxmlformats.org/drawingml/2006/chart">
  <cdr:relSizeAnchor xmlns:cdr="http://schemas.openxmlformats.org/drawingml/2006/chartDrawing">
    <cdr:from>
      <cdr:x>0.00733</cdr:x>
      <cdr:y>0.14031</cdr:y>
    </cdr:from>
    <cdr:to>
      <cdr:x>0.09896</cdr:x>
      <cdr:y>0.87985</cdr:y>
    </cdr:to>
    <cdr:sp macro="" textlink="">
      <cdr:nvSpPr>
        <cdr:cNvPr id="27649" name="Text Box 1">
          <a:extLst xmlns:a="http://schemas.openxmlformats.org/drawingml/2006/main">
            <a:ext uri="{FF2B5EF4-FFF2-40B4-BE49-F238E27FC236}">
              <a16:creationId xmlns:a16="http://schemas.microsoft.com/office/drawing/2014/main" id="{F59D3329-30DF-1EA8-954C-01485709CE24}"/>
            </a:ext>
          </a:extLst>
        </cdr:cNvPr>
        <cdr:cNvSpPr txBox="1">
          <a:spLocks xmlns:a="http://schemas.openxmlformats.org/drawingml/2006/main" noChangeArrowheads="1"/>
        </cdr:cNvSpPr>
      </cdr:nvSpPr>
      <cdr:spPr bwMode="auto">
        <a:xfrm xmlns:a="http://schemas.openxmlformats.org/drawingml/2006/main">
          <a:off x="50800" y="860663"/>
          <a:ext cx="635432" cy="453644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vert="vert270" wrap="square" lIns="36576" tIns="27432" rIns="36576" bIns="27432" anchor="ctr" upright="1"/>
        <a:lstStyle xmlns:a="http://schemas.openxmlformats.org/drawingml/2006/main"/>
        <a:p xmlns:a="http://schemas.openxmlformats.org/drawingml/2006/main">
          <a:pPr algn="ctr" rtl="0">
            <a:defRPr sz="1000"/>
          </a:pPr>
          <a:r>
            <a:rPr lang="en-US" sz="1650" b="0" i="0" u="none" strike="noStrike" baseline="0">
              <a:solidFill>
                <a:srgbClr val="000000"/>
              </a:solidFill>
              <a:latin typeface="Arial" pitchFamily="2" charset="0"/>
              <a:cs typeface="Arial" pitchFamily="2" charset="0"/>
            </a:rPr>
            <a:t>Z-score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3AC1D73-1AF6-B84B-BB40-D4F26B3091BF}">
  <we:reference id="882b24ca-707c-4c37-bcba-64d4398e6aaf" version="2.11.0.0" store="EXCatalog" storeType="EXCatalog"/>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val="1"/>
    </a:ext>
    <a:ext xmlns:a="http://schemas.openxmlformats.org/drawingml/2006/main" uri="{7C84B067-C214-45C3-A712-C9D94CD141B2}">
      <we:customFunctionIdList>
        <we:customFunctionIds>_xldudf_C_SPARK_UDFCALLAPI</we:customFunctionIds>
        <we:customFunctionIds>_xldudf_C_SPARK_CALLAPI</we:customFunctionIds>
        <we:customFunctionIds>_xldudf_C_SPARK_GETOUTPUT</we:customFunctionIds>
        <we:customFunctionIds>_xldudf_C_SPARK_SETINPUT</we:customFunctionIds>
        <we:customFunctionIds>_xldudf_C_SPARK_XMLTOJSON</we:customFunctionIds>
        <we:customFunctionIds>_xldudf_C_SPARK_JSONTOXML</we:customFunctionIds>
        <we:customFunctionIds>_xldudf_C_SPARK_FILTERJSON</we:customFunctionIds>
        <we:customFunctionIds>_xldudf_C_SPARK_XCALL</we:customFunctionIds>
      </we:customFunctionIdList>
    </a:ext>
  </we:extLst>
</we:webextension>
</file>

<file path=xl/webextensions/webextension2.xml><?xml version="1.0" encoding="utf-8"?>
<we:webextension xmlns:we="http://schemas.microsoft.com/office/webextensions/webextension/2010/11" id="{5D9B95C5-8E60-564C-81AC-C52FBDEDF87A}">
  <we:reference id="wa200005104" version="2.11.0.0" store="en-US" storeType="OMEX"/>
  <we:alternateReferences>
    <we:reference id="wa200005104" version="2.11.0.0" store="en-US" storeType="OMEX"/>
  </we:alternateReferences>
  <we:properties>
    <we:property name="Office.AutoShowTaskpaneWithDocument" value="true"/>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3" Type="http://schemas.openxmlformats.org/officeDocument/2006/relationships/hyperlink" Target="http://finance.yahoo.com/q?s=C" TargetMode="External"/><Relationship Id="rId18" Type="http://schemas.openxmlformats.org/officeDocument/2006/relationships/hyperlink" Target="http://finance.yahoo.com/q?s=CUBI" TargetMode="External"/><Relationship Id="rId26" Type="http://schemas.openxmlformats.org/officeDocument/2006/relationships/hyperlink" Target="http://finance.yahoo.com/q?s=HTH" TargetMode="External"/><Relationship Id="rId39" Type="http://schemas.openxmlformats.org/officeDocument/2006/relationships/hyperlink" Target="http://finance.yahoo.com/q?s=RF" TargetMode="External"/><Relationship Id="rId21" Type="http://schemas.openxmlformats.org/officeDocument/2006/relationships/hyperlink" Target="http://finance.yahoo.com/q?s=FBK" TargetMode="External"/><Relationship Id="rId34" Type="http://schemas.openxmlformats.org/officeDocument/2006/relationships/hyperlink" Target="http://finance.yahoo.com/q?s=NIC" TargetMode="External"/><Relationship Id="rId42" Type="http://schemas.openxmlformats.org/officeDocument/2006/relationships/hyperlink" Target="http://finance.yahoo.com/q?s=TMP" TargetMode="External"/><Relationship Id="rId47" Type="http://schemas.openxmlformats.org/officeDocument/2006/relationships/hyperlink" Target="http://finance.yahoo.com/q?s=WAL" TargetMode="External"/><Relationship Id="rId7" Type="http://schemas.openxmlformats.org/officeDocument/2006/relationships/hyperlink" Target="http://finance.yahoo.com/q?s=BHB" TargetMode="External"/><Relationship Id="rId2" Type="http://schemas.openxmlformats.org/officeDocument/2006/relationships/hyperlink" Target="http://finance.yahoo.com/q?s=AUB" TargetMode="External"/><Relationship Id="rId16" Type="http://schemas.openxmlformats.org/officeDocument/2006/relationships/hyperlink" Target="http://finance.yahoo.com/q?s=CBU" TargetMode="External"/><Relationship Id="rId29" Type="http://schemas.openxmlformats.org/officeDocument/2006/relationships/hyperlink" Target="http://finance.yahoo.com/q?s=KEY" TargetMode="External"/><Relationship Id="rId1" Type="http://schemas.openxmlformats.org/officeDocument/2006/relationships/hyperlink" Target="http://finance.yahoo.com/q?s=ASB" TargetMode="External"/><Relationship Id="rId6" Type="http://schemas.openxmlformats.org/officeDocument/2006/relationships/hyperlink" Target="http://finance.yahoo.com/q?s=BKU" TargetMode="External"/><Relationship Id="rId11" Type="http://schemas.openxmlformats.org/officeDocument/2006/relationships/hyperlink" Target="http://finance.yahoo.com/q?s=CADE" TargetMode="External"/><Relationship Id="rId24" Type="http://schemas.openxmlformats.org/officeDocument/2006/relationships/hyperlink" Target="http://finance.yahoo.com/q?s=GBCI" TargetMode="External"/><Relationship Id="rId32" Type="http://schemas.openxmlformats.org/officeDocument/2006/relationships/hyperlink" Target="http://finance.yahoo.com/q?s=MCB" TargetMode="External"/><Relationship Id="rId37" Type="http://schemas.openxmlformats.org/officeDocument/2006/relationships/hyperlink" Target="http://finance.yahoo.com/q?s=PB" TargetMode="External"/><Relationship Id="rId40" Type="http://schemas.openxmlformats.org/officeDocument/2006/relationships/hyperlink" Target="http://finance.yahoo.com/q?s=SFBS" TargetMode="External"/><Relationship Id="rId45" Type="http://schemas.openxmlformats.org/officeDocument/2006/relationships/hyperlink" Target="http://finance.yahoo.com/q?s=WBS" TargetMode="External"/><Relationship Id="rId5" Type="http://schemas.openxmlformats.org/officeDocument/2006/relationships/hyperlink" Target="http://finance.yahoo.com/q?s=BOH" TargetMode="External"/><Relationship Id="rId15" Type="http://schemas.openxmlformats.org/officeDocument/2006/relationships/hyperlink" Target="http://finance.yahoo.com/q?s=CMA" TargetMode="External"/><Relationship Id="rId23" Type="http://schemas.openxmlformats.org/officeDocument/2006/relationships/hyperlink" Target="http://finance.yahoo.com/q?s=FHN" TargetMode="External"/><Relationship Id="rId28" Type="http://schemas.openxmlformats.org/officeDocument/2006/relationships/hyperlink" Target="http://finance.yahoo.com/q?s=JPM" TargetMode="External"/><Relationship Id="rId36" Type="http://schemas.openxmlformats.org/officeDocument/2006/relationships/hyperlink" Target="http://finance.yahoo.com/q?s=PNC" TargetMode="External"/><Relationship Id="rId10" Type="http://schemas.openxmlformats.org/officeDocument/2006/relationships/hyperlink" Target="http://finance.yahoo.com/q?s=BY" TargetMode="External"/><Relationship Id="rId19" Type="http://schemas.openxmlformats.org/officeDocument/2006/relationships/hyperlink" Target="http://finance.yahoo.com/q?s=EVBN" TargetMode="External"/><Relationship Id="rId31" Type="http://schemas.openxmlformats.org/officeDocument/2006/relationships/hyperlink" Target="http://finance.yahoo.com/q?s=MTB" TargetMode="External"/><Relationship Id="rId44" Type="http://schemas.openxmlformats.org/officeDocument/2006/relationships/hyperlink" Target="http://finance.yahoo.com/q?s=USB" TargetMode="External"/><Relationship Id="rId4" Type="http://schemas.openxmlformats.org/officeDocument/2006/relationships/hyperlink" Target="http://finance.yahoo.com/q?s=BAC" TargetMode="External"/><Relationship Id="rId9" Type="http://schemas.openxmlformats.org/officeDocument/2006/relationships/hyperlink" Target="http://finance.yahoo.com/q?s=BRBS" TargetMode="External"/><Relationship Id="rId14" Type="http://schemas.openxmlformats.org/officeDocument/2006/relationships/hyperlink" Target="http://finance.yahoo.com/q?s=CFG" TargetMode="External"/><Relationship Id="rId22" Type="http://schemas.openxmlformats.org/officeDocument/2006/relationships/hyperlink" Target="http://finance.yahoo.com/q?s=FCF" TargetMode="External"/><Relationship Id="rId27" Type="http://schemas.openxmlformats.org/officeDocument/2006/relationships/hyperlink" Target="http://finance.yahoo.com/q?s=HOMB" TargetMode="External"/><Relationship Id="rId30" Type="http://schemas.openxmlformats.org/officeDocument/2006/relationships/hyperlink" Target="http://finance.yahoo.com/q?s=LOB" TargetMode="External"/><Relationship Id="rId35" Type="http://schemas.openxmlformats.org/officeDocument/2006/relationships/hyperlink" Target="http://finance.yahoo.com/q?s=PRK" TargetMode="External"/><Relationship Id="rId43" Type="http://schemas.openxmlformats.org/officeDocument/2006/relationships/hyperlink" Target="http://finance.yahoo.com/q?s=TFC" TargetMode="External"/><Relationship Id="rId48" Type="http://schemas.openxmlformats.org/officeDocument/2006/relationships/hyperlink" Target="http://finance.yahoo.com/q?s=NYCB" TargetMode="External"/><Relationship Id="rId8" Type="http://schemas.openxmlformats.org/officeDocument/2006/relationships/hyperlink" Target="http://finance.yahoo.com/q?s=BHLB" TargetMode="External"/><Relationship Id="rId3" Type="http://schemas.openxmlformats.org/officeDocument/2006/relationships/hyperlink" Target="http://finance.yahoo.com/q?s=BANC" TargetMode="External"/><Relationship Id="rId12" Type="http://schemas.openxmlformats.org/officeDocument/2006/relationships/hyperlink" Target="http://finance.yahoo.com/q?s=CPF" TargetMode="External"/><Relationship Id="rId17" Type="http://schemas.openxmlformats.org/officeDocument/2006/relationships/hyperlink" Target="http://finance.yahoo.com/q?s=CFR" TargetMode="External"/><Relationship Id="rId25" Type="http://schemas.openxmlformats.org/officeDocument/2006/relationships/hyperlink" Target="http://finance.yahoo.com/q?s=GNTY" TargetMode="External"/><Relationship Id="rId33" Type="http://schemas.openxmlformats.org/officeDocument/2006/relationships/hyperlink" Target="http://finance.yahoo.com/q?s=NBHC" TargetMode="External"/><Relationship Id="rId38" Type="http://schemas.openxmlformats.org/officeDocument/2006/relationships/hyperlink" Target="http://finance.yahoo.com/q?s=PFS" TargetMode="External"/><Relationship Id="rId46" Type="http://schemas.openxmlformats.org/officeDocument/2006/relationships/hyperlink" Target="http://finance.yahoo.com/q?s=WFC" TargetMode="External"/><Relationship Id="rId20" Type="http://schemas.openxmlformats.org/officeDocument/2006/relationships/hyperlink" Target="http://finance.yahoo.com/q?s=FNB" TargetMode="External"/><Relationship Id="rId41" Type="http://schemas.openxmlformats.org/officeDocument/2006/relationships/hyperlink" Target="http://finance.yahoo.com/q?s=SNV"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3" Type="http://schemas.openxmlformats.org/officeDocument/2006/relationships/hyperlink" Target="http://finance.yahoo.com/q?s=CPF" TargetMode="External"/><Relationship Id="rId18" Type="http://schemas.openxmlformats.org/officeDocument/2006/relationships/hyperlink" Target="http://finance.yahoo.com/q?s=CFR" TargetMode="External"/><Relationship Id="rId26" Type="http://schemas.openxmlformats.org/officeDocument/2006/relationships/hyperlink" Target="http://finance.yahoo.com/q?s=GNTY" TargetMode="External"/><Relationship Id="rId39" Type="http://schemas.openxmlformats.org/officeDocument/2006/relationships/hyperlink" Target="http://finance.yahoo.com/q?s=PFS" TargetMode="External"/><Relationship Id="rId21" Type="http://schemas.openxmlformats.org/officeDocument/2006/relationships/hyperlink" Target="http://finance.yahoo.com/q?s=FNB" TargetMode="External"/><Relationship Id="rId34" Type="http://schemas.openxmlformats.org/officeDocument/2006/relationships/hyperlink" Target="http://finance.yahoo.com/q?s=NBHC" TargetMode="External"/><Relationship Id="rId42" Type="http://schemas.openxmlformats.org/officeDocument/2006/relationships/hyperlink" Target="http://finance.yahoo.com/q?s=SNV" TargetMode="External"/><Relationship Id="rId47" Type="http://schemas.openxmlformats.org/officeDocument/2006/relationships/hyperlink" Target="http://finance.yahoo.com/q?s=WFC" TargetMode="External"/><Relationship Id="rId50" Type="http://schemas.openxmlformats.org/officeDocument/2006/relationships/vmlDrawing" Target="../drawings/vmlDrawing6.vml"/><Relationship Id="rId7" Type="http://schemas.openxmlformats.org/officeDocument/2006/relationships/hyperlink" Target="http://finance.yahoo.com/q?s=BKU" TargetMode="External"/><Relationship Id="rId2" Type="http://schemas.openxmlformats.org/officeDocument/2006/relationships/hyperlink" Target="http://finance.yahoo.com/q?s=AUB" TargetMode="External"/><Relationship Id="rId16" Type="http://schemas.openxmlformats.org/officeDocument/2006/relationships/hyperlink" Target="http://finance.yahoo.com/q?s=CMA" TargetMode="External"/><Relationship Id="rId29" Type="http://schemas.openxmlformats.org/officeDocument/2006/relationships/hyperlink" Target="http://finance.yahoo.com/q?s=JPM" TargetMode="External"/><Relationship Id="rId11" Type="http://schemas.openxmlformats.org/officeDocument/2006/relationships/hyperlink" Target="http://finance.yahoo.com/q?s=BY" TargetMode="External"/><Relationship Id="rId24" Type="http://schemas.openxmlformats.org/officeDocument/2006/relationships/hyperlink" Target="http://finance.yahoo.com/q?s=FHN" TargetMode="External"/><Relationship Id="rId32" Type="http://schemas.openxmlformats.org/officeDocument/2006/relationships/hyperlink" Target="http://finance.yahoo.com/q?s=MTB" TargetMode="External"/><Relationship Id="rId37" Type="http://schemas.openxmlformats.org/officeDocument/2006/relationships/hyperlink" Target="http://finance.yahoo.com/q?s=PNC" TargetMode="External"/><Relationship Id="rId40" Type="http://schemas.openxmlformats.org/officeDocument/2006/relationships/hyperlink" Target="http://finance.yahoo.com/q?s=RF" TargetMode="External"/><Relationship Id="rId45" Type="http://schemas.openxmlformats.org/officeDocument/2006/relationships/hyperlink" Target="http://finance.yahoo.com/q?s=USB" TargetMode="External"/><Relationship Id="rId5" Type="http://schemas.openxmlformats.org/officeDocument/2006/relationships/hyperlink" Target="http://finance.yahoo.com/q?s=BAC" TargetMode="External"/><Relationship Id="rId15" Type="http://schemas.openxmlformats.org/officeDocument/2006/relationships/hyperlink" Target="http://finance.yahoo.com/q?s=CFG" TargetMode="External"/><Relationship Id="rId23" Type="http://schemas.openxmlformats.org/officeDocument/2006/relationships/hyperlink" Target="http://finance.yahoo.com/q?s=FCF" TargetMode="External"/><Relationship Id="rId28" Type="http://schemas.openxmlformats.org/officeDocument/2006/relationships/hyperlink" Target="http://finance.yahoo.com/q?s=HOMB" TargetMode="External"/><Relationship Id="rId36" Type="http://schemas.openxmlformats.org/officeDocument/2006/relationships/hyperlink" Target="http://finance.yahoo.com/q?s=PRK" TargetMode="External"/><Relationship Id="rId49" Type="http://schemas.openxmlformats.org/officeDocument/2006/relationships/hyperlink" Target="http://finance.yahoo.com/q?s=NYCB" TargetMode="External"/><Relationship Id="rId10" Type="http://schemas.openxmlformats.org/officeDocument/2006/relationships/hyperlink" Target="http://finance.yahoo.com/q?s=BRBS" TargetMode="External"/><Relationship Id="rId19" Type="http://schemas.openxmlformats.org/officeDocument/2006/relationships/hyperlink" Target="http://finance.yahoo.com/q?s=CUBI" TargetMode="External"/><Relationship Id="rId31" Type="http://schemas.openxmlformats.org/officeDocument/2006/relationships/hyperlink" Target="http://finance.yahoo.com/q?s=LOB" TargetMode="External"/><Relationship Id="rId44" Type="http://schemas.openxmlformats.org/officeDocument/2006/relationships/hyperlink" Target="http://finance.yahoo.com/q?s=TFC" TargetMode="External"/><Relationship Id="rId4" Type="http://schemas.openxmlformats.org/officeDocument/2006/relationships/hyperlink" Target="http://finance.yahoo.com/q?s=BANC" TargetMode="External"/><Relationship Id="rId9" Type="http://schemas.openxmlformats.org/officeDocument/2006/relationships/hyperlink" Target="http://finance.yahoo.com/q?s=BHLB" TargetMode="External"/><Relationship Id="rId14" Type="http://schemas.openxmlformats.org/officeDocument/2006/relationships/hyperlink" Target="http://finance.yahoo.com/q?s=C" TargetMode="External"/><Relationship Id="rId22" Type="http://schemas.openxmlformats.org/officeDocument/2006/relationships/hyperlink" Target="http://finance.yahoo.com/q?s=FBK" TargetMode="External"/><Relationship Id="rId27" Type="http://schemas.openxmlformats.org/officeDocument/2006/relationships/hyperlink" Target="http://finance.yahoo.com/q?s=HTH" TargetMode="External"/><Relationship Id="rId30" Type="http://schemas.openxmlformats.org/officeDocument/2006/relationships/hyperlink" Target="http://finance.yahoo.com/q?s=KEY" TargetMode="External"/><Relationship Id="rId35" Type="http://schemas.openxmlformats.org/officeDocument/2006/relationships/hyperlink" Target="http://finance.yahoo.com/q?s=NIC" TargetMode="External"/><Relationship Id="rId43" Type="http://schemas.openxmlformats.org/officeDocument/2006/relationships/hyperlink" Target="http://finance.yahoo.com/q?s=TMP" TargetMode="External"/><Relationship Id="rId48" Type="http://schemas.openxmlformats.org/officeDocument/2006/relationships/hyperlink" Target="http://finance.yahoo.com/q?s=WAL" TargetMode="External"/><Relationship Id="rId8" Type="http://schemas.openxmlformats.org/officeDocument/2006/relationships/hyperlink" Target="http://finance.yahoo.com/q?s=BHB" TargetMode="External"/><Relationship Id="rId51" Type="http://schemas.openxmlformats.org/officeDocument/2006/relationships/comments" Target="../comments6.xml"/><Relationship Id="rId3" Type="http://schemas.openxmlformats.org/officeDocument/2006/relationships/hyperlink" Target="http://finance.yahoo.com/q?s=AX" TargetMode="External"/><Relationship Id="rId12" Type="http://schemas.openxmlformats.org/officeDocument/2006/relationships/hyperlink" Target="http://finance.yahoo.com/q?s=CADE" TargetMode="External"/><Relationship Id="rId17" Type="http://schemas.openxmlformats.org/officeDocument/2006/relationships/hyperlink" Target="http://finance.yahoo.com/q?s=CBU" TargetMode="External"/><Relationship Id="rId25" Type="http://schemas.openxmlformats.org/officeDocument/2006/relationships/hyperlink" Target="http://finance.yahoo.com/q?s=GBCI" TargetMode="External"/><Relationship Id="rId33" Type="http://schemas.openxmlformats.org/officeDocument/2006/relationships/hyperlink" Target="http://finance.yahoo.com/q?s=MCB" TargetMode="External"/><Relationship Id="rId38" Type="http://schemas.openxmlformats.org/officeDocument/2006/relationships/hyperlink" Target="http://finance.yahoo.com/q?s=PB" TargetMode="External"/><Relationship Id="rId46" Type="http://schemas.openxmlformats.org/officeDocument/2006/relationships/hyperlink" Target="http://finance.yahoo.com/q?s=WBS" TargetMode="External"/><Relationship Id="rId20" Type="http://schemas.openxmlformats.org/officeDocument/2006/relationships/hyperlink" Target="http://finance.yahoo.com/q?s=EVBN" TargetMode="External"/><Relationship Id="rId41" Type="http://schemas.openxmlformats.org/officeDocument/2006/relationships/hyperlink" Target="http://finance.yahoo.com/q?s=SFBS" TargetMode="External"/><Relationship Id="rId1" Type="http://schemas.openxmlformats.org/officeDocument/2006/relationships/hyperlink" Target="http://finance.yahoo.com/q?s=ASB" TargetMode="External"/><Relationship Id="rId6" Type="http://schemas.openxmlformats.org/officeDocument/2006/relationships/hyperlink" Target="http://finance.yahoo.com/q?s=BOH"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R110"/>
  <sheetViews>
    <sheetView tabSelected="1" zoomScale="130" zoomScaleNormal="130" workbookViewId="0">
      <selection activeCell="F7" sqref="F7"/>
    </sheetView>
  </sheetViews>
  <sheetFormatPr baseColWidth="10" defaultRowHeight="19" customHeight="1"/>
  <cols>
    <col min="1" max="1" width="8.19921875" style="101" customWidth="1"/>
    <col min="2" max="2" width="35.796875" style="100" customWidth="1"/>
    <col min="3" max="3" width="34.19921875" style="100" customWidth="1"/>
    <col min="4" max="4" width="6" style="101" customWidth="1"/>
    <col min="5" max="5" width="30.19921875" style="104" customWidth="1"/>
    <col min="6" max="6" width="28.19921875" style="103" customWidth="1"/>
    <col min="7" max="7" width="22.796875" style="104" customWidth="1"/>
    <col min="8" max="9" width="11.796875" style="104" customWidth="1"/>
    <col min="10" max="10" width="27.796875" style="104" customWidth="1"/>
    <col min="11" max="11" width="6.3984375" style="104" customWidth="1"/>
    <col min="12" max="12" width="28.19921875" style="101" customWidth="1"/>
    <col min="13" max="13" width="57.796875" style="101" customWidth="1"/>
    <col min="14" max="259" width="28.19921875" style="101" customWidth="1"/>
    <col min="260" max="16384" width="11" style="101"/>
  </cols>
  <sheetData>
    <row r="2" spans="2:18" ht="19" customHeight="1">
      <c r="B2" s="99" t="s">
        <v>436</v>
      </c>
      <c r="E2" s="102" t="s">
        <v>437</v>
      </c>
      <c r="N2" s="126"/>
      <c r="O2" s="126"/>
      <c r="P2" s="126"/>
      <c r="Q2" s="126"/>
      <c r="R2" s="126"/>
    </row>
    <row r="3" spans="2:18" ht="19" customHeight="1">
      <c r="B3" s="105"/>
      <c r="C3" s="105"/>
      <c r="E3" s="106"/>
      <c r="F3" s="107"/>
      <c r="G3" s="106"/>
      <c r="H3" s="106"/>
      <c r="I3" s="106"/>
      <c r="J3" s="106"/>
      <c r="K3" s="106"/>
      <c r="N3" s="126"/>
      <c r="O3" s="126"/>
      <c r="P3" s="126"/>
      <c r="Q3" s="126"/>
      <c r="R3" s="126"/>
    </row>
    <row r="4" spans="2:18" ht="19" customHeight="1">
      <c r="B4" s="100" t="s">
        <v>438</v>
      </c>
      <c r="C4" s="100" t="s">
        <v>520</v>
      </c>
      <c r="E4" s="109" t="s">
        <v>607</v>
      </c>
      <c r="N4" s="126"/>
      <c r="O4" s="126"/>
      <c r="P4" s="126"/>
      <c r="Q4" s="126"/>
      <c r="R4" s="126"/>
    </row>
    <row r="5" spans="2:18" ht="19" customHeight="1">
      <c r="B5" s="117" t="s">
        <v>606</v>
      </c>
      <c r="C5" s="118" t="s">
        <v>31</v>
      </c>
      <c r="E5" s="110" t="s">
        <v>608</v>
      </c>
      <c r="F5" s="111" t="str">
        <f>xCall!C12</f>
        <v>BKU</v>
      </c>
      <c r="G5" s="110"/>
      <c r="H5" s="110"/>
      <c r="I5" s="110"/>
      <c r="J5" s="110"/>
      <c r="K5" s="110"/>
      <c r="N5" s="126"/>
      <c r="O5" s="126"/>
      <c r="P5" s="126"/>
      <c r="Q5" s="126"/>
      <c r="R5" s="126"/>
    </row>
    <row r="6" spans="2:18" ht="19" customHeight="1">
      <c r="B6" s="105"/>
      <c r="C6" s="105"/>
      <c r="E6" s="110" t="s">
        <v>18</v>
      </c>
      <c r="F6" s="120" t="str">
        <f>VLOOKUP(xOutput_Ticker,'source-info'!$A$1:$D$50,3,FALSE)</f>
        <v>BankUnited, Inc. operates as the bank holding company for BankUnited, a national banking association that provides a range of banking services in the United States. The company offers deposit products, such as checking, money market deposit, and savings accounts; certificates of deposit; and treasury, commercial payment, and cash management services. Its loans portfolio includes commercial loans, including equipment loans, secured and unsecured lines of credit, formula-based lines of credit, owner-occupied commercial real estate term loans and lines of credit, mortgage warehouse lines, capital call lines, letters of credit, commercial credit cards, small business administration and U.S. department of agriculture product offerings, export-import bank financing products, trade finance, and business acquisition finance credit facilities; commercial real estate loans; residential mortgages; and other consumer loans. The company also offers online, mobile, and telephone banking services. It operates through a network of banking centers located in Florida counties and the New York metropolitan area, as well as Dallas, Texas. The company was formerly known as BU Financial Corporation. BankUnited, Inc. was incorporated in 2009 and is headquartered in Miami Lakes, Florida.</v>
      </c>
      <c r="G6" s="110"/>
      <c r="H6" s="110"/>
      <c r="I6" s="110"/>
      <c r="J6" s="110"/>
      <c r="K6" s="110"/>
      <c r="M6" s="127"/>
      <c r="N6" s="126"/>
      <c r="O6" s="126"/>
      <c r="P6" s="126"/>
      <c r="Q6" s="126"/>
      <c r="R6" s="126"/>
    </row>
    <row r="7" spans="2:18" ht="19" customHeight="1">
      <c r="B7" s="108" t="s">
        <v>457</v>
      </c>
      <c r="E7" s="110" t="s">
        <v>609</v>
      </c>
      <c r="F7" s="111">
        <f>VLOOKUP(xOutput_Ticker,'source-info'!$A$1:$D$50,4,FALSE)</f>
        <v>2072131200</v>
      </c>
      <c r="G7" s="110"/>
      <c r="H7" s="110"/>
      <c r="I7" s="110"/>
      <c r="J7" s="110"/>
      <c r="K7" s="110"/>
      <c r="N7" s="126"/>
      <c r="O7" s="126"/>
      <c r="P7" s="126"/>
      <c r="Q7" s="126"/>
      <c r="R7" s="126"/>
    </row>
    <row r="8" spans="2:18" ht="19" customHeight="1">
      <c r="B8" s="112" t="s">
        <v>453</v>
      </c>
      <c r="C8" s="112">
        <v>20</v>
      </c>
      <c r="E8" s="110" t="s">
        <v>917</v>
      </c>
      <c r="F8" s="111" t="str">
        <f>VLOOKUP(xOutput_Ticker,'source-info'!$A$1:$D$50,2,FALSE)</f>
        <v>Financial Services</v>
      </c>
      <c r="G8" s="110"/>
      <c r="H8" s="110"/>
      <c r="I8" s="110"/>
      <c r="J8" s="110"/>
      <c r="K8" s="110"/>
    </row>
    <row r="9" spans="2:18" ht="19" customHeight="1">
      <c r="B9" s="112" t="s">
        <v>454</v>
      </c>
      <c r="C9" s="112">
        <v>45</v>
      </c>
      <c r="E9" s="106"/>
      <c r="F9" s="107"/>
      <c r="G9" s="106"/>
      <c r="H9" s="106"/>
      <c r="I9" s="106"/>
      <c r="J9" s="106"/>
      <c r="K9" s="106"/>
    </row>
    <row r="10" spans="2:18" ht="19" customHeight="1">
      <c r="B10" s="112" t="s">
        <v>455</v>
      </c>
      <c r="C10" s="112">
        <v>100</v>
      </c>
      <c r="E10" s="109" t="s">
        <v>439</v>
      </c>
    </row>
    <row r="11" spans="2:18" ht="19" customHeight="1">
      <c r="B11" s="112" t="s">
        <v>456</v>
      </c>
      <c r="C11" s="112">
        <v>75</v>
      </c>
      <c r="E11" s="110" t="s">
        <v>469</v>
      </c>
      <c r="F11" s="111" t="s">
        <v>463</v>
      </c>
      <c r="G11" s="110"/>
      <c r="H11" s="110"/>
      <c r="I11" s="110"/>
      <c r="J11" s="110"/>
      <c r="K11" s="110"/>
    </row>
    <row r="12" spans="2:18" ht="19" customHeight="1">
      <c r="B12" s="105"/>
      <c r="C12" s="105"/>
      <c r="E12" s="110" t="s">
        <v>440</v>
      </c>
      <c r="F12" s="111">
        <f>HLOOKUP($C$5,Data!$A$3:$Q$18,4,FALSE)</f>
        <v>572.64700000000005</v>
      </c>
      <c r="G12" s="110"/>
      <c r="H12" s="110"/>
      <c r="I12" s="110"/>
      <c r="J12" s="110"/>
      <c r="K12" s="110"/>
    </row>
    <row r="13" spans="2:18" ht="19" customHeight="1">
      <c r="B13" s="108" t="s">
        <v>472</v>
      </c>
      <c r="E13" s="110" t="s">
        <v>441</v>
      </c>
      <c r="F13" s="111">
        <f>HLOOKUP($C$5,Data!$A$3:$Q$18,5,FALSE)</f>
        <v>10666.934999999999</v>
      </c>
      <c r="G13" s="110"/>
      <c r="H13" s="110"/>
      <c r="I13" s="110"/>
      <c r="J13" s="110"/>
      <c r="K13" s="110"/>
    </row>
    <row r="14" spans="2:18" ht="19" customHeight="1">
      <c r="B14" s="112" t="s">
        <v>473</v>
      </c>
      <c r="C14" s="112">
        <v>25</v>
      </c>
      <c r="E14" s="110" t="s">
        <v>443</v>
      </c>
      <c r="F14" s="111">
        <f>HLOOKUP($C$5,Data!$A$3:$Q$18,6,FALSE)</f>
        <v>17165.191313287916</v>
      </c>
      <c r="G14" s="110"/>
      <c r="H14" s="110"/>
      <c r="I14" s="110"/>
      <c r="J14" s="110"/>
      <c r="K14" s="110"/>
    </row>
    <row r="15" spans="2:18" ht="19" customHeight="1">
      <c r="B15" s="112" t="s">
        <v>474</v>
      </c>
      <c r="C15" s="112">
        <v>25</v>
      </c>
      <c r="E15" s="110" t="s">
        <v>442</v>
      </c>
      <c r="F15" s="111">
        <f>HLOOKUP($C$5,Data!$A$3:$Q$18,7,FALSE)</f>
        <v>8621.9386867120811</v>
      </c>
      <c r="G15" s="110"/>
      <c r="H15" s="110"/>
      <c r="I15" s="110"/>
      <c r="J15" s="110"/>
      <c r="K15" s="110"/>
    </row>
    <row r="16" spans="2:18" ht="19" customHeight="1">
      <c r="B16" s="105"/>
      <c r="C16" s="105"/>
      <c r="E16" s="106"/>
      <c r="F16" s="107"/>
      <c r="G16" s="106"/>
      <c r="H16" s="106"/>
      <c r="I16" s="106"/>
      <c r="J16" s="106"/>
      <c r="K16" s="106"/>
    </row>
    <row r="17" spans="2:11" ht="19" customHeight="1">
      <c r="B17" s="108" t="s">
        <v>479</v>
      </c>
      <c r="E17" s="109" t="s">
        <v>444</v>
      </c>
    </row>
    <row r="18" spans="2:11" ht="19" customHeight="1">
      <c r="B18" s="112" t="str">
        <f>Assumptions!A43</f>
        <v>Agriculture</v>
      </c>
      <c r="C18" s="112">
        <v>4</v>
      </c>
      <c r="E18" s="110" t="s">
        <v>471</v>
      </c>
      <c r="F18" s="111" t="s">
        <v>463</v>
      </c>
      <c r="G18" s="110"/>
      <c r="H18" s="110"/>
      <c r="I18" s="110"/>
      <c r="J18" s="110"/>
      <c r="K18" s="110"/>
    </row>
    <row r="19" spans="2:11" ht="19" customHeight="1">
      <c r="B19" s="112" t="str">
        <f>Assumptions!A44</f>
        <v>Manufacturing</v>
      </c>
      <c r="C19" s="112">
        <v>50</v>
      </c>
      <c r="E19" s="110" t="s">
        <v>445</v>
      </c>
      <c r="F19" s="111">
        <f>HLOOKUP($C$5,Data!$A$3:$Q$47,34,FALSE)</f>
        <v>6866.0765253151676</v>
      </c>
      <c r="G19" s="110"/>
      <c r="H19" s="110"/>
      <c r="I19" s="110"/>
      <c r="J19" s="110"/>
      <c r="K19" s="110"/>
    </row>
    <row r="20" spans="2:11" ht="19" customHeight="1">
      <c r="B20" s="112" t="str">
        <f>Assumptions!A45</f>
        <v>Construction</v>
      </c>
      <c r="C20" s="112">
        <v>54</v>
      </c>
      <c r="E20" s="110" t="s">
        <v>446</v>
      </c>
      <c r="F20" s="111">
        <f>HLOOKUP($C$5,Data!$A$3:$Q$47,37,FALSE)</f>
        <v>10299.114787972752</v>
      </c>
      <c r="G20" s="110"/>
      <c r="H20" s="110"/>
      <c r="I20" s="110"/>
      <c r="J20" s="110"/>
      <c r="K20" s="110"/>
    </row>
    <row r="21" spans="2:11" ht="19" customHeight="1">
      <c r="B21" s="112" t="str">
        <f>Assumptions!A46</f>
        <v>Trade</v>
      </c>
      <c r="C21" s="112">
        <v>10</v>
      </c>
      <c r="E21" s="110" t="s">
        <v>447</v>
      </c>
      <c r="F21" s="111">
        <f>HLOOKUP($C$5,Data!$A$3:$Q$47,41,FALSE)</f>
        <v>6219.3472753325923</v>
      </c>
      <c r="G21" s="110"/>
      <c r="H21" s="110"/>
      <c r="I21" s="110"/>
      <c r="J21" s="110"/>
      <c r="K21" s="110"/>
    </row>
    <row r="22" spans="2:11" ht="19" customHeight="1">
      <c r="B22" s="112" t="str">
        <f>Assumptions!A47</f>
        <v>Tourism</v>
      </c>
      <c r="C22" s="112">
        <v>20</v>
      </c>
      <c r="E22" s="106"/>
      <c r="F22" s="107"/>
      <c r="G22" s="106"/>
      <c r="H22" s="106"/>
      <c r="I22" s="106"/>
      <c r="J22" s="106"/>
      <c r="K22" s="106"/>
    </row>
    <row r="23" spans="2:11" ht="19" customHeight="1">
      <c r="B23" s="112" t="str">
        <f>Assumptions!A48</f>
        <v>Non-bank financial institutions</v>
      </c>
      <c r="C23" s="112">
        <v>54</v>
      </c>
      <c r="E23" s="109" t="s">
        <v>448</v>
      </c>
    </row>
    <row r="24" spans="2:11" ht="19" customHeight="1">
      <c r="B24" s="112" t="str">
        <f>Assumptions!A49</f>
        <v>Other</v>
      </c>
      <c r="C24" s="112">
        <v>54</v>
      </c>
      <c r="E24" s="110" t="s">
        <v>470</v>
      </c>
      <c r="F24" s="111" t="s">
        <v>463</v>
      </c>
      <c r="G24" s="110"/>
      <c r="H24" s="110"/>
      <c r="I24" s="110"/>
      <c r="J24" s="110"/>
      <c r="K24" s="110"/>
    </row>
    <row r="25" spans="2:11" ht="19" customHeight="1">
      <c r="B25" s="112" t="str">
        <f>Assumptions!A50</f>
        <v>Assumed provisioning rate (%)</v>
      </c>
      <c r="C25" s="112">
        <v>99</v>
      </c>
      <c r="E25" s="110" t="s">
        <v>449</v>
      </c>
      <c r="F25" s="111">
        <f>HLOOKUP($C$5,Data!$A$3:$Q$47,10,FALSE)</f>
        <v>0</v>
      </c>
      <c r="G25" s="110"/>
      <c r="H25" s="110"/>
      <c r="I25" s="110"/>
      <c r="J25" s="110"/>
      <c r="K25" s="110"/>
    </row>
    <row r="26" spans="2:11" ht="19" customHeight="1">
      <c r="B26" s="105"/>
      <c r="C26" s="105"/>
      <c r="E26" s="110" t="s">
        <v>450</v>
      </c>
      <c r="F26" s="111">
        <f>HLOOKUP($C$5,Data!$A$3:$Q$47,13,FALSE)</f>
        <v>34590.731</v>
      </c>
      <c r="G26" s="110"/>
      <c r="H26" s="110"/>
      <c r="I26" s="110"/>
      <c r="J26" s="110"/>
      <c r="K26" s="110"/>
    </row>
    <row r="27" spans="2:11" ht="19" customHeight="1">
      <c r="B27" s="108" t="s">
        <v>483</v>
      </c>
      <c r="E27" s="110" t="s">
        <v>451</v>
      </c>
      <c r="F27" s="111">
        <f>HLOOKUP($C$5,Data!$A$3:$Q$47,16,FALSE)</f>
        <v>0.75700000000000001</v>
      </c>
      <c r="G27" s="110"/>
      <c r="H27" s="110"/>
      <c r="I27" s="110"/>
      <c r="J27" s="110"/>
      <c r="K27" s="110"/>
    </row>
    <row r="28" spans="2:11" ht="19" customHeight="1">
      <c r="B28" s="112" t="s">
        <v>485</v>
      </c>
      <c r="C28" s="112">
        <v>15</v>
      </c>
      <c r="E28" s="106"/>
      <c r="F28" s="107"/>
      <c r="G28" s="106"/>
      <c r="H28" s="106"/>
      <c r="I28" s="106"/>
      <c r="J28" s="106"/>
      <c r="K28" s="106"/>
    </row>
    <row r="29" spans="2:11" ht="19" customHeight="1">
      <c r="B29" s="112" t="s">
        <v>486</v>
      </c>
      <c r="C29" s="112">
        <v>10</v>
      </c>
      <c r="E29" s="109" t="s">
        <v>452</v>
      </c>
    </row>
    <row r="30" spans="2:11" ht="19" customHeight="1">
      <c r="B30" s="112" t="s">
        <v>484</v>
      </c>
      <c r="C30" s="112">
        <v>95</v>
      </c>
      <c r="E30" s="110" t="s">
        <v>468</v>
      </c>
      <c r="F30" s="111" t="s">
        <v>461</v>
      </c>
      <c r="G30" s="110" t="s">
        <v>462</v>
      </c>
      <c r="H30" s="110"/>
      <c r="I30" s="110"/>
      <c r="J30" s="110"/>
      <c r="K30" s="110"/>
    </row>
    <row r="31" spans="2:11" ht="19" customHeight="1">
      <c r="B31" s="105"/>
      <c r="C31" s="105"/>
      <c r="E31" s="110" t="s">
        <v>458</v>
      </c>
      <c r="F31" s="111">
        <f>Data!Q47</f>
        <v>5164.2882293468701</v>
      </c>
      <c r="G31" s="111">
        <f>HLOOKUP($C$5,'Credit Risk'!$A$2:$Q$43,34,FALSE)</f>
        <v>1291.0720573367175</v>
      </c>
      <c r="H31" s="111"/>
      <c r="I31" s="111"/>
      <c r="J31" s="111"/>
      <c r="K31" s="110"/>
    </row>
    <row r="32" spans="2:11" ht="19" customHeight="1">
      <c r="B32" s="108" t="s">
        <v>495</v>
      </c>
      <c r="E32" s="110" t="s">
        <v>459</v>
      </c>
      <c r="F32" s="111">
        <f>Data!Q46</f>
        <v>1009.3630240881893</v>
      </c>
      <c r="G32" s="111">
        <f>HLOOKUP($C$5,'Credit Risk'!$A$2:$Q$43,33,FALSE)</f>
        <v>252.34075602204732</v>
      </c>
      <c r="H32" s="111"/>
      <c r="I32" s="111"/>
      <c r="J32" s="111"/>
      <c r="K32" s="110"/>
    </row>
    <row r="33" spans="2:11" ht="19" customHeight="1">
      <c r="B33" s="112" t="s">
        <v>496</v>
      </c>
      <c r="C33" s="112">
        <v>4</v>
      </c>
      <c r="E33" s="110" t="s">
        <v>460</v>
      </c>
      <c r="F33" s="111">
        <f>Data!Q45</f>
        <v>1854.9206715137011</v>
      </c>
      <c r="G33" s="111">
        <f>HLOOKUP($C$5,'Credit Risk'!$A$2:$Q$43,32,FALSE)</f>
        <v>463.73016787842528</v>
      </c>
      <c r="H33" s="111"/>
      <c r="I33" s="111"/>
      <c r="J33" s="111"/>
      <c r="K33" s="110"/>
    </row>
    <row r="34" spans="2:11" ht="19" customHeight="1">
      <c r="B34" s="112" t="s">
        <v>497</v>
      </c>
      <c r="C34" s="112">
        <v>100</v>
      </c>
    </row>
    <row r="35" spans="2:11" ht="30" customHeight="1">
      <c r="B35" s="105"/>
      <c r="C35" s="105"/>
      <c r="E35" s="110" t="s">
        <v>464</v>
      </c>
      <c r="F35" s="111" t="s">
        <v>461</v>
      </c>
      <c r="G35" s="110" t="s">
        <v>462</v>
      </c>
      <c r="H35" s="110"/>
      <c r="I35" s="110"/>
      <c r="J35" s="110"/>
      <c r="K35" s="110"/>
    </row>
    <row r="36" spans="2:11" ht="19" customHeight="1">
      <c r="B36" s="108" t="s">
        <v>41</v>
      </c>
      <c r="E36" s="110" t="s">
        <v>465</v>
      </c>
      <c r="F36" s="111">
        <f>HLOOKUP($C$5,'Credit Risk'!$A$2:$Q$43,18,FALSE)</f>
        <v>7.7439645354870487E-3</v>
      </c>
      <c r="G36" s="111">
        <f>HLOOKUP($C$5,'Credit Risk'!$A$2:$Q$43,41,FALSE)</f>
        <v>7.7439645354870487E-3</v>
      </c>
      <c r="H36" s="111"/>
      <c r="I36" s="111"/>
      <c r="J36" s="111"/>
      <c r="K36" s="110"/>
    </row>
    <row r="37" spans="2:11" ht="33" customHeight="1">
      <c r="B37" s="112" t="s">
        <v>502</v>
      </c>
      <c r="C37" s="112">
        <v>55</v>
      </c>
      <c r="G37" s="103"/>
      <c r="H37" s="103"/>
      <c r="I37" s="103"/>
      <c r="J37" s="103"/>
    </row>
    <row r="38" spans="2:11" ht="19" customHeight="1">
      <c r="B38" s="114" t="s">
        <v>501</v>
      </c>
      <c r="C38" s="112">
        <v>10</v>
      </c>
      <c r="E38" s="110" t="s">
        <v>467</v>
      </c>
      <c r="F38" s="111" t="s">
        <v>461</v>
      </c>
      <c r="G38" s="110" t="s">
        <v>462</v>
      </c>
      <c r="H38" s="110"/>
      <c r="I38" s="110"/>
      <c r="J38" s="110"/>
      <c r="K38" s="110"/>
    </row>
    <row r="39" spans="2:11" ht="19" customHeight="1">
      <c r="B39" s="112" t="s">
        <v>474</v>
      </c>
      <c r="C39" s="112">
        <v>50</v>
      </c>
      <c r="E39" s="110" t="s">
        <v>466</v>
      </c>
      <c r="F39" s="111">
        <f>HLOOKUP($C$5,'Credit Risk'!$A$2:$Q$43,17,FALSE)</f>
        <v>9775.3546846839909</v>
      </c>
      <c r="G39" s="111">
        <f>HLOOKUP($C$5,'Credit Risk'!$A$2:$Q$43,40,FALSE)</f>
        <v>9775.3546846839909</v>
      </c>
      <c r="H39" s="111"/>
      <c r="I39" s="111"/>
      <c r="J39" s="111"/>
      <c r="K39" s="110"/>
    </row>
    <row r="40" spans="2:11" ht="19" customHeight="1">
      <c r="E40" s="110" t="s">
        <v>476</v>
      </c>
      <c r="F40" s="111">
        <f>HLOOKUP($C$5,'Credit Risk'!$A$2:$Q$43,16,FALSE)</f>
        <v>0.75700000000000001</v>
      </c>
      <c r="G40" s="111">
        <f>HLOOKUP($C$5,'Credit Risk'!$A$2:$Q$43,38,FALSE)</f>
        <v>0.75700000000000001</v>
      </c>
      <c r="H40" s="111"/>
      <c r="I40" s="111"/>
      <c r="J40" s="111"/>
      <c r="K40" s="110"/>
    </row>
    <row r="41" spans="2:11" ht="19" customHeight="1">
      <c r="E41" s="113" t="s">
        <v>478</v>
      </c>
      <c r="F41" s="111">
        <f>HLOOKUP($C$5,'Credit Risk'!$A$2:$Q$43,15,FALSE)</f>
        <v>6219.3472753325923</v>
      </c>
      <c r="G41" s="111">
        <f>HLOOKUP($C$5,'Credit Risk'!$A$2:$Q$43,35,FALSE)</f>
        <v>3860.9733714403542</v>
      </c>
      <c r="H41" s="111"/>
      <c r="I41" s="111"/>
      <c r="J41" s="111"/>
      <c r="K41" s="110"/>
    </row>
    <row r="42" spans="2:11" ht="21" customHeight="1">
      <c r="E42" s="106"/>
      <c r="F42" s="107"/>
      <c r="G42" s="106"/>
      <c r="H42" s="106"/>
      <c r="I42" s="106"/>
      <c r="J42" s="106"/>
      <c r="K42" s="106"/>
    </row>
    <row r="43" spans="2:11" ht="19" customHeight="1">
      <c r="E43" s="109" t="s">
        <v>472</v>
      </c>
    </row>
    <row r="44" spans="2:11" ht="19" customHeight="1">
      <c r="E44" s="110" t="s">
        <v>475</v>
      </c>
      <c r="F44" s="111" t="s">
        <v>461</v>
      </c>
      <c r="G44" s="110" t="s">
        <v>462</v>
      </c>
      <c r="H44" s="110"/>
      <c r="I44" s="110"/>
      <c r="J44" s="110"/>
      <c r="K44" s="110"/>
    </row>
    <row r="45" spans="2:11" ht="19" customHeight="1">
      <c r="E45" s="110" t="s">
        <v>446</v>
      </c>
      <c r="F45" s="111">
        <f>HLOOKUP($C$5,'Credit Risk'!$A$2:$Q$43,7,FALSE)</f>
        <v>10299.114787972752</v>
      </c>
      <c r="G45" s="111">
        <f>HLOOKUP($C$5,'Credit Risk'!$A$2:$Q$43,34,FALSE)</f>
        <v>1291.0720573367175</v>
      </c>
      <c r="H45" s="111"/>
      <c r="I45" s="111"/>
      <c r="J45" s="111"/>
      <c r="K45" s="110"/>
    </row>
    <row r="46" spans="2:11" ht="19" customHeight="1">
      <c r="E46" s="110" t="s">
        <v>476</v>
      </c>
      <c r="F46" s="111">
        <f>HLOOKUP($C$5,'Credit Risk'!$A$2:$Q$43,16,FALSE)</f>
        <v>0.75700000000000001</v>
      </c>
      <c r="G46" s="111">
        <f>HLOOKUP($C$5,'Credit Risk'!$A$2:$Q$43,33,FALSE)</f>
        <v>252.34075602204732</v>
      </c>
      <c r="H46" s="111"/>
      <c r="I46" s="111"/>
      <c r="J46" s="111"/>
      <c r="K46" s="110"/>
    </row>
    <row r="47" spans="2:11" ht="19" customHeight="1">
      <c r="E47" s="110" t="s">
        <v>466</v>
      </c>
      <c r="F47" s="111">
        <f>HLOOKUP($C$5,'Credit Risk'!$A$2:$Q$43,40,FALSE)</f>
        <v>9775.3546846839909</v>
      </c>
      <c r="G47" s="111">
        <f>HLOOKUP($C$5,'Credit Risk'!$A$2:$Q$43,32,FALSE)</f>
        <v>463.73016787842528</v>
      </c>
      <c r="H47" s="111"/>
      <c r="I47" s="111"/>
      <c r="J47" s="111"/>
      <c r="K47" s="110"/>
    </row>
    <row r="48" spans="2:11" ht="19" customHeight="1">
      <c r="E48" s="113" t="s">
        <v>477</v>
      </c>
      <c r="F48" s="111">
        <f>HLOOKUP($C$5,'Credit Risk'!$A$2:$Q$43,35,FALSE)</f>
        <v>3860.9733714403542</v>
      </c>
      <c r="G48" s="111">
        <f>HLOOKUP($C$5,'Credit Risk'!$A$2:$Q$62,51,FALSE)+F48</f>
        <v>4290.1031542725523</v>
      </c>
      <c r="H48" s="111"/>
      <c r="I48" s="111"/>
      <c r="J48" s="111"/>
      <c r="K48" s="110"/>
    </row>
    <row r="50" spans="5:11" ht="19" customHeight="1">
      <c r="E50" s="110" t="s">
        <v>464</v>
      </c>
      <c r="F50" s="111" t="s">
        <v>461</v>
      </c>
      <c r="G50" s="110" t="s">
        <v>462</v>
      </c>
      <c r="H50" s="110"/>
      <c r="I50" s="110"/>
      <c r="J50" s="110"/>
      <c r="K50" s="110"/>
    </row>
    <row r="51" spans="5:11" ht="19" customHeight="1">
      <c r="E51" s="110" t="s">
        <v>465</v>
      </c>
      <c r="F51" s="111">
        <f>HLOOKUP($C$5,'Credit Risk'!$A$2:$Q$62,41,FALSE)</f>
        <v>7.7439645354870487E-3</v>
      </c>
      <c r="G51" s="111">
        <f>HLOOKUP($C$5,'Credit Risk'!$A$2:$Q$62,55,FALSE)</f>
        <v>-4.5833776453134929</v>
      </c>
      <c r="H51" s="111"/>
      <c r="I51" s="111"/>
      <c r="J51" s="111"/>
      <c r="K51" s="110"/>
    </row>
    <row r="52" spans="5:11" ht="19" customHeight="1">
      <c r="E52" s="106"/>
      <c r="F52" s="107"/>
      <c r="G52" s="106"/>
      <c r="H52" s="106"/>
      <c r="I52" s="106"/>
      <c r="J52" s="106"/>
      <c r="K52" s="106"/>
    </row>
    <row r="53" spans="5:11" ht="19" customHeight="1">
      <c r="E53" s="109" t="s">
        <v>479</v>
      </c>
    </row>
    <row r="54" spans="5:11" ht="19" customHeight="1">
      <c r="E54" s="110" t="s">
        <v>464</v>
      </c>
      <c r="F54" s="111" t="s">
        <v>461</v>
      </c>
      <c r="G54" s="110" t="s">
        <v>462</v>
      </c>
      <c r="H54" s="110"/>
      <c r="I54" s="110"/>
      <c r="J54" s="110"/>
      <c r="K54" s="110"/>
    </row>
    <row r="55" spans="5:11" ht="19" customHeight="1">
      <c r="E55" s="110" t="s">
        <v>465</v>
      </c>
      <c r="F55" s="111">
        <f>HLOOKUP($C$5,'Credit Risk'!$A$2:$Q$62,41,FALSE)</f>
        <v>7.7439645354870487E-3</v>
      </c>
      <c r="G55" s="111">
        <f>HLOOKUP($C$5,'Credit Risk'!$A$2:$Q$123,120,FALSE)</f>
        <v>-22.596520357162234</v>
      </c>
      <c r="H55" s="111"/>
      <c r="I55" s="111"/>
      <c r="J55" s="111"/>
      <c r="K55" s="110"/>
    </row>
    <row r="56" spans="5:11" ht="19" customHeight="1">
      <c r="G56" s="103"/>
      <c r="H56" s="103"/>
      <c r="I56" s="103"/>
      <c r="J56" s="103"/>
    </row>
    <row r="57" spans="5:11" ht="19" customHeight="1">
      <c r="E57" s="110" t="s">
        <v>480</v>
      </c>
      <c r="F57" s="111" t="s">
        <v>461</v>
      </c>
      <c r="G57" s="110" t="s">
        <v>462</v>
      </c>
      <c r="H57" s="110"/>
      <c r="I57" s="110"/>
      <c r="J57" s="110"/>
      <c r="K57" s="110"/>
    </row>
    <row r="58" spans="5:11" ht="19" customHeight="1">
      <c r="E58" s="110" t="s">
        <v>481</v>
      </c>
      <c r="F58" s="111">
        <f>SUM(F61:F67)</f>
        <v>4916.5635846641699</v>
      </c>
      <c r="G58" s="111">
        <f>HLOOKUP($C$5,'Credit Risk'!$A$2:$Q$123,114,FALSE)+F58</f>
        <v>7148.5302627545034</v>
      </c>
      <c r="H58" s="111"/>
      <c r="I58" s="111"/>
      <c r="J58" s="111"/>
      <c r="K58" s="110"/>
    </row>
    <row r="60" spans="5:11" ht="19" customHeight="1">
      <c r="E60" s="110" t="s">
        <v>482</v>
      </c>
      <c r="F60" s="111" t="s">
        <v>461</v>
      </c>
      <c r="G60" s="110" t="s">
        <v>462</v>
      </c>
      <c r="H60" s="110"/>
      <c r="I60" s="110"/>
      <c r="J60" s="110"/>
      <c r="K60" s="110"/>
    </row>
    <row r="61" spans="5:11" ht="19" customHeight="1">
      <c r="E61" s="110" t="str">
        <f t="shared" ref="E61:E67" si="0">B18</f>
        <v>Agriculture</v>
      </c>
      <c r="F61" s="111">
        <f>HLOOKUP($C$5,'Credit Risk'!$A$2:$Q$123,82,FALSE)</f>
        <v>98.377114375072551</v>
      </c>
      <c r="G61" s="110">
        <f t="shared" ref="G61:G67" si="1">F61*C18/100+F61</f>
        <v>102.31219895007546</v>
      </c>
      <c r="H61" s="110"/>
      <c r="I61" s="110"/>
      <c r="J61" s="110"/>
      <c r="K61" s="110"/>
    </row>
    <row r="62" spans="5:11" ht="19" customHeight="1">
      <c r="E62" s="110" t="str">
        <f t="shared" si="0"/>
        <v>Manufacturing</v>
      </c>
      <c r="F62" s="111">
        <f>HLOOKUP($C$5,'Credit Risk'!$A$2:$Q$123,83,FALSE)</f>
        <v>439.73600875990724</v>
      </c>
      <c r="G62" s="110">
        <f t="shared" si="1"/>
        <v>659.60401313986085</v>
      </c>
      <c r="H62" s="110"/>
      <c r="I62" s="110"/>
      <c r="J62" s="110"/>
      <c r="K62" s="110"/>
    </row>
    <row r="63" spans="5:11" ht="19" customHeight="1">
      <c r="E63" s="110" t="str">
        <f t="shared" si="0"/>
        <v>Construction</v>
      </c>
      <c r="F63" s="111">
        <f>HLOOKUP($C$5,'Credit Risk'!$A$2:$Q$123,84,FALSE)</f>
        <v>432.97278297493131</v>
      </c>
      <c r="G63" s="110">
        <f t="shared" si="1"/>
        <v>666.77808578139422</v>
      </c>
      <c r="H63" s="110"/>
      <c r="I63" s="110"/>
      <c r="J63" s="110"/>
      <c r="K63" s="110"/>
    </row>
    <row r="64" spans="5:11" ht="19" customHeight="1">
      <c r="E64" s="110" t="str">
        <f t="shared" si="0"/>
        <v>Trade</v>
      </c>
      <c r="F64" s="111">
        <f>HLOOKUP($C$5,'Credit Risk'!$A$2:$Q$123,85,FALSE)</f>
        <v>1881.772280285219</v>
      </c>
      <c r="G64" s="110">
        <f t="shared" si="1"/>
        <v>2069.9495083137408</v>
      </c>
      <c r="H64" s="110"/>
      <c r="I64" s="110"/>
      <c r="J64" s="110"/>
      <c r="K64" s="110"/>
    </row>
    <row r="65" spans="5:11" ht="19" customHeight="1">
      <c r="E65" s="110" t="str">
        <f t="shared" si="0"/>
        <v>Tourism</v>
      </c>
      <c r="F65" s="111">
        <f>HLOOKUP($C$5,'Credit Risk'!$A$2:$Q$123,86,FALSE)</f>
        <v>1708.6966021071421</v>
      </c>
      <c r="G65" s="110">
        <f t="shared" si="1"/>
        <v>2050.4359225285707</v>
      </c>
      <c r="H65" s="110"/>
      <c r="I65" s="110"/>
      <c r="J65" s="110"/>
      <c r="K65" s="110"/>
    </row>
    <row r="66" spans="5:11" ht="19" customHeight="1">
      <c r="E66" s="110" t="str">
        <f t="shared" si="0"/>
        <v>Non-bank financial institutions</v>
      </c>
      <c r="F66" s="111">
        <f>HLOOKUP($C$5,'Credit Risk'!$A$2:$Q$123,87,FALSE)</f>
        <v>255.00879616189729</v>
      </c>
      <c r="G66" s="110">
        <f t="shared" si="1"/>
        <v>392.71354608932188</v>
      </c>
      <c r="H66" s="110"/>
      <c r="I66" s="110"/>
      <c r="J66" s="110"/>
      <c r="K66" s="110"/>
    </row>
    <row r="67" spans="5:11" ht="19" customHeight="1">
      <c r="E67" s="110" t="str">
        <f t="shared" si="0"/>
        <v>Other</v>
      </c>
      <c r="F67" s="111">
        <f>HLOOKUP($C$5,'Credit Risk'!$A$2:$Q$123,89,FALSE)</f>
        <v>100</v>
      </c>
      <c r="G67" s="110">
        <f t="shared" si="1"/>
        <v>154</v>
      </c>
      <c r="H67" s="110"/>
      <c r="I67" s="110"/>
      <c r="J67" s="110"/>
      <c r="K67" s="110"/>
    </row>
    <row r="68" spans="5:11" ht="19" customHeight="1">
      <c r="E68" s="106"/>
      <c r="F68" s="107"/>
      <c r="G68" s="106"/>
      <c r="H68" s="106"/>
      <c r="I68" s="106"/>
      <c r="J68" s="106"/>
      <c r="K68" s="106"/>
    </row>
    <row r="69" spans="5:11" ht="19" customHeight="1">
      <c r="E69" s="109" t="s">
        <v>492</v>
      </c>
    </row>
    <row r="70" spans="5:11" ht="19" customHeight="1">
      <c r="E70" s="110" t="s">
        <v>494</v>
      </c>
      <c r="F70" s="110" t="s">
        <v>373</v>
      </c>
      <c r="G70" s="110" t="s">
        <v>374</v>
      </c>
      <c r="H70" s="110" t="s">
        <v>624</v>
      </c>
      <c r="I70" s="110" t="s">
        <v>625</v>
      </c>
      <c r="J70" s="110" t="s">
        <v>627</v>
      </c>
      <c r="K70" s="110"/>
    </row>
    <row r="71" spans="5:11" ht="19" customHeight="1">
      <c r="E71" s="110" t="s">
        <v>487</v>
      </c>
      <c r="F71" s="110">
        <f>HLOOKUP($C$5,Liquidity!$A$2:$Q$149,17,FALSE)</f>
        <v>0</v>
      </c>
      <c r="G71" s="110">
        <f>HLOOKUP($C$5,Liquidity!$A$2:$Q$149,18,FALSE)</f>
        <v>0</v>
      </c>
      <c r="H71" s="110">
        <f>HLOOKUP($C$5,Liquidity!$A$2:$Q$149,21,FALSE)</f>
        <v>614.56932666524517</v>
      </c>
      <c r="I71" s="110">
        <f>HLOOKUP($C$5,Liquidity!$A$2:$Q$149,22,FALSE)</f>
        <v>561.97910000000047</v>
      </c>
      <c r="J71" s="110">
        <f>HLOOKUP($C$5,Liquidity!$A$2:$Q$149,24,FALSE)</f>
        <v>10935.474200000004</v>
      </c>
      <c r="K71" s="110"/>
    </row>
    <row r="72" spans="5:11" ht="19" customHeight="1">
      <c r="E72" s="110" t="s">
        <v>488</v>
      </c>
      <c r="F72" s="110">
        <f>HLOOKUP($C$5,Liquidity!$A$2:$Q$149,28,FALSE)</f>
        <v>0</v>
      </c>
      <c r="G72" s="110">
        <f>HLOOKUP($C$5,Liquidity!$A$2:$Q$149,29,FALSE)</f>
        <v>0</v>
      </c>
      <c r="H72" s="110">
        <f>HLOOKUP($C$5,Liquidity!$A$2:$Q$149,32,FALSE)</f>
        <v>600.36377289863594</v>
      </c>
      <c r="I72" s="110">
        <f>HLOOKUP($C$5,Liquidity!$A$2:$Q$149,33,FALSE)</f>
        <v>28.098954999999933</v>
      </c>
      <c r="J72" s="110">
        <f>HLOOKUP($C$5,Liquidity!$A$2:$Q$149,35,FALSE)</f>
        <v>789.17273199999909</v>
      </c>
      <c r="K72" s="110"/>
    </row>
    <row r="73" spans="5:11" ht="19" customHeight="1">
      <c r="E73" s="110" t="s">
        <v>489</v>
      </c>
      <c r="F73" s="110">
        <f>HLOOKUP($C$5,Liquidity!$A$2:$Q$149,39,FALSE)</f>
        <v>0</v>
      </c>
      <c r="G73" s="110">
        <f>HLOOKUP($C$5,Liquidity!$A$2:$Q$149,40,FALSE)</f>
        <v>0</v>
      </c>
      <c r="H73" s="110">
        <f>HLOOKUP($C$5,Liquidity!$A$2:$Q$149,43,FALSE)</f>
        <v>586.54207048469107</v>
      </c>
      <c r="I73" s="110">
        <f>HLOOKUP($C$5,Liquidity!$A$2:$Q$149,44,FALSE)</f>
        <v>1.4049477499999981</v>
      </c>
      <c r="J73" s="110">
        <f>HLOOKUP($C$5,Liquidity!$A$2:$Q$149,46,FALSE)</f>
        <v>279.43366837999929</v>
      </c>
      <c r="K73" s="110"/>
    </row>
    <row r="74" spans="5:11" ht="19" customHeight="1">
      <c r="E74" s="110" t="s">
        <v>490</v>
      </c>
      <c r="F74" s="110">
        <f>HLOOKUP($C$5,Liquidity!$A$2:$Q$149,50,FALSE)</f>
        <v>0</v>
      </c>
      <c r="G74" s="110">
        <f>HLOOKUP($C$5,Liquidity!$A$2:$Q$149,51,FALSE)</f>
        <v>0</v>
      </c>
      <c r="H74" s="110">
        <f>HLOOKUP($C$5,Liquidity!$A$2:$Q$149,54,FALSE)</f>
        <v>573.09312703543401</v>
      </c>
      <c r="I74" s="110">
        <f>HLOOKUP($C$5,Liquidity!$A$2:$Q$149,55,FALSE)</f>
        <v>7.0247387499999814E-2</v>
      </c>
      <c r="J74" s="110">
        <f>HLOOKUP($C$5,Liquidity!$A$2:$Q$149,57,FALSE)</f>
        <v>251.54696488120317</v>
      </c>
      <c r="K74" s="110"/>
    </row>
    <row r="75" spans="5:11" ht="19" customHeight="1">
      <c r="E75" s="110" t="s">
        <v>491</v>
      </c>
      <c r="F75" s="110">
        <f>HLOOKUP($C$5,Liquidity!$A$2:$Q$149,61,FALSE)</f>
        <v>0</v>
      </c>
      <c r="G75" s="110">
        <f>HLOOKUP($C$5,Liquidity!$A$2:$Q$149,62,FALSE)</f>
        <v>0</v>
      </c>
      <c r="H75" s="110">
        <f>HLOOKUP($C$5,Liquidity!$A$2:$Q$149,65,FALSE)</f>
        <v>560.0061787030063</v>
      </c>
      <c r="I75" s="110">
        <f>HLOOKUP($C$5,Liquidity!$A$2:$Q$149,66,FALSE)</f>
        <v>3.5123693749999907E-3</v>
      </c>
      <c r="J75" s="110">
        <f>HLOOKUP($C$5,Liquidity!$A$2:$Q$149,68,FALSE)</f>
        <v>247.7768768916394</v>
      </c>
      <c r="K75" s="110"/>
    </row>
    <row r="77" spans="5:11" ht="19" customHeight="1">
      <c r="E77" s="110" t="s">
        <v>493</v>
      </c>
      <c r="F77" s="111" t="str">
        <f>IF(HLOOKUP($C$5,Liquidity!$A$2:$Q$149,70,FALSE)&gt;0,"Liquid","Not Liquid")</f>
        <v>Liquid</v>
      </c>
      <c r="G77" s="110"/>
      <c r="H77" s="110"/>
      <c r="I77" s="110"/>
      <c r="J77" s="110"/>
      <c r="K77" s="110"/>
    </row>
    <row r="78" spans="5:11" ht="19" customHeight="1">
      <c r="E78" s="106"/>
      <c r="F78" s="107"/>
      <c r="G78" s="106"/>
      <c r="H78" s="106"/>
      <c r="I78" s="106"/>
      <c r="J78" s="106"/>
      <c r="K78" s="106"/>
    </row>
    <row r="79" spans="5:11" ht="19" customHeight="1">
      <c r="E79" s="109" t="s">
        <v>495</v>
      </c>
    </row>
    <row r="80" spans="5:11" ht="19" customHeight="1">
      <c r="E80" s="110" t="s">
        <v>464</v>
      </c>
      <c r="F80" s="111" t="s">
        <v>461</v>
      </c>
      <c r="G80" s="110" t="s">
        <v>462</v>
      </c>
      <c r="H80" s="110"/>
      <c r="I80" s="110"/>
      <c r="J80" s="110"/>
      <c r="K80" s="110"/>
    </row>
    <row r="81" spans="5:11" ht="19" customHeight="1">
      <c r="E81" s="110" t="s">
        <v>465</v>
      </c>
      <c r="F81" s="111">
        <f>HLOOKUP($C$5,'Credit Risk'!$A$2:$Q$62,41,FALSE)</f>
        <v>7.7439645354870487E-3</v>
      </c>
      <c r="G81" s="111">
        <f>HLOOKUP($C$5,'Credit Risk'!$A$2:$Q$130,128,FALSE)/HLOOKUP($C$5,'Credit Risk'!$A$2:$Q$62,40,FALSE)*100</f>
        <v>-45.994008294651131</v>
      </c>
      <c r="H81" s="110"/>
      <c r="I81" s="110"/>
      <c r="J81" s="110"/>
      <c r="K81" s="110"/>
    </row>
    <row r="83" spans="5:11" ht="19" customHeight="1">
      <c r="E83" s="110" t="s">
        <v>475</v>
      </c>
      <c r="F83" s="111" t="s">
        <v>461</v>
      </c>
      <c r="G83" s="110" t="s">
        <v>462</v>
      </c>
      <c r="H83" s="110"/>
      <c r="I83" s="110"/>
      <c r="J83" s="110"/>
      <c r="K83" s="110"/>
    </row>
    <row r="84" spans="5:11" ht="19" customHeight="1">
      <c r="E84" s="110" t="s">
        <v>446</v>
      </c>
      <c r="F84" s="111">
        <f>HLOOKUP($C$5,'Credit Risk'!$A$2:$Q$43,7,FALSE)</f>
        <v>10299.114787972752</v>
      </c>
      <c r="G84" s="111">
        <f>F84+F94</f>
        <v>14890.327756179016</v>
      </c>
      <c r="H84" s="110"/>
      <c r="I84" s="110"/>
      <c r="J84" s="110"/>
      <c r="K84" s="110"/>
    </row>
    <row r="85" spans="5:11" ht="19" customHeight="1">
      <c r="E85" s="110" t="s">
        <v>476</v>
      </c>
      <c r="F85" s="111">
        <f>HLOOKUP($C$5,'Credit Risk'!$A$2:$Q$43,38,FALSE)</f>
        <v>0.75700000000000001</v>
      </c>
      <c r="G85" s="110">
        <f>HLOOKUP($C$5,'Credit Risk'!$A$2:$Q$130,128,FALSE)</f>
        <v>-4496.0774445051229</v>
      </c>
      <c r="H85" s="110"/>
      <c r="I85" s="110"/>
      <c r="J85" s="110"/>
      <c r="K85" s="110"/>
    </row>
    <row r="86" spans="5:11" ht="19" customHeight="1">
      <c r="E86" s="113" t="s">
        <v>477</v>
      </c>
      <c r="F86" s="111">
        <f>F48</f>
        <v>3860.9733714403542</v>
      </c>
      <c r="G86" s="110">
        <f>HLOOKUP($C$5,'Credit Risk'!$A$2:$Q$130,127,FALSE)</f>
        <v>4496.8344445051225</v>
      </c>
      <c r="H86" s="110"/>
      <c r="I86" s="110"/>
      <c r="J86" s="110"/>
      <c r="K86" s="110"/>
    </row>
    <row r="88" spans="5:11" ht="19" customHeight="1">
      <c r="E88" s="110" t="s">
        <v>498</v>
      </c>
      <c r="F88" s="111" t="s">
        <v>500</v>
      </c>
      <c r="G88" s="110"/>
      <c r="H88" s="110"/>
      <c r="I88" s="110"/>
      <c r="J88" s="110"/>
      <c r="K88" s="110"/>
    </row>
    <row r="89" spans="5:11" ht="19" customHeight="1">
      <c r="E89" s="110" t="s">
        <v>330</v>
      </c>
      <c r="F89" s="111">
        <f>HLOOKUP($C$5,Data!$A$3:$Q$79,66,FALSE)</f>
        <v>1673.6382832854481</v>
      </c>
      <c r="G89" s="110"/>
      <c r="H89" s="110"/>
      <c r="I89" s="110"/>
      <c r="J89" s="110"/>
      <c r="K89" s="110"/>
    </row>
    <row r="90" spans="5:11" ht="19" customHeight="1">
      <c r="E90" s="110" t="s">
        <v>331</v>
      </c>
      <c r="F90" s="111">
        <f>HLOOKUP($C$5,Data!$A$3:$Q$79,67,FALSE)</f>
        <v>1285.7416030304303</v>
      </c>
      <c r="G90" s="110"/>
      <c r="H90" s="110"/>
      <c r="I90" s="110"/>
      <c r="J90" s="110"/>
      <c r="K90" s="110"/>
    </row>
    <row r="91" spans="5:11" ht="19" customHeight="1">
      <c r="E91" s="110" t="s">
        <v>332</v>
      </c>
      <c r="F91" s="111">
        <f>HLOOKUP($C$5,Data!$A$3:$Q$79,68,FALSE)</f>
        <v>885.61437166367546</v>
      </c>
      <c r="G91" s="110"/>
      <c r="H91" s="110"/>
      <c r="I91" s="110"/>
      <c r="J91" s="110"/>
      <c r="K91" s="110"/>
    </row>
    <row r="92" spans="5:11" ht="19" customHeight="1">
      <c r="E92" s="110" t="s">
        <v>333</v>
      </c>
      <c r="F92" s="111">
        <f>HLOOKUP($C$5,Data!$A$3:$Q$79,69,FALSE)</f>
        <v>651.84018652556892</v>
      </c>
      <c r="G92" s="110"/>
      <c r="H92" s="110"/>
      <c r="I92" s="110"/>
      <c r="J92" s="110"/>
      <c r="K92" s="110"/>
    </row>
    <row r="93" spans="5:11" ht="19" customHeight="1">
      <c r="E93" s="110" t="s">
        <v>334</v>
      </c>
      <c r="F93" s="111">
        <f>HLOOKUP($C$5,Data!$A$3:$Q$79,70,FALSE)</f>
        <v>94.378523701140523</v>
      </c>
      <c r="G93" s="110"/>
      <c r="H93" s="110"/>
      <c r="I93" s="110"/>
      <c r="J93" s="110"/>
      <c r="K93" s="110"/>
    </row>
    <row r="94" spans="5:11" ht="19" customHeight="1">
      <c r="E94" s="110" t="s">
        <v>499</v>
      </c>
      <c r="F94" s="111">
        <f>SUM(F89:F93)</f>
        <v>4591.2129682062632</v>
      </c>
      <c r="G94" s="110"/>
      <c r="H94" s="110"/>
      <c r="I94" s="110"/>
      <c r="J94" s="110"/>
      <c r="K94" s="110"/>
    </row>
    <row r="95" spans="5:11" ht="19" customHeight="1">
      <c r="E95" s="106"/>
      <c r="F95" s="107"/>
      <c r="G95" s="106"/>
      <c r="H95" s="106"/>
      <c r="I95" s="106"/>
      <c r="J95" s="106"/>
      <c r="K95" s="106"/>
    </row>
    <row r="96" spans="5:11" ht="19" customHeight="1">
      <c r="E96" s="109" t="s">
        <v>41</v>
      </c>
    </row>
    <row r="97" spans="5:11" ht="19" customHeight="1">
      <c r="E97" s="110" t="s">
        <v>464</v>
      </c>
      <c r="F97" s="111" t="s">
        <v>461</v>
      </c>
      <c r="G97" s="110" t="s">
        <v>462</v>
      </c>
      <c r="H97" s="110"/>
      <c r="I97" s="110"/>
      <c r="J97" s="110"/>
      <c r="K97" s="110"/>
    </row>
    <row r="98" spans="5:11" ht="19" customHeight="1">
      <c r="E98" s="110" t="s">
        <v>465</v>
      </c>
      <c r="F98" s="111">
        <f>HLOOKUP($C$5,'Credit Risk'!$A$2:$Q$62,41,FALSE)</f>
        <v>7.7439645354870487E-3</v>
      </c>
      <c r="G98" s="111">
        <f>HLOOKUP($C$5,'FX Risk'!A2:Q22,21,FALSE)</f>
        <v>-2.2016052511087407</v>
      </c>
      <c r="H98" s="110"/>
      <c r="I98" s="110"/>
      <c r="J98" s="110"/>
      <c r="K98" s="110"/>
    </row>
    <row r="100" spans="5:11" ht="19" customHeight="1">
      <c r="E100" s="110" t="s">
        <v>503</v>
      </c>
      <c r="F100" s="111">
        <f>HLOOKUP($C$5,'FX Risk'!A2:Q22,3,FALSE)</f>
        <v>275.84100092135333</v>
      </c>
      <c r="G100" s="110"/>
      <c r="H100" s="110"/>
      <c r="I100" s="110"/>
      <c r="J100" s="110"/>
      <c r="K100" s="110"/>
    </row>
    <row r="101" spans="5:11" ht="19" customHeight="1">
      <c r="E101" s="110" t="s">
        <v>504</v>
      </c>
      <c r="F101" s="111">
        <f>HLOOKUP($C$5,'FX Risk'!A2:Q22,11,FALSE)</f>
        <v>13342.809911245504</v>
      </c>
      <c r="G101" s="110"/>
      <c r="H101" s="110"/>
      <c r="I101" s="110"/>
      <c r="J101" s="110"/>
      <c r="K101" s="110"/>
    </row>
    <row r="103" spans="5:11" ht="19" customHeight="1">
      <c r="E103" s="110" t="s">
        <v>505</v>
      </c>
      <c r="F103" s="111" t="s">
        <v>461</v>
      </c>
      <c r="G103" s="110" t="s">
        <v>462</v>
      </c>
      <c r="H103" s="110"/>
      <c r="I103" s="110"/>
      <c r="J103" s="110"/>
      <c r="K103" s="110"/>
    </row>
    <row r="104" spans="5:11" ht="19" customHeight="1">
      <c r="E104" s="110" t="s">
        <v>476</v>
      </c>
      <c r="F104" s="111">
        <f>F40</f>
        <v>0.75700000000000001</v>
      </c>
      <c r="G104" s="110">
        <f>HLOOKUP($C$5,'FX Risk'!A2:Q22,6,FALSE)</f>
        <v>152.46955050674435</v>
      </c>
      <c r="H104" s="110"/>
      <c r="I104" s="110"/>
      <c r="J104" s="110"/>
      <c r="K104" s="110"/>
    </row>
    <row r="105" spans="5:11" ht="19" customHeight="1">
      <c r="E105" s="113" t="s">
        <v>507</v>
      </c>
      <c r="F105" s="111">
        <f>F68</f>
        <v>0</v>
      </c>
      <c r="G105" s="110">
        <f>HLOOKUP($C$5,'FX Risk'!A2:Q22,5,FALSE)</f>
        <v>151.71255050674435</v>
      </c>
      <c r="H105" s="110"/>
      <c r="I105" s="110"/>
      <c r="J105" s="110"/>
      <c r="K105" s="110"/>
    </row>
    <row r="107" spans="5:11" ht="19" customHeight="1">
      <c r="E107" s="110" t="s">
        <v>506</v>
      </c>
      <c r="F107" s="111" t="s">
        <v>508</v>
      </c>
      <c r="G107" s="110" t="s">
        <v>509</v>
      </c>
      <c r="H107" s="110"/>
      <c r="I107" s="110"/>
      <c r="J107" s="110"/>
      <c r="K107" s="110"/>
    </row>
    <row r="108" spans="5:11" ht="19" customHeight="1">
      <c r="E108" s="110" t="s">
        <v>446</v>
      </c>
      <c r="F108" s="111">
        <f>HLOOKUP($C$5,'Credit Risk'!$A$2:$Q$43,7,FALSE)</f>
        <v>10299.114787972752</v>
      </c>
      <c r="G108" s="111">
        <f>HLOOKUP($C$5,'FX Risk'!A2:Q22,14,FALSE)+F108</f>
        <v>11032.969333091256</v>
      </c>
      <c r="H108" s="110"/>
      <c r="I108" s="110"/>
      <c r="J108" s="110"/>
      <c r="K108" s="110"/>
    </row>
    <row r="109" spans="5:11" ht="19" customHeight="1">
      <c r="E109" s="110" t="s">
        <v>476</v>
      </c>
      <c r="F109" s="111">
        <f>G104</f>
        <v>152.46955050674435</v>
      </c>
      <c r="G109" s="110">
        <f>HLOOKUP($C$5,'FX Risk'!A2:Q22,17,FALSE)</f>
        <v>-214.45772205250702</v>
      </c>
      <c r="H109" s="110"/>
      <c r="I109" s="110"/>
      <c r="J109" s="110"/>
      <c r="K109" s="110"/>
    </row>
    <row r="110" spans="5:11" ht="19" customHeight="1">
      <c r="E110" s="113" t="s">
        <v>477</v>
      </c>
      <c r="F110" s="111">
        <f>F105</f>
        <v>0</v>
      </c>
      <c r="G110" s="110">
        <f>HLOOKUP($C$5,'FX Risk'!A2:Q22,16,FALSE)</f>
        <v>366.92727255925138</v>
      </c>
      <c r="H110" s="110"/>
      <c r="I110" s="110"/>
      <c r="J110" s="110"/>
      <c r="K110" s="110"/>
    </row>
  </sheetData>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46F2A1-6F98-4045-A4C1-6E983483A57C}">
          <x14:formula1>
            <xm:f>Banks!$B$1:$B$48</xm:f>
          </x14:formula1>
          <xm:sqref>C4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125"/>
  <sheetViews>
    <sheetView zoomScaleNormal="100" workbookViewId="0">
      <pane ySplit="8" topLeftCell="A9" activePane="bottomLeft" state="frozen"/>
      <selection pane="bottomLeft" activeCell="C20" sqref="C20"/>
    </sheetView>
  </sheetViews>
  <sheetFormatPr baseColWidth="10" defaultColWidth="16.59765625" defaultRowHeight="16" outlineLevelRow="7"/>
  <cols>
    <col min="1" max="1" width="51.59765625" style="3" customWidth="1"/>
    <col min="2" max="2" width="17.19921875" style="3" customWidth="1"/>
    <col min="3" max="3" width="14.3984375" style="3" customWidth="1"/>
    <col min="4" max="4" width="15.3984375" style="3" customWidth="1"/>
    <col min="5" max="5" width="12.3984375" style="3" customWidth="1"/>
    <col min="6" max="6" width="10.796875" style="3" customWidth="1"/>
    <col min="7" max="7" width="13.3984375" style="3" customWidth="1"/>
    <col min="8" max="17" width="10.796875" style="3" customWidth="1"/>
    <col min="18" max="16384" width="16.59765625" style="3"/>
  </cols>
  <sheetData>
    <row r="1" spans="1:38">
      <c r="A1" s="30" t="s">
        <v>13</v>
      </c>
    </row>
    <row r="2" spans="1:38" ht="5" customHeight="1">
      <c r="A2" s="30"/>
    </row>
    <row r="3" spans="1:38">
      <c r="A3" s="2" t="s">
        <v>182</v>
      </c>
    </row>
    <row r="4" spans="1:38">
      <c r="A4" s="83" t="s">
        <v>337</v>
      </c>
      <c r="B4" s="97" t="str">
        <f>IF(Assumptions!B69=2,"Proportional",IF(Assumptions!B69=3,"Sector-by-sector",IF(Assumptions!B69=4,"Large exposures","wrong input")))</f>
        <v>Proportional</v>
      </c>
      <c r="D4" s="83" t="s">
        <v>103</v>
      </c>
      <c r="G4" s="94">
        <f>'FX Risk'!B5</f>
        <v>55</v>
      </c>
    </row>
    <row r="5" spans="1:38">
      <c r="A5" s="83" t="s">
        <v>339</v>
      </c>
      <c r="B5" s="94">
        <f>IF(Assumptions!B69=2,100*'Credit Risk'!B52/'Credit Risk'!B16,IF(Assumptions!B69=3,100*(-'Credit Risk'!B117)/'Credit Risk'!B16,IF(Assumptions!B69=4,100*'Credit Risk'!B128/'Credit Risk'!B16,"wrong input")))</f>
        <v>32.018659438500144</v>
      </c>
      <c r="D5" s="3" t="s">
        <v>402</v>
      </c>
      <c r="G5" s="97" t="str">
        <f>IF(Assumptions!B73=1,"Simple","Complex")</f>
        <v>Simple</v>
      </c>
    </row>
    <row r="6" spans="1:38">
      <c r="A6" s="83" t="s">
        <v>102</v>
      </c>
      <c r="B6" s="81">
        <f>'Interest Risk'!B16</f>
        <v>1</v>
      </c>
      <c r="D6" s="3" t="s">
        <v>323</v>
      </c>
      <c r="G6" s="94">
        <f>Assumptions!B74</f>
        <v>2</v>
      </c>
    </row>
    <row r="7" spans="1:38" ht="5" customHeight="1"/>
    <row r="8" spans="1:38" s="16" customFormat="1" ht="29.25" customHeight="1">
      <c r="A8" s="14"/>
      <c r="B8" s="15" t="s">
        <v>118</v>
      </c>
      <c r="C8" s="15" t="s">
        <v>356</v>
      </c>
      <c r="D8" s="15" t="s">
        <v>357</v>
      </c>
      <c r="E8" s="15" t="s">
        <v>358</v>
      </c>
      <c r="F8" s="15" t="str">
        <f>Data!F3</f>
        <v>SB1</v>
      </c>
      <c r="G8" s="15" t="str">
        <f>Data!G3</f>
        <v>SB2</v>
      </c>
      <c r="H8" s="15" t="str">
        <f>Data!H3</f>
        <v>SB3</v>
      </c>
      <c r="I8" s="15" t="str">
        <f>Data!I3</f>
        <v>DB1</v>
      </c>
      <c r="J8" s="15" t="str">
        <f>Data!J3</f>
        <v>DB2</v>
      </c>
      <c r="K8" s="15" t="str">
        <f>Data!K3</f>
        <v>DB3</v>
      </c>
      <c r="L8" s="15" t="str">
        <f>Data!L3</f>
        <v>DB4</v>
      </c>
      <c r="M8" s="15" t="str">
        <f>Data!M3</f>
        <v>DB5</v>
      </c>
      <c r="N8" s="15" t="str">
        <f>Data!N3</f>
        <v>FB1</v>
      </c>
      <c r="O8" s="15" t="str">
        <f>Data!O3</f>
        <v>FB2</v>
      </c>
      <c r="P8" s="15" t="str">
        <f>Data!P3</f>
        <v>FB3</v>
      </c>
      <c r="Q8" s="15" t="str">
        <f>Data!Q3</f>
        <v>FB4</v>
      </c>
      <c r="S8" s="17"/>
      <c r="T8" s="17"/>
      <c r="U8" s="17"/>
      <c r="V8" s="17"/>
      <c r="W8" s="17"/>
      <c r="X8" s="17"/>
      <c r="Y8" s="17"/>
      <c r="Z8" s="17"/>
      <c r="AA8" s="17"/>
      <c r="AB8" s="17"/>
      <c r="AC8" s="17"/>
      <c r="AD8" s="17"/>
      <c r="AE8" s="17"/>
      <c r="AF8" s="17"/>
      <c r="AG8" s="17"/>
      <c r="AH8" s="17"/>
      <c r="AI8" s="17"/>
      <c r="AJ8" s="17"/>
      <c r="AK8" s="17"/>
      <c r="AL8" s="17"/>
    </row>
    <row r="9" spans="1:38">
      <c r="A9" s="30" t="s">
        <v>3</v>
      </c>
    </row>
    <row r="10" spans="1:38" ht="15" customHeight="1">
      <c r="A10" s="55" t="s">
        <v>317</v>
      </c>
      <c r="B10" s="21"/>
      <c r="C10" s="21"/>
      <c r="D10" s="21"/>
      <c r="E10" s="21"/>
      <c r="F10" s="21"/>
      <c r="G10" s="21"/>
      <c r="H10" s="21"/>
      <c r="I10" s="21"/>
      <c r="J10" s="21"/>
      <c r="K10" s="21"/>
      <c r="L10" s="21"/>
      <c r="M10" s="21"/>
      <c r="N10" s="21"/>
      <c r="O10" s="21"/>
      <c r="P10" s="21"/>
      <c r="Q10" s="21"/>
    </row>
    <row r="11" spans="1:38" ht="17">
      <c r="A11" s="5" t="s">
        <v>105</v>
      </c>
      <c r="B11" s="21">
        <f>100*B40/B$48</f>
        <v>11.762867885692444</v>
      </c>
      <c r="C11" s="21">
        <f t="shared" ref="C11:Q16" si="0">100*C40/C$48</f>
        <v>4.9536604973151626</v>
      </c>
      <c r="D11" s="21">
        <f t="shared" si="0"/>
        <v>18.224238204790488</v>
      </c>
      <c r="E11" s="21">
        <f t="shared" si="0"/>
        <v>12.684909044578768</v>
      </c>
      <c r="F11" s="21">
        <f t="shared" si="0"/>
        <v>7.8999999999999977</v>
      </c>
      <c r="G11" s="21">
        <f t="shared" si="0"/>
        <v>8.1000000000000085</v>
      </c>
      <c r="H11" s="21">
        <f t="shared" si="0"/>
        <v>4.289627746729507</v>
      </c>
      <c r="I11" s="21">
        <f t="shared" si="0"/>
        <v>23.876427373511582</v>
      </c>
      <c r="J11" s="21">
        <f t="shared" si="0"/>
        <v>0.43159723245679266</v>
      </c>
      <c r="K11" s="21">
        <f t="shared" si="0"/>
        <v>16.732397098703455</v>
      </c>
      <c r="L11" s="21">
        <f t="shared" si="0"/>
        <v>8.2999999999999989</v>
      </c>
      <c r="M11" s="21">
        <f t="shared" si="0"/>
        <v>27.913237383939766</v>
      </c>
      <c r="N11" s="21">
        <f t="shared" si="0"/>
        <v>21.444402219444481</v>
      </c>
      <c r="O11" s="21">
        <f t="shared" si="0"/>
        <v>19.034078146894551</v>
      </c>
      <c r="P11" s="21">
        <f t="shared" si="0"/>
        <v>12.168478051305209</v>
      </c>
      <c r="Q11" s="21">
        <f t="shared" si="0"/>
        <v>7.7439645354870487E-3</v>
      </c>
    </row>
    <row r="12" spans="1:38">
      <c r="A12" s="3" t="s">
        <v>140</v>
      </c>
      <c r="B12" s="21"/>
      <c r="C12" s="21"/>
      <c r="D12" s="21"/>
      <c r="E12" s="21"/>
      <c r="F12" s="21"/>
      <c r="G12" s="21"/>
      <c r="H12" s="21"/>
      <c r="I12" s="21"/>
      <c r="J12" s="21"/>
      <c r="K12" s="21"/>
      <c r="L12" s="21"/>
      <c r="M12" s="21"/>
      <c r="N12" s="21"/>
      <c r="O12" s="21"/>
      <c r="P12" s="21"/>
      <c r="Q12" s="21"/>
    </row>
    <row r="13" spans="1:38">
      <c r="A13" s="37" t="s">
        <v>101</v>
      </c>
      <c r="B13" s="21">
        <f>100*B42/B$48</f>
        <v>-1.6553433669219881</v>
      </c>
      <c r="C13" s="21">
        <f t="shared" si="0"/>
        <v>-6.3256468958099559</v>
      </c>
      <c r="D13" s="21">
        <f t="shared" si="0"/>
        <v>-0.29216419128871401</v>
      </c>
      <c r="E13" s="21">
        <f t="shared" si="0"/>
        <v>-0.3130547688090386</v>
      </c>
      <c r="F13" s="21">
        <f t="shared" si="0"/>
        <v>-0.13271417868576413</v>
      </c>
      <c r="G13" s="21">
        <f t="shared" si="0"/>
        <v>-20.935998543778201</v>
      </c>
      <c r="H13" s="21">
        <f t="shared" si="0"/>
        <v>-5.6780236340851182</v>
      </c>
      <c r="I13" s="21">
        <f t="shared" si="0"/>
        <v>-0.33626378903916426</v>
      </c>
      <c r="J13" s="21">
        <f t="shared" si="0"/>
        <v>-0.47024570300175</v>
      </c>
      <c r="K13" s="21">
        <f t="shared" si="0"/>
        <v>-0.3845131048631647</v>
      </c>
      <c r="L13" s="21">
        <f t="shared" si="0"/>
        <v>0</v>
      </c>
      <c r="M13" s="21">
        <f t="shared" si="0"/>
        <v>-0.19770939671429028</v>
      </c>
      <c r="N13" s="21">
        <f t="shared" si="0"/>
        <v>0</v>
      </c>
      <c r="O13" s="21">
        <f t="shared" si="0"/>
        <v>-1.0031630302428738</v>
      </c>
      <c r="P13" s="21">
        <f t="shared" si="0"/>
        <v>0</v>
      </c>
      <c r="Q13" s="21">
        <f t="shared" si="0"/>
        <v>0</v>
      </c>
    </row>
    <row r="14" spans="1:38">
      <c r="A14" s="37" t="s">
        <v>65</v>
      </c>
      <c r="B14" s="21">
        <f>100*B43/B$48</f>
        <v>-7.8433605434711486</v>
      </c>
      <c r="C14" s="21">
        <f t="shared" si="0"/>
        <v>-7.7470093429847298</v>
      </c>
      <c r="D14" s="21">
        <f t="shared" si="0"/>
        <v>-8.8494874888266803</v>
      </c>
      <c r="E14" s="21">
        <f t="shared" si="0"/>
        <v>-7.6448013445634153</v>
      </c>
      <c r="F14" s="21">
        <f t="shared" si="0"/>
        <v>-6.6652038401989344</v>
      </c>
      <c r="G14" s="21">
        <f t="shared" si="0"/>
        <v>-15.017849318529473</v>
      </c>
      <c r="H14" s="21">
        <f t="shared" si="0"/>
        <v>-7.1795810980789154</v>
      </c>
      <c r="I14" s="21">
        <f t="shared" si="0"/>
        <v>-10.497881311433446</v>
      </c>
      <c r="J14" s="21">
        <f t="shared" si="0"/>
        <v>-10.462909460799679</v>
      </c>
      <c r="K14" s="21">
        <f t="shared" si="0"/>
        <v>-7.4458726277871934</v>
      </c>
      <c r="L14" s="21">
        <f t="shared" si="0"/>
        <v>-10.48961821073909</v>
      </c>
      <c r="M14" s="21">
        <f t="shared" si="0"/>
        <v>-9.8528326117353018</v>
      </c>
      <c r="N14" s="21">
        <f t="shared" si="0"/>
        <v>-8.3256168041812106</v>
      </c>
      <c r="O14" s="21">
        <f t="shared" si="0"/>
        <v>-10.615758782176494</v>
      </c>
      <c r="P14" s="21">
        <f t="shared" si="0"/>
        <v>-7.5480157887995647</v>
      </c>
      <c r="Q14" s="21">
        <f t="shared" si="0"/>
        <v>-4.3899152171384408</v>
      </c>
    </row>
    <row r="15" spans="1:38">
      <c r="A15" s="37" t="s">
        <v>102</v>
      </c>
      <c r="B15" s="21">
        <f>100*B44/B$48</f>
        <v>-2.2025621050795556</v>
      </c>
      <c r="C15" s="21">
        <f t="shared" si="0"/>
        <v>-0.41033299090982295</v>
      </c>
      <c r="D15" s="21">
        <f t="shared" si="0"/>
        <v>0.77866661672343429</v>
      </c>
      <c r="E15" s="21">
        <f t="shared" si="0"/>
        <v>-3.5283616010608827</v>
      </c>
      <c r="F15" s="21">
        <f t="shared" si="0"/>
        <v>1.163720248147621</v>
      </c>
      <c r="G15" s="21">
        <f t="shared" si="0"/>
        <v>-1.8710671238688033</v>
      </c>
      <c r="H15" s="21">
        <f t="shared" si="0"/>
        <v>-0.46261765647164882</v>
      </c>
      <c r="I15" s="21">
        <f t="shared" si="0"/>
        <v>-2.3409370062659645</v>
      </c>
      <c r="J15" s="21">
        <f t="shared" si="0"/>
        <v>4.7375696477375868</v>
      </c>
      <c r="K15" s="21">
        <f t="shared" si="0"/>
        <v>0.5007373362947718</v>
      </c>
      <c r="L15" s="21">
        <f t="shared" si="0"/>
        <v>1.1079251229828766</v>
      </c>
      <c r="M15" s="21">
        <f t="shared" si="0"/>
        <v>0.25812279922588538</v>
      </c>
      <c r="N15" s="21">
        <f t="shared" si="0"/>
        <v>-1.5168293934767372</v>
      </c>
      <c r="O15" s="21">
        <f t="shared" si="0"/>
        <v>-8.9232232449532767E-2</v>
      </c>
      <c r="P15" s="21">
        <f t="shared" si="0"/>
        <v>-3.5202721071863636</v>
      </c>
      <c r="Q15" s="21">
        <f t="shared" si="0"/>
        <v>-8.2953552637789194</v>
      </c>
    </row>
    <row r="16" spans="1:38">
      <c r="A16" s="37" t="s">
        <v>103</v>
      </c>
      <c r="B16" s="21">
        <f>100*B45/B$48</f>
        <v>-1.3208616486270139</v>
      </c>
      <c r="C16" s="21">
        <f t="shared" si="0"/>
        <v>-1.4145376560425293</v>
      </c>
      <c r="D16" s="21">
        <f t="shared" si="0"/>
        <v>-1.2811206278741798</v>
      </c>
      <c r="E16" s="21">
        <f t="shared" si="0"/>
        <v>-1.2968065979878642</v>
      </c>
      <c r="F16" s="21">
        <f t="shared" si="0"/>
        <v>-0.34027050004129061</v>
      </c>
      <c r="G16" s="21">
        <f t="shared" si="0"/>
        <v>-2.4461818116249998</v>
      </c>
      <c r="H16" s="21">
        <f t="shared" si="0"/>
        <v>-1.4468788156104495</v>
      </c>
      <c r="I16" s="21">
        <f t="shared" si="0"/>
        <v>-2.4130695435322487</v>
      </c>
      <c r="J16" s="21">
        <f t="shared" si="0"/>
        <v>-1.1917190038321877</v>
      </c>
      <c r="K16" s="21">
        <f t="shared" si="0"/>
        <v>-1.1448883604075764</v>
      </c>
      <c r="L16" s="21">
        <f t="shared" si="0"/>
        <v>-2.5447430746185282</v>
      </c>
      <c r="M16" s="21">
        <f t="shared" si="0"/>
        <v>-1.0219454868250948</v>
      </c>
      <c r="N16" s="21">
        <f t="shared" si="0"/>
        <v>-1.6093654922067027</v>
      </c>
      <c r="O16" s="21">
        <f t="shared" si="0"/>
        <v>-0.23362127507819744</v>
      </c>
      <c r="P16" s="21">
        <f t="shared" si="0"/>
        <v>-0.57022163950183247</v>
      </c>
      <c r="Q16" s="21">
        <f t="shared" si="0"/>
        <v>-2.2016052511087407</v>
      </c>
    </row>
    <row r="17" spans="1:17">
      <c r="A17" s="3" t="s">
        <v>106</v>
      </c>
      <c r="B17" s="21">
        <f>100*B46/Data!B34</f>
        <v>-1.2592597784072632</v>
      </c>
      <c r="C17" s="21">
        <f>100*C46/Data!C34</f>
        <v>-10.943866388431875</v>
      </c>
      <c r="D17" s="21">
        <f>100*D46/Data!D34</f>
        <v>8.5801325135243456</v>
      </c>
      <c r="E17" s="21">
        <f>100*E46/Data!E34</f>
        <v>-9.8115267842432893E-2</v>
      </c>
      <c r="F17" s="21">
        <f>100*F46/Data!F34</f>
        <v>1.9255317292216292</v>
      </c>
      <c r="G17" s="21">
        <f>100*G46/Data!G34</f>
        <v>-32.171096797801468</v>
      </c>
      <c r="H17" s="21">
        <f>100*H46/Data!H34</f>
        <v>-10.477473457516625</v>
      </c>
      <c r="I17" s="21">
        <f>100*I46/Data!I34</f>
        <v>8.2882757232407585</v>
      </c>
      <c r="J17" s="21">
        <f>100*J46/Data!J34</f>
        <v>-6.9557072874392363</v>
      </c>
      <c r="K17" s="21">
        <f>100*K46/Data!K34</f>
        <v>8.2578603419402921</v>
      </c>
      <c r="L17" s="21">
        <f>100*L46/Data!L34</f>
        <v>-3.6264361623747421</v>
      </c>
      <c r="M17" s="21">
        <f>100*M46/Data!M34</f>
        <v>17.098872687890964</v>
      </c>
      <c r="N17" s="21">
        <f>100*N46/Data!N34</f>
        <v>9.9925905295798287</v>
      </c>
      <c r="O17" s="21">
        <f>100*O46/Data!O34</f>
        <v>7.0923028269474511</v>
      </c>
      <c r="P17" s="21">
        <f>100*P46/Data!P34</f>
        <v>0.5299685158174493</v>
      </c>
      <c r="Q17" s="21">
        <f>100*Q46/Data!Q34</f>
        <v>-14.879131767490614</v>
      </c>
    </row>
    <row r="18" spans="1:17">
      <c r="A18" s="3" t="s">
        <v>315</v>
      </c>
      <c r="B18" s="21">
        <f t="shared" ref="B18:Q18" si="1">B17-B11</f>
        <v>-13.022127664099706</v>
      </c>
      <c r="C18" s="21">
        <f t="shared" si="1"/>
        <v>-15.897526885747038</v>
      </c>
      <c r="D18" s="21">
        <f t="shared" si="1"/>
        <v>-9.6441056912661427</v>
      </c>
      <c r="E18" s="21">
        <f t="shared" si="1"/>
        <v>-12.783024312421201</v>
      </c>
      <c r="F18" s="21">
        <f t="shared" si="1"/>
        <v>-5.9744682707783685</v>
      </c>
      <c r="G18" s="21">
        <f t="shared" si="1"/>
        <v>-40.271096797801476</v>
      </c>
      <c r="H18" s="21">
        <f t="shared" si="1"/>
        <v>-14.767101204246131</v>
      </c>
      <c r="I18" s="21">
        <f t="shared" si="1"/>
        <v>-15.588151650270824</v>
      </c>
      <c r="J18" s="21">
        <f t="shared" si="1"/>
        <v>-7.3873045198960288</v>
      </c>
      <c r="K18" s="21">
        <f t="shared" si="1"/>
        <v>-8.4745367567631629</v>
      </c>
      <c r="L18" s="21">
        <f t="shared" si="1"/>
        <v>-11.926436162374742</v>
      </c>
      <c r="M18" s="21">
        <f t="shared" si="1"/>
        <v>-10.814364696048802</v>
      </c>
      <c r="N18" s="21">
        <f t="shared" si="1"/>
        <v>-11.451811689864652</v>
      </c>
      <c r="O18" s="21">
        <f t="shared" si="1"/>
        <v>-11.9417753199471</v>
      </c>
      <c r="P18" s="21">
        <f t="shared" si="1"/>
        <v>-11.63850953548776</v>
      </c>
      <c r="Q18" s="21">
        <f t="shared" si="1"/>
        <v>-14.886875732026102</v>
      </c>
    </row>
    <row r="19" spans="1:17">
      <c r="A19" s="3" t="s">
        <v>316</v>
      </c>
      <c r="B19" s="21">
        <f>Interbank!B172-Interbank!B160</f>
        <v>-4.7278657215755722</v>
      </c>
      <c r="C19" s="21">
        <f>Interbank!C172-Interbank!C160</f>
        <v>-2.7873104655432837</v>
      </c>
      <c r="D19" s="21">
        <f>Interbank!D172-Interbank!D160</f>
        <v>-7.1196577085996973</v>
      </c>
      <c r="E19" s="21">
        <f>Interbank!E172-Interbank!E160</f>
        <v>-4.8024282925910464</v>
      </c>
      <c r="F19" s="21">
        <f>Interbank!F172-Interbank!F160</f>
        <v>-6.0888059782917292</v>
      </c>
      <c r="G19" s="21">
        <f>Interbank!G172-Interbank!G160</f>
        <v>-3.4180265543385957</v>
      </c>
      <c r="H19" s="21">
        <f>Interbank!H172-Interbank!H160</f>
        <v>-2.3029855078803649</v>
      </c>
      <c r="I19" s="21">
        <f>Interbank!I172-Interbank!I160</f>
        <v>-77.556782628242857</v>
      </c>
      <c r="J19" s="21">
        <f>Interbank!J172-Interbank!J160</f>
        <v>-17.665266846545833</v>
      </c>
      <c r="K19" s="21">
        <f>Interbank!K172-Interbank!K160</f>
        <v>-2.2779897261908308</v>
      </c>
      <c r="L19" s="21">
        <f>Interbank!L172-Interbank!L160</f>
        <v>-4.3663172517130597</v>
      </c>
      <c r="M19" s="21">
        <f>Interbank!M172-Interbank!M160</f>
        <v>-8.2251636061405087</v>
      </c>
      <c r="N19" s="21">
        <f>Interbank!N172-Interbank!N160</f>
        <v>-0.8407500115246922</v>
      </c>
      <c r="O19" s="21">
        <f>Interbank!O172-Interbank!O160</f>
        <v>-0.59393451843965384</v>
      </c>
      <c r="P19" s="21">
        <f>Interbank!P172-Interbank!P160</f>
        <v>0</v>
      </c>
      <c r="Q19" s="21">
        <f>Interbank!Q172-Interbank!Q160</f>
        <v>-13.060404046694329</v>
      </c>
    </row>
    <row r="20" spans="1:17">
      <c r="A20" s="3" t="s">
        <v>227</v>
      </c>
      <c r="B20" s="21">
        <f>Interbank!B172</f>
        <v>-6.1192930633016491</v>
      </c>
      <c r="C20" s="21">
        <f>Interbank!C172</f>
        <v>-15.523496537866444</v>
      </c>
      <c r="D20" s="21">
        <f>Interbank!D172</f>
        <v>2.3237590738805549</v>
      </c>
      <c r="E20" s="21">
        <f>Interbank!E172</f>
        <v>-4.9090264917413027</v>
      </c>
      <c r="F20" s="21">
        <f>Interbank!F172</f>
        <v>-4.0228309611115529</v>
      </c>
      <c r="G20" s="21">
        <f>Interbank!G172</f>
        <v>-53.649142279506712</v>
      </c>
      <c r="H20" s="21">
        <f>Interbank!H172</f>
        <v>-14.326379431485117</v>
      </c>
      <c r="I20" s="21">
        <f>Interbank!I172</f>
        <v>-68.261435510694284</v>
      </c>
      <c r="J20" s="21">
        <f>Interbank!J172</f>
        <v>-25.474802819478711</v>
      </c>
      <c r="K20" s="21">
        <f>Interbank!K172</f>
        <v>6.68142754769221</v>
      </c>
      <c r="L20" s="21">
        <f>Interbank!L172</f>
        <v>-8.4177312775326065</v>
      </c>
      <c r="M20" s="21">
        <f>Interbank!M172</f>
        <v>10.784259095992041</v>
      </c>
      <c r="N20" s="21">
        <f>Interbank!N172</f>
        <v>10.05934026586</v>
      </c>
      <c r="O20" s="21">
        <f>Interbank!O172</f>
        <v>7.4307501452784068</v>
      </c>
      <c r="P20" s="21">
        <f>Interbank!P172</f>
        <v>0.57323649712781866</v>
      </c>
      <c r="Q20" s="21">
        <f>Interbank!Q172</f>
        <v>-28.622707752712746</v>
      </c>
    </row>
    <row r="21" spans="1:17">
      <c r="A21" s="55" t="s">
        <v>257</v>
      </c>
      <c r="B21" s="21"/>
      <c r="C21" s="21"/>
      <c r="D21" s="21"/>
      <c r="E21" s="21"/>
      <c r="F21" s="21"/>
      <c r="G21" s="21"/>
      <c r="H21" s="21"/>
      <c r="I21" s="21"/>
      <c r="J21" s="21"/>
      <c r="K21" s="21"/>
      <c r="L21" s="21"/>
      <c r="M21" s="21"/>
      <c r="N21" s="21"/>
      <c r="O21" s="21"/>
      <c r="P21" s="21"/>
      <c r="Q21" s="21"/>
    </row>
    <row r="22" spans="1:17" ht="17">
      <c r="A22" s="18" t="s">
        <v>258</v>
      </c>
      <c r="B22" s="21"/>
      <c r="C22" s="21"/>
      <c r="D22" s="21"/>
      <c r="E22" s="21"/>
      <c r="F22" s="21"/>
      <c r="G22" s="21"/>
      <c r="H22" s="21"/>
      <c r="I22" s="21"/>
      <c r="J22" s="21"/>
      <c r="K22" s="21"/>
      <c r="L22" s="21"/>
      <c r="M22" s="21"/>
      <c r="N22" s="21"/>
      <c r="O22" s="21"/>
      <c r="P22" s="21"/>
      <c r="Q22" s="21"/>
    </row>
    <row r="23" spans="1:17">
      <c r="A23" s="37" t="s">
        <v>325</v>
      </c>
      <c r="B23" s="21">
        <f>Data!B134</f>
        <v>20.168510072812744</v>
      </c>
      <c r="C23" s="21">
        <f>Data!C134</f>
        <v>11.013506441207593</v>
      </c>
      <c r="D23" s="21">
        <f>Data!D134</f>
        <v>16.276650602696908</v>
      </c>
      <c r="E23" s="21">
        <f>Data!E134</f>
        <v>23.105300731614712</v>
      </c>
      <c r="F23" s="21">
        <f>Data!F134</f>
        <v>16.003661478403696</v>
      </c>
      <c r="G23" s="21">
        <f>Data!G134</f>
        <v>9.5534148596988739</v>
      </c>
      <c r="H23" s="21">
        <f>Data!H134</f>
        <v>10.402813866535793</v>
      </c>
      <c r="I23" s="21">
        <f>Data!I134</f>
        <v>7.8548330633410828</v>
      </c>
      <c r="J23" s="21">
        <f>Data!J134</f>
        <v>17.765051714452991</v>
      </c>
      <c r="K23" s="21">
        <f>Data!K134</f>
        <v>16.939287352854631</v>
      </c>
      <c r="L23" s="21">
        <f>Data!L134</f>
        <v>16.228144979974736</v>
      </c>
      <c r="M23" s="21">
        <f>Data!M134</f>
        <v>15.682826880802796</v>
      </c>
      <c r="N23" s="21">
        <f>Data!N134</f>
        <v>21.188749397693243</v>
      </c>
      <c r="O23" s="21">
        <f>Data!O134</f>
        <v>7.1840714788198179</v>
      </c>
      <c r="P23" s="21">
        <f>Data!P134</f>
        <v>29.915037177008458</v>
      </c>
      <c r="Q23" s="21">
        <f>Data!Q134</f>
        <v>30.35533373851829</v>
      </c>
    </row>
    <row r="24" spans="1:17" ht="17">
      <c r="A24" s="34" t="s">
        <v>326</v>
      </c>
      <c r="B24" s="59">
        <f>100*B55/B54</f>
        <v>13.864111475911601</v>
      </c>
      <c r="C24" s="59">
        <f>100*C55/C54</f>
        <v>-0.85547234035837383</v>
      </c>
      <c r="D24" s="59">
        <f>100*D55/D54</f>
        <v>6.5079407748678806</v>
      </c>
      <c r="E24" s="59">
        <f>100*E55/E54</f>
        <v>18.623188373588643</v>
      </c>
      <c r="F24" s="59">
        <f>100*F55/F54</f>
        <v>2.9255008792939368</v>
      </c>
      <c r="G24" s="59">
        <f t="shared" ref="G24:Q24" si="2">100*G55/G54</f>
        <v>-1.8182327775895273</v>
      </c>
      <c r="H24" s="59">
        <f t="shared" si="2"/>
        <v>-1.4085167294530605</v>
      </c>
      <c r="I24" s="59">
        <f t="shared" si="2"/>
        <v>-1.4525911691039251</v>
      </c>
      <c r="J24" s="59">
        <f t="shared" si="2"/>
        <v>7.2385280353630757</v>
      </c>
      <c r="K24" s="59">
        <f t="shared" si="2"/>
        <v>5.5129159114951198</v>
      </c>
      <c r="L24" s="59">
        <f t="shared" si="2"/>
        <v>7.4619759414223914</v>
      </c>
      <c r="M24" s="59">
        <f t="shared" si="2"/>
        <v>7.5344468194468615</v>
      </c>
      <c r="N24" s="59">
        <f t="shared" si="2"/>
        <v>12.046844493245409</v>
      </c>
      <c r="O24" s="59">
        <f t="shared" si="2"/>
        <v>-1.0548795026884847</v>
      </c>
      <c r="P24" s="59">
        <f t="shared" si="2"/>
        <v>21.2759059354733</v>
      </c>
      <c r="Q24" s="59">
        <f t="shared" si="2"/>
        <v>29.62434121448473</v>
      </c>
    </row>
    <row r="25" spans="1:17" ht="17">
      <c r="A25" s="18" t="s">
        <v>260</v>
      </c>
      <c r="B25" s="21"/>
      <c r="C25" s="21"/>
      <c r="D25" s="21"/>
      <c r="E25" s="21"/>
      <c r="F25" s="21"/>
      <c r="G25" s="21"/>
      <c r="H25" s="21"/>
      <c r="I25" s="21"/>
      <c r="J25" s="21"/>
      <c r="K25" s="21"/>
      <c r="L25" s="21"/>
      <c r="M25" s="21"/>
      <c r="N25" s="21"/>
      <c r="O25" s="21"/>
      <c r="P25" s="21"/>
      <c r="Q25" s="21"/>
    </row>
    <row r="26" spans="1:17">
      <c r="A26" s="37" t="s">
        <v>325</v>
      </c>
      <c r="B26" s="21">
        <f>Data!B135</f>
        <v>70.564943364327988</v>
      </c>
      <c r="C26" s="21">
        <f>Data!C135</f>
        <v>24.704123582907688</v>
      </c>
      <c r="D26" s="21">
        <f>Data!D135</f>
        <v>38.278046962355575</v>
      </c>
      <c r="E26" s="21">
        <f>Data!E135</f>
        <v>104.02040538870351</v>
      </c>
      <c r="F26" s="21">
        <f>Data!F135</f>
        <v>33.896797153024913</v>
      </c>
      <c r="G26" s="21">
        <f>Data!G135</f>
        <v>26.782077393075358</v>
      </c>
      <c r="H26" s="21">
        <f>Data!H135</f>
        <v>22.614423239317684</v>
      </c>
      <c r="I26" s="21">
        <f>Data!I135</f>
        <v>18.978102189781023</v>
      </c>
      <c r="J26" s="21">
        <f>Data!J135</f>
        <v>41.065830721003138</v>
      </c>
      <c r="K26" s="21">
        <f>Data!K135</f>
        <v>36.047037539574852</v>
      </c>
      <c r="L26" s="21">
        <f>Data!L135</f>
        <v>41.943734015345271</v>
      </c>
      <c r="M26" s="21">
        <f>Data!M135</f>
        <v>40.112640801001248</v>
      </c>
      <c r="N26" s="21">
        <f>Data!N135</f>
        <v>43.993530363181883</v>
      </c>
      <c r="O26" s="21">
        <f>Data!O135</f>
        <v>16.872427983539094</v>
      </c>
      <c r="P26" s="21">
        <f>Data!P135</f>
        <v>65.566714490674315</v>
      </c>
      <c r="Q26" s="21" t="e">
        <f>Data!Q135</f>
        <v>#DIV/0!</v>
      </c>
    </row>
    <row r="27" spans="1:17" ht="17">
      <c r="A27" s="34" t="s">
        <v>326</v>
      </c>
      <c r="B27" s="21">
        <f>100*B55/B56</f>
        <v>58.917169796138602</v>
      </c>
      <c r="C27" s="21">
        <f>100*C55/C56</f>
        <v>-2.3213776391449721</v>
      </c>
      <c r="D27" s="21">
        <f>100*D55/D56</f>
        <v>18.961597064487332</v>
      </c>
      <c r="E27" s="21">
        <f>100*E55/E56</f>
        <v>100.61603163625529</v>
      </c>
      <c r="F27" s="21">
        <f t="shared" ref="F27:Q27" si="3">100*F55/F56</f>
        <v>8.1570183482616319</v>
      </c>
      <c r="G27" s="21">
        <f t="shared" si="3"/>
        <v>-6.1453422563684814</v>
      </c>
      <c r="H27" s="21">
        <f t="shared" si="3"/>
        <v>-3.6523385818576477</v>
      </c>
      <c r="I27" s="21">
        <f t="shared" si="3"/>
        <v>-4.1955673545948278</v>
      </c>
      <c r="J27" s="21">
        <f t="shared" si="3"/>
        <v>21.216021247366875</v>
      </c>
      <c r="K27" s="21">
        <f t="shared" si="3"/>
        <v>14.676771941400352</v>
      </c>
      <c r="L27" s="21">
        <f t="shared" si="3"/>
        <v>23.865458233000421</v>
      </c>
      <c r="M27" s="21">
        <f t="shared" si="3"/>
        <v>23.412335047263397</v>
      </c>
      <c r="N27" s="21">
        <f t="shared" si="3"/>
        <v>29.773715519898555</v>
      </c>
      <c r="O27" s="21">
        <f t="shared" si="3"/>
        <v>-2.9168531388829408</v>
      </c>
      <c r="P27" s="21">
        <f t="shared" si="3"/>
        <v>55.794455064138937</v>
      </c>
      <c r="Q27" s="21" t="e">
        <f t="shared" si="3"/>
        <v>#DIV/0!</v>
      </c>
    </row>
    <row r="28" spans="1:17">
      <c r="A28" s="55"/>
      <c r="B28" s="21"/>
      <c r="C28" s="21"/>
      <c r="D28" s="21"/>
      <c r="E28" s="21"/>
      <c r="F28" s="21"/>
      <c r="G28" s="21"/>
      <c r="H28" s="21"/>
      <c r="I28" s="21"/>
      <c r="J28" s="21"/>
      <c r="K28" s="21"/>
      <c r="L28" s="21"/>
      <c r="M28" s="21"/>
      <c r="N28" s="21"/>
      <c r="O28" s="21"/>
      <c r="P28" s="21"/>
      <c r="Q28" s="21"/>
    </row>
    <row r="29" spans="1:17">
      <c r="A29" s="55" t="s">
        <v>165</v>
      </c>
      <c r="B29" s="21"/>
      <c r="C29" s="21"/>
      <c r="D29" s="21"/>
      <c r="E29" s="21"/>
      <c r="F29" s="21"/>
      <c r="G29" s="21"/>
      <c r="H29" s="21"/>
      <c r="I29" s="21"/>
      <c r="J29" s="21"/>
      <c r="K29" s="21"/>
      <c r="L29" s="21"/>
      <c r="M29" s="21"/>
      <c r="N29" s="21"/>
      <c r="O29" s="21"/>
      <c r="P29" s="21"/>
      <c r="Q29" s="21"/>
    </row>
    <row r="30" spans="1:17">
      <c r="A30" s="37" t="s">
        <v>166</v>
      </c>
      <c r="B30" s="19">
        <f>Data!B101</f>
        <v>1160.4966512326891</v>
      </c>
      <c r="C30" s="19">
        <f>Data!C101</f>
        <v>17</v>
      </c>
      <c r="D30" s="19">
        <f>Data!D101</f>
        <v>183</v>
      </c>
      <c r="E30" s="19">
        <f>Data!E101</f>
        <v>960.49665123268915</v>
      </c>
      <c r="F30" s="19">
        <f>Data!F101</f>
        <v>-10</v>
      </c>
      <c r="G30" s="19">
        <f>Data!G101</f>
        <v>5</v>
      </c>
      <c r="H30" s="19">
        <f>Data!H101</f>
        <v>22</v>
      </c>
      <c r="I30" s="19">
        <f>Data!I101</f>
        <v>8</v>
      </c>
      <c r="J30" s="19">
        <f>Data!J101</f>
        <v>31</v>
      </c>
      <c r="K30" s="19">
        <f>Data!K101</f>
        <v>41</v>
      </c>
      <c r="L30" s="19">
        <f>Data!L101</f>
        <v>40</v>
      </c>
      <c r="M30" s="19">
        <f>Data!M101</f>
        <v>63</v>
      </c>
      <c r="N30" s="19">
        <f>Data!N101</f>
        <v>180</v>
      </c>
      <c r="O30" s="19">
        <f>Data!O101</f>
        <v>420</v>
      </c>
      <c r="P30" s="19">
        <f>Data!P101</f>
        <v>99</v>
      </c>
      <c r="Q30" s="19">
        <f>Data!Q101</f>
        <v>261.4966512326892</v>
      </c>
    </row>
    <row r="31" spans="1:17">
      <c r="A31" s="37" t="s">
        <v>169</v>
      </c>
      <c r="B31" s="21">
        <f t="shared" ref="B31:Q31" si="4">B30*100/B48</f>
        <v>2.5343931458845566</v>
      </c>
      <c r="C31" s="21">
        <f t="shared" si="4"/>
        <v>0.16592439263223951</v>
      </c>
      <c r="D31" s="21">
        <f t="shared" si="4"/>
        <v>2.7403649794100109</v>
      </c>
      <c r="E31" s="21">
        <f t="shared" si="4"/>
        <v>3.3273921892181648</v>
      </c>
      <c r="F31" s="21">
        <f t="shared" si="4"/>
        <v>-0.97062070354363061</v>
      </c>
      <c r="G31" s="21">
        <f t="shared" si="4"/>
        <v>0.61780848643751018</v>
      </c>
      <c r="H31" s="21">
        <f t="shared" si="4"/>
        <v>0.26171627825473787</v>
      </c>
      <c r="I31" s="21">
        <f t="shared" si="4"/>
        <v>5.1239698336451198</v>
      </c>
      <c r="J31" s="21">
        <f t="shared" si="4"/>
        <v>5.4600566232833998</v>
      </c>
      <c r="K31" s="21">
        <f t="shared" si="4"/>
        <v>1.3022402763340806</v>
      </c>
      <c r="L31" s="21">
        <f t="shared" si="4"/>
        <v>5.9132284365972341</v>
      </c>
      <c r="M31" s="21">
        <f t="shared" si="4"/>
        <v>2.9588799936569514</v>
      </c>
      <c r="N31" s="21">
        <f t="shared" si="4"/>
        <v>2.3210477244059806</v>
      </c>
      <c r="O31" s="21">
        <f t="shared" si="4"/>
        <v>4.6623902615723738</v>
      </c>
      <c r="P31" s="21">
        <f t="shared" si="4"/>
        <v>4.2532693150310736</v>
      </c>
      <c r="Q31" s="21">
        <f t="shared" si="4"/>
        <v>2.6750604931236075</v>
      </c>
    </row>
    <row r="32" spans="1:17">
      <c r="A32" s="37" t="s">
        <v>167</v>
      </c>
      <c r="B32" s="82">
        <f>Assumptions!B70</f>
        <v>25</v>
      </c>
      <c r="C32" s="21"/>
      <c r="D32" s="21"/>
      <c r="E32" s="21"/>
      <c r="F32" s="21"/>
      <c r="G32" s="21"/>
      <c r="H32" s="21"/>
      <c r="I32" s="21"/>
      <c r="J32" s="21"/>
      <c r="K32" s="21"/>
      <c r="L32" s="21"/>
      <c r="M32" s="21"/>
      <c r="N32" s="21"/>
      <c r="O32" s="21"/>
      <c r="P32" s="21"/>
      <c r="Q32" s="21"/>
    </row>
    <row r="33" spans="1:17">
      <c r="A33" s="37" t="s">
        <v>363</v>
      </c>
      <c r="B33" s="19">
        <f>SUM(C33:E33)</f>
        <v>-1177.1065721465948</v>
      </c>
      <c r="C33" s="19">
        <f>SUM(F33:H33)</f>
        <v>-277.67693809237028</v>
      </c>
      <c r="D33" s="19">
        <f>SUM(I33:M33)</f>
        <v>-165.45006754632738</v>
      </c>
      <c r="E33" s="19">
        <f>SUM(N33:Q33)</f>
        <v>-733.97956650789706</v>
      </c>
      <c r="F33" s="19">
        <f>-$B32*Data!F22/100</f>
        <v>-35.732610229746726</v>
      </c>
      <c r="G33" s="19">
        <f>-$B32*Data!G22/100</f>
        <v>-42.864869824617784</v>
      </c>
      <c r="H33" s="19">
        <f>-$B32*Data!H22/100</f>
        <v>-199.07945803800578</v>
      </c>
      <c r="I33" s="19">
        <f>-$B32*Data!I22/100</f>
        <v>-5.3414661585637919</v>
      </c>
      <c r="J33" s="19">
        <f>-$B32*Data!J22/100</f>
        <v>-22.348947085673952</v>
      </c>
      <c r="K33" s="19">
        <f>-$B32*Data!K22/100</f>
        <v>-59.25</v>
      </c>
      <c r="L33" s="19">
        <f>-$B32*Data!L22/100</f>
        <v>-25.759654302089629</v>
      </c>
      <c r="M33" s="19">
        <f>-$B32*Data!M22/100</f>
        <v>-52.75</v>
      </c>
      <c r="N33" s="19">
        <f>-$B32*Data!N22/100</f>
        <v>-172.54287499999998</v>
      </c>
      <c r="O33" s="19">
        <f>-$B32*Data!O22/100</f>
        <v>-266.23912500000006</v>
      </c>
      <c r="P33" s="19">
        <f>-$B32*Data!P22/100</f>
        <v>-66.957566507896985</v>
      </c>
      <c r="Q33" s="19">
        <f>-$B32*Data!Q22/100</f>
        <v>-228.24</v>
      </c>
    </row>
    <row r="34" spans="1:17">
      <c r="A34" s="37" t="s">
        <v>168</v>
      </c>
      <c r="B34" s="19">
        <f>SUM(C34:E34)</f>
        <v>-16.609920913905484</v>
      </c>
      <c r="C34" s="19">
        <f>SUM(F34:H34)</f>
        <v>-260.67693809237028</v>
      </c>
      <c r="D34" s="19">
        <f>SUM(I34:M34)</f>
        <v>17.549932453672625</v>
      </c>
      <c r="E34" s="19">
        <f>SUM(N34:Q34)</f>
        <v>226.51708472479217</v>
      </c>
      <c r="F34" s="19">
        <f>F30+F33</f>
        <v>-45.732610229746726</v>
      </c>
      <c r="G34" s="19">
        <f t="shared" ref="G34:Q34" si="5">G30+G33</f>
        <v>-37.864869824617784</v>
      </c>
      <c r="H34" s="19">
        <f t="shared" si="5"/>
        <v>-177.07945803800578</v>
      </c>
      <c r="I34" s="19">
        <f t="shared" si="5"/>
        <v>2.6585338414362081</v>
      </c>
      <c r="J34" s="19">
        <f t="shared" si="5"/>
        <v>8.6510529143260477</v>
      </c>
      <c r="K34" s="19">
        <f t="shared" si="5"/>
        <v>-18.25</v>
      </c>
      <c r="L34" s="19">
        <f t="shared" si="5"/>
        <v>14.240345697910371</v>
      </c>
      <c r="M34" s="19">
        <f t="shared" si="5"/>
        <v>10.25</v>
      </c>
      <c r="N34" s="19">
        <f t="shared" si="5"/>
        <v>7.4571250000000191</v>
      </c>
      <c r="O34" s="19">
        <f t="shared" si="5"/>
        <v>153.76087499999994</v>
      </c>
      <c r="P34" s="19">
        <f t="shared" si="5"/>
        <v>32.042433492103015</v>
      </c>
      <c r="Q34" s="19">
        <f t="shared" si="5"/>
        <v>33.256651232689194</v>
      </c>
    </row>
    <row r="35" spans="1:17">
      <c r="A35" s="37" t="s">
        <v>170</v>
      </c>
      <c r="B35" s="21">
        <f t="shared" ref="B35:Q35" si="6">100*B34/B48</f>
        <v>-3.6274184568453355E-2</v>
      </c>
      <c r="C35" s="21">
        <f t="shared" si="6"/>
        <v>-2.5442742721299085</v>
      </c>
      <c r="D35" s="21">
        <f t="shared" si="6"/>
        <v>0.26280448244292715</v>
      </c>
      <c r="E35" s="21">
        <f t="shared" si="6"/>
        <v>0.78470984513109909</v>
      </c>
      <c r="F35" s="21">
        <f t="shared" si="6"/>
        <v>-4.4389018316083408</v>
      </c>
      <c r="G35" s="21">
        <f t="shared" si="6"/>
        <v>-4.6786475831000933</v>
      </c>
      <c r="H35" s="21">
        <f t="shared" si="6"/>
        <v>-2.106571668776041</v>
      </c>
      <c r="I35" s="21">
        <f t="shared" si="6"/>
        <v>1.7027809006554759</v>
      </c>
      <c r="J35" s="21">
        <f t="shared" si="6"/>
        <v>1.5237173794593901</v>
      </c>
      <c r="K35" s="21">
        <f t="shared" si="6"/>
        <v>-0.57965573275846272</v>
      </c>
      <c r="L35" s="21">
        <f t="shared" si="6"/>
        <v>2.1051604281964673</v>
      </c>
      <c r="M35" s="21">
        <f t="shared" si="6"/>
        <v>0.48140507833307539</v>
      </c>
      <c r="N35" s="21">
        <f t="shared" si="6"/>
        <v>9.6157461177005507E-2</v>
      </c>
      <c r="O35" s="21">
        <f t="shared" si="6"/>
        <v>1.7068885862163019</v>
      </c>
      <c r="P35" s="21">
        <f t="shared" si="6"/>
        <v>1.3766171631402597</v>
      </c>
      <c r="Q35" s="21">
        <f t="shared" si="6"/>
        <v>0.34020915153897852</v>
      </c>
    </row>
    <row r="36" spans="1:17">
      <c r="A36" s="37" t="s">
        <v>322</v>
      </c>
      <c r="B36" s="21">
        <f t="shared" ref="B36:Q36" si="7">B20+B35</f>
        <v>-6.1555672478701027</v>
      </c>
      <c r="C36" s="21">
        <f t="shared" si="7"/>
        <v>-18.067770809996354</v>
      </c>
      <c r="D36" s="21">
        <f t="shared" si="7"/>
        <v>2.5865635563234819</v>
      </c>
      <c r="E36" s="21">
        <f t="shared" si="7"/>
        <v>-4.1243166466102039</v>
      </c>
      <c r="F36" s="21">
        <f t="shared" si="7"/>
        <v>-8.4617327927198929</v>
      </c>
      <c r="G36" s="21">
        <f t="shared" si="7"/>
        <v>-58.327789862606807</v>
      </c>
      <c r="H36" s="21">
        <f t="shared" si="7"/>
        <v>-16.432951100261157</v>
      </c>
      <c r="I36" s="21">
        <f t="shared" si="7"/>
        <v>-66.558654610038815</v>
      </c>
      <c r="J36" s="21">
        <f t="shared" si="7"/>
        <v>-23.95108544001932</v>
      </c>
      <c r="K36" s="21">
        <f t="shared" si="7"/>
        <v>6.1017718149337474</v>
      </c>
      <c r="L36" s="21">
        <f t="shared" si="7"/>
        <v>-6.3125708493361392</v>
      </c>
      <c r="M36" s="21">
        <f t="shared" si="7"/>
        <v>11.265664174325117</v>
      </c>
      <c r="N36" s="21">
        <f t="shared" si="7"/>
        <v>10.155497727037005</v>
      </c>
      <c r="O36" s="21">
        <f t="shared" si="7"/>
        <v>9.1376387314947092</v>
      </c>
      <c r="P36" s="21">
        <f t="shared" si="7"/>
        <v>1.9498536602680785</v>
      </c>
      <c r="Q36" s="21">
        <f t="shared" si="7"/>
        <v>-28.282498601173767</v>
      </c>
    </row>
    <row r="37" spans="1:17">
      <c r="A37" s="37" t="s">
        <v>320</v>
      </c>
      <c r="B37" s="21">
        <f>100*(B30+B33)/B54</f>
        <v>-1.7033501539851219E-2</v>
      </c>
      <c r="C37" s="21">
        <f>100*(C30+C33)/C54</f>
        <v>-1.5917877288160358</v>
      </c>
      <c r="D37" s="21">
        <f>100*(D30+D33)/D54</f>
        <v>0.14655138141302357</v>
      </c>
      <c r="E37" s="21">
        <f>100*(E30+E33)/E54</f>
        <v>0.32751852126984909</v>
      </c>
      <c r="F37" s="21">
        <f>100*(F30+F33)/F54</f>
        <v>-1.9719538763218962</v>
      </c>
      <c r="G37" s="21">
        <f t="shared" ref="G37:Q37" si="8">100*(G30+G33)/G54</f>
        <v>-1.5601361804228109</v>
      </c>
      <c r="H37" s="21">
        <f t="shared" si="8"/>
        <v>-1.5225847108092661</v>
      </c>
      <c r="I37" s="21">
        <f t="shared" si="8"/>
        <v>0.86690723074889009</v>
      </c>
      <c r="J37" s="21">
        <f t="shared" si="8"/>
        <v>0.60375970013016844</v>
      </c>
      <c r="K37" s="21">
        <f t="shared" si="8"/>
        <v>-0.41120047028671247</v>
      </c>
      <c r="L37" s="21">
        <f t="shared" si="8"/>
        <v>0.73384795415416393</v>
      </c>
      <c r="M37" s="21">
        <f t="shared" si="8"/>
        <v>0.26574950837554728</v>
      </c>
      <c r="N37" s="21">
        <f t="shared" si="8"/>
        <v>5.6354194771585778E-2</v>
      </c>
      <c r="O37" s="21">
        <f t="shared" si="8"/>
        <v>0.95828245330707706</v>
      </c>
      <c r="P37" s="21">
        <f t="shared" si="8"/>
        <v>0.74308549137368995</v>
      </c>
      <c r="Q37" s="21">
        <f t="shared" si="8"/>
        <v>9.3492492573309632E-2</v>
      </c>
    </row>
    <row r="38" spans="1:17">
      <c r="A38" s="37" t="s">
        <v>321</v>
      </c>
      <c r="B38" s="21">
        <f>100*(B30+B33)/B46</f>
        <v>2.8805958222801311</v>
      </c>
      <c r="C38" s="21">
        <f t="shared" ref="C38:Q38" si="9">100*(C30+C33)/C46</f>
        <v>23.248404008471017</v>
      </c>
      <c r="D38" s="21">
        <f t="shared" si="9"/>
        <v>3.0629420003558714</v>
      </c>
      <c r="E38" s="21">
        <f t="shared" si="9"/>
        <v>-799.78362428902972</v>
      </c>
      <c r="F38" s="21">
        <f t="shared" si="9"/>
        <v>-230.52862563852469</v>
      </c>
      <c r="G38" s="21">
        <f t="shared" si="9"/>
        <v>14.543015466665178</v>
      </c>
      <c r="H38" s="21">
        <f t="shared" si="9"/>
        <v>20.105721835685198</v>
      </c>
      <c r="I38" s="21">
        <f t="shared" si="9"/>
        <v>20.544452881566055</v>
      </c>
      <c r="J38" s="21">
        <f t="shared" si="9"/>
        <v>-21.906002028161122</v>
      </c>
      <c r="K38" s="21">
        <f t="shared" si="9"/>
        <v>-7.0194421890921088</v>
      </c>
      <c r="L38" s="21">
        <f t="shared" si="9"/>
        <v>-58.050392560003601</v>
      </c>
      <c r="M38" s="21">
        <f t="shared" si="9"/>
        <v>2.8154199818915289</v>
      </c>
      <c r="N38" s="21">
        <f t="shared" si="9"/>
        <v>0.96228761593265011</v>
      </c>
      <c r="O38" s="21">
        <f t="shared" si="9"/>
        <v>24.066775317756026</v>
      </c>
      <c r="P38" s="21">
        <f t="shared" si="9"/>
        <v>259.75451787299068</v>
      </c>
      <c r="Q38" s="21">
        <f t="shared" si="9"/>
        <v>-2.2864852388921024</v>
      </c>
    </row>
    <row r="39" spans="1:17" ht="5" customHeight="1">
      <c r="B39" s="21"/>
    </row>
    <row r="40" spans="1:17" ht="17">
      <c r="A40" s="5" t="s">
        <v>107</v>
      </c>
      <c r="B40" s="19">
        <f>SUM(C40:E40)</f>
        <v>5386.2080602629703</v>
      </c>
      <c r="C40" s="19">
        <f>SUM(F40:H40)</f>
        <v>507.53374545121051</v>
      </c>
      <c r="D40" s="19">
        <f>SUM(I40:M40)</f>
        <v>1217.0041642389833</v>
      </c>
      <c r="E40" s="19">
        <f>SUM(N40:Q40)</f>
        <v>3661.6701505727765</v>
      </c>
      <c r="F40" s="19">
        <f>Data!F18</f>
        <v>81.391216683900893</v>
      </c>
      <c r="G40" s="19">
        <f>Data!G18</f>
        <v>65.554295366735005</v>
      </c>
      <c r="H40" s="19">
        <f>Data!H18</f>
        <v>360.58823340057461</v>
      </c>
      <c r="I40" s="19">
        <f>Data!I18</f>
        <v>37.278013959775762</v>
      </c>
      <c r="J40" s="19">
        <f>Data!J18</f>
        <v>2.4504350649233402</v>
      </c>
      <c r="K40" s="19">
        <f>Data!K18</f>
        <v>526.80622271803077</v>
      </c>
      <c r="L40" s="19">
        <f>Data!L18</f>
        <v>56.145302614260117</v>
      </c>
      <c r="M40" s="19">
        <f>Data!M18</f>
        <v>594.32418988199333</v>
      </c>
      <c r="N40" s="19">
        <f>Data!N18</f>
        <v>1663.0387901601134</v>
      </c>
      <c r="O40" s="19">
        <f>Data!O18</f>
        <v>1714.6382806229649</v>
      </c>
      <c r="P40" s="19">
        <f>Data!P18</f>
        <v>283.23607978969812</v>
      </c>
      <c r="Q40" s="19">
        <f>Data!Q18</f>
        <v>0.75700000000000001</v>
      </c>
    </row>
    <row r="41" spans="1:17">
      <c r="A41" s="3" t="s">
        <v>104</v>
      </c>
    </row>
    <row r="42" spans="1:17">
      <c r="A42" s="37" t="s">
        <v>101</v>
      </c>
      <c r="B42" s="19">
        <f>SUM(C42:E42)</f>
        <v>-757.98044082964691</v>
      </c>
      <c r="C42" s="19">
        <f>SUM(F42:H42)</f>
        <v>-648.10240087553427</v>
      </c>
      <c r="D42" s="19">
        <f>SUM(I42:M42)</f>
        <v>-19.510556954112616</v>
      </c>
      <c r="E42" s="19">
        <f>SUM(N42:Q42)</f>
        <v>-90.367482999999993</v>
      </c>
      <c r="F42" s="19">
        <f>-'Credit Risk'!F38</f>
        <v>-1.3673124651188573</v>
      </c>
      <c r="G42" s="19">
        <f>-'Credit Risk'!G38</f>
        <v>-169.43760893041588</v>
      </c>
      <c r="H42" s="19">
        <f>-'Credit Risk'!H38</f>
        <v>-477.29747947999954</v>
      </c>
      <c r="I42" s="19">
        <f>-'Credit Risk'!I38</f>
        <v>-0.52500510339648265</v>
      </c>
      <c r="J42" s="19">
        <f>-'Credit Risk'!J38</f>
        <v>-2.6698654975281215</v>
      </c>
      <c r="K42" s="19">
        <f>-'Credit Risk'!K38</f>
        <v>-12.106089472036373</v>
      </c>
      <c r="L42" s="19">
        <f>-'Credit Risk'!L38</f>
        <v>0</v>
      </c>
      <c r="M42" s="19">
        <f>-'Credit Risk'!M38</f>
        <v>-4.20959688115164</v>
      </c>
      <c r="N42" s="19">
        <f>-'Credit Risk'!N38</f>
        <v>0</v>
      </c>
      <c r="O42" s="19">
        <f>-'Credit Risk'!O38</f>
        <v>-90.367482999999993</v>
      </c>
      <c r="P42" s="19">
        <f>-'Credit Risk'!P38</f>
        <v>0</v>
      </c>
      <c r="Q42" s="19">
        <f>-'Credit Risk'!Q38</f>
        <v>0</v>
      </c>
    </row>
    <row r="43" spans="1:17">
      <c r="A43" s="37" t="s">
        <v>65</v>
      </c>
      <c r="B43" s="19">
        <f>SUM(C43:E43)</f>
        <v>-3591.468695332198</v>
      </c>
      <c r="C43" s="19">
        <f>SUM(F43:H43)</f>
        <v>-793.72994375000007</v>
      </c>
      <c r="D43" s="19">
        <f>SUM(I43:M43)</f>
        <v>-590.96369374999995</v>
      </c>
      <c r="E43" s="19">
        <f>SUM(N43:Q43)</f>
        <v>-2206.7750578321979</v>
      </c>
      <c r="F43" s="19">
        <f>IF(Assumptions!$B$69=2,-'Credit Risk'!F52,IF(Assumptions!$B$69=3,'Credit Risk'!F117,IF(Assumptions!$B$69=4,-'Credit Risk'!F128,"wrong input")))</f>
        <v>-68.669499999999999</v>
      </c>
      <c r="G43" s="19">
        <f>IF(Assumptions!$B$69=2,-'Credit Risk'!G52,IF(Assumptions!$B$69=3,'Credit Risk'!G117,IF(Assumptions!$B$69=4,-'Credit Risk'!G128,"wrong input")))</f>
        <v>-121.54130000000001</v>
      </c>
      <c r="H43" s="19">
        <f>IF(Assumptions!$B$69=2,-'Credit Risk'!H52,IF(Assumptions!$B$69=3,'Credit Risk'!H117,IF(Assumptions!$B$69=4,-'Credit Risk'!H128,"wrong input")))</f>
        <v>-603.51914375000001</v>
      </c>
      <c r="I43" s="19">
        <f>IF(Assumptions!$B$69=2,-'Credit Risk'!I52,IF(Assumptions!$B$69=3,'Credit Risk'!I117,IF(Assumptions!$B$69=4,-'Credit Risk'!I128,"wrong input")))</f>
        <v>-16.390231250000003</v>
      </c>
      <c r="J43" s="19">
        <f>IF(Assumptions!$B$69=2,-'Credit Risk'!J52,IF(Assumptions!$B$69=3,'Credit Risk'!J117,IF(Assumptions!$B$69=4,-'Credit Risk'!J128,"wrong input")))</f>
        <v>-59.404181249999993</v>
      </c>
      <c r="K43" s="19">
        <f>IF(Assumptions!$B$69=2,-'Credit Risk'!K52,IF(Assumptions!$B$69=3,'Credit Risk'!K117,IF(Assumptions!$B$69=4,-'Credit Risk'!K128,"wrong input")))</f>
        <v>-234.42738125000002</v>
      </c>
      <c r="L43" s="19">
        <f>IF(Assumptions!$B$69=2,-'Credit Risk'!L52,IF(Assumptions!$B$69=3,'Credit Risk'!L117,IF(Assumptions!$B$69=4,-'Credit Risk'!L128,"wrong input")))</f>
        <v>-70.956962500000003</v>
      </c>
      <c r="M43" s="19">
        <f>IF(Assumptions!$B$69=2,-'Credit Risk'!M52,IF(Assumptions!$B$69=3,'Credit Risk'!M117,IF(Assumptions!$B$69=4,-'Credit Risk'!M128,"wrong input")))</f>
        <v>-209.78493750000001</v>
      </c>
      <c r="N43" s="19">
        <f>IF(Assumptions!$B$69=2,-'Credit Risk'!N52,IF(Assumptions!$B$69=3,'Credit Risk'!N117,IF(Assumptions!$B$69=4,-'Credit Risk'!N128,"wrong input")))</f>
        <v>-645.6614437500001</v>
      </c>
      <c r="O43" s="19">
        <f>IF(Assumptions!$B$69=2,-'Credit Risk'!O52,IF(Assumptions!$B$69=3,'Credit Risk'!O117,IF(Assumptions!$B$69=4,-'Credit Risk'!O128,"wrong input")))</f>
        <v>-956.29461250000008</v>
      </c>
      <c r="P43" s="19">
        <f>IF(Assumptions!$B$69=2,-'Credit Risk'!P52,IF(Assumptions!$B$69=3,'Credit Risk'!P117,IF(Assumptions!$B$69=4,-'Credit Risk'!P128,"wrong input")))</f>
        <v>-175.68921875000001</v>
      </c>
      <c r="Q43" s="19">
        <f>IF(Assumptions!$B$69=2,-'Credit Risk'!Q52,IF(Assumptions!$B$69=3,'Credit Risk'!Q117,IF(Assumptions!$B$69=4,-'Credit Risk'!Q128,"wrong input")))</f>
        <v>-429.12978283219798</v>
      </c>
    </row>
    <row r="44" spans="1:17">
      <c r="A44" s="37" t="s">
        <v>102</v>
      </c>
      <c r="B44" s="19">
        <f>SUM(C44:E44)</f>
        <v>-1008.5514756175393</v>
      </c>
      <c r="C44" s="19">
        <f>SUM(F44:H44)</f>
        <v>-42.041201626864364</v>
      </c>
      <c r="D44" s="19">
        <f>SUM(I44:M44)</f>
        <v>51.998909609137996</v>
      </c>
      <c r="E44" s="19">
        <f>SUM(N44:Q44)</f>
        <v>-1018.5091835998129</v>
      </c>
      <c r="F44" s="19">
        <f>'Interest Risk'!F24+'Interest Risk'!F18</f>
        <v>11.989443908408351</v>
      </c>
      <c r="G44" s="19">
        <f>'Interest Risk'!G24+'Interest Risk'!G18</f>
        <v>-15.14277615914602</v>
      </c>
      <c r="H44" s="19">
        <f>'Interest Risk'!H24+'Interest Risk'!H18</f>
        <v>-38.887869376126694</v>
      </c>
      <c r="I44" s="19">
        <f>'Interest Risk'!I24+'Interest Risk'!I18</f>
        <v>-3.6548802311752175</v>
      </c>
      <c r="J44" s="19">
        <f>'Interest Risk'!J24+'Interest Risk'!J18</f>
        <v>26.898010261210125</v>
      </c>
      <c r="K44" s="19">
        <f>'Interest Risk'!K24+'Interest Risk'!K18</f>
        <v>15.765317016518658</v>
      </c>
      <c r="L44" s="19">
        <f>'Interest Risk'!L24+'Interest Risk'!L18</f>
        <v>7.494553169134333</v>
      </c>
      <c r="M44" s="19">
        <f>'Interest Risk'!M24+'Interest Risk'!M18</f>
        <v>5.4959093934500896</v>
      </c>
      <c r="N44" s="19">
        <f>'Interest Risk'!N24+'Interest Risk'!N18</f>
        <v>-117.63191594679009</v>
      </c>
      <c r="O44" s="19">
        <f>'Interest Risk'!O24+'Interest Risk'!O18</f>
        <v>-8.0382669674169662</v>
      </c>
      <c r="P44" s="19">
        <f>'Interest Risk'!P24+'Interest Risk'!P18</f>
        <v>-81.938601296613143</v>
      </c>
      <c r="Q44" s="19">
        <f>'Interest Risk'!Q24+'Interest Risk'!Q18</f>
        <v>-810.9003993889927</v>
      </c>
    </row>
    <row r="45" spans="1:17">
      <c r="A45" s="37" t="s">
        <v>103</v>
      </c>
      <c r="B45" s="19">
        <f>SUM(C45:E45)</f>
        <v>-604.82152205250691</v>
      </c>
      <c r="C45" s="19">
        <f>SUM(F45:H45)</f>
        <v>-144.92830000000001</v>
      </c>
      <c r="D45" s="19">
        <f>SUM(I45:M45)</f>
        <v>-85.552499999999981</v>
      </c>
      <c r="E45" s="19">
        <f>SUM(N45:Q45)</f>
        <v>-374.34072205250698</v>
      </c>
      <c r="F45" s="19">
        <f>'FX Risk'!F6-'FX Risk'!F17</f>
        <v>-3.5057</v>
      </c>
      <c r="G45" s="19">
        <f>'FX Risk'!G6-'FX Risk'!G17</f>
        <v>-19.797250000000002</v>
      </c>
      <c r="H45" s="19">
        <f>'FX Risk'!H6-'FX Risk'!H17</f>
        <v>-121.62535000000001</v>
      </c>
      <c r="I45" s="19">
        <f>'FX Risk'!I6-'FX Risk'!I17</f>
        <v>-3.7675000000000001</v>
      </c>
      <c r="J45" s="19">
        <f>'FX Risk'!J6-'FX Risk'!J17</f>
        <v>-6.7661000000000016</v>
      </c>
      <c r="K45" s="19">
        <f>'FX Risk'!K6-'FX Risk'!K17</f>
        <v>-36.045899999999996</v>
      </c>
      <c r="L45" s="19">
        <f>'FX Risk'!L6-'FX Risk'!L17</f>
        <v>-17.213899999999999</v>
      </c>
      <c r="M45" s="19">
        <f>'FX Risk'!M6-'FX Risk'!M17</f>
        <v>-21.759099999999997</v>
      </c>
      <c r="N45" s="19">
        <f>'FX Risk'!N6-'FX Risk'!N17</f>
        <v>-124.8082</v>
      </c>
      <c r="O45" s="19">
        <f>'FX Risk'!O6-'FX Risk'!O17</f>
        <v>-21.045200000000001</v>
      </c>
      <c r="P45" s="19">
        <f>'FX Risk'!P6-'FX Risk'!P17</f>
        <v>-13.272599999999997</v>
      </c>
      <c r="Q45" s="19">
        <f>'FX Risk'!Q6-'FX Risk'!Q17</f>
        <v>-215.21472205250703</v>
      </c>
    </row>
    <row r="46" spans="1:17">
      <c r="A46" s="3" t="s">
        <v>60</v>
      </c>
      <c r="B46" s="19">
        <f>SUM(C46:E46)</f>
        <v>-576.61407356892119</v>
      </c>
      <c r="C46" s="19">
        <f>SUM(F46:H46)</f>
        <v>-1121.2681008011882</v>
      </c>
      <c r="D46" s="19">
        <f>SUM(I46:M46)</f>
        <v>572.9763231440088</v>
      </c>
      <c r="E46" s="19">
        <f>SUM(N46:Q46)</f>
        <v>-28.322295911741776</v>
      </c>
      <c r="F46" s="19">
        <f>F40+SUM(F42:F45)</f>
        <v>19.838148127190387</v>
      </c>
      <c r="G46" s="19">
        <f t="shared" ref="G46:Q46" si="10">G40+SUM(G42:G45)</f>
        <v>-260.36463972282689</v>
      </c>
      <c r="H46" s="19">
        <f t="shared" si="10"/>
        <v>-880.74160920555164</v>
      </c>
      <c r="I46" s="19">
        <f t="shared" si="10"/>
        <v>12.940397375204057</v>
      </c>
      <c r="J46" s="19">
        <f t="shared" si="10"/>
        <v>-39.491701421394652</v>
      </c>
      <c r="K46" s="19">
        <f t="shared" si="10"/>
        <v>259.99216901251305</v>
      </c>
      <c r="L46" s="19">
        <f t="shared" si="10"/>
        <v>-24.531006716605546</v>
      </c>
      <c r="M46" s="19">
        <f t="shared" si="10"/>
        <v>364.06646489429181</v>
      </c>
      <c r="N46" s="19">
        <f t="shared" si="10"/>
        <v>774.9372304633232</v>
      </c>
      <c r="O46" s="19">
        <f t="shared" si="10"/>
        <v>638.89271815554775</v>
      </c>
      <c r="P46" s="19">
        <f t="shared" si="10"/>
        <v>12.335659743084989</v>
      </c>
      <c r="Q46" s="19">
        <f t="shared" si="10"/>
        <v>-1454.4879042736977</v>
      </c>
    </row>
    <row r="47" spans="1:17" ht="5" customHeight="1"/>
    <row r="48" spans="1:17" ht="17">
      <c r="A48" s="5" t="s">
        <v>108</v>
      </c>
      <c r="B48" s="19">
        <f>SUM(C48:E48)</f>
        <v>45789.922258791914</v>
      </c>
      <c r="C48" s="19">
        <f>SUM(F48:H48)</f>
        <v>10245.630392439874</v>
      </c>
      <c r="D48" s="19">
        <f>SUM(I48:M48)</f>
        <v>6677.9425870271898</v>
      </c>
      <c r="E48" s="19">
        <f>SUM(N48:Q48)</f>
        <v>28866.349279324852</v>
      </c>
      <c r="F48" s="19">
        <f>Data!F34</f>
        <v>1030.268565618999</v>
      </c>
      <c r="G48" s="19">
        <f>Data!G34</f>
        <v>809.3122884782091</v>
      </c>
      <c r="H48" s="19">
        <f>Data!H34</f>
        <v>8406.049538342666</v>
      </c>
      <c r="I48" s="19">
        <f>Data!I34</f>
        <v>156.12894415322725</v>
      </c>
      <c r="J48" s="19">
        <f>Data!J34</f>
        <v>567.75967977706023</v>
      </c>
      <c r="K48" s="19">
        <f>Data!K34</f>
        <v>3148.4205138715688</v>
      </c>
      <c r="L48" s="19">
        <f>Data!L34</f>
        <v>676.44942908747134</v>
      </c>
      <c r="M48" s="19">
        <f>Data!M34</f>
        <v>2129.1840201378623</v>
      </c>
      <c r="N48" s="19">
        <f>Data!N34</f>
        <v>7755.1184366993966</v>
      </c>
      <c r="O48" s="19">
        <f>Data!O34</f>
        <v>9008.2549172611853</v>
      </c>
      <c r="P48" s="19">
        <f>Data!P34</f>
        <v>2327.621240680282</v>
      </c>
      <c r="Q48" s="19">
        <f>Data!Q34</f>
        <v>9775.3546846839909</v>
      </c>
    </row>
    <row r="49" spans="1:17">
      <c r="A49" s="3" t="s">
        <v>104</v>
      </c>
    </row>
    <row r="50" spans="1:17">
      <c r="A50" s="37" t="s">
        <v>101</v>
      </c>
      <c r="B50" s="19">
        <f t="shared" ref="B50:B56" si="11">SUM(C50:E50)</f>
        <v>-757.98044082964691</v>
      </c>
      <c r="C50" s="19">
        <f t="shared" ref="C50:C56" si="12">SUM(F50:H50)</f>
        <v>-648.10240087553427</v>
      </c>
      <c r="D50" s="19">
        <f t="shared" ref="D50:D56" si="13">SUM(I50:M50)</f>
        <v>-19.510556954112616</v>
      </c>
      <c r="E50" s="19">
        <f t="shared" ref="E50:E56" si="14">SUM(N50:Q50)</f>
        <v>-90.367482999999993</v>
      </c>
      <c r="F50" s="19">
        <f>F42*'Credit Risk'!$B40/100</f>
        <v>-1.3673124651188573</v>
      </c>
      <c r="G50" s="19">
        <f>G42*'Credit Risk'!$B40/100</f>
        <v>-169.43760893041588</v>
      </c>
      <c r="H50" s="19">
        <f>H42*'Credit Risk'!$B40/100</f>
        <v>-477.29747947999954</v>
      </c>
      <c r="I50" s="19">
        <f>I42*'Credit Risk'!$B40/100</f>
        <v>-0.52500510339648265</v>
      </c>
      <c r="J50" s="19">
        <f>J42*'Credit Risk'!$B40/100</f>
        <v>-2.6698654975281215</v>
      </c>
      <c r="K50" s="19">
        <f>K42*'Credit Risk'!$B40/100</f>
        <v>-12.106089472036373</v>
      </c>
      <c r="L50" s="19">
        <f>L42*'Credit Risk'!$B40/100</f>
        <v>0</v>
      </c>
      <c r="M50" s="19">
        <f>M42*'Credit Risk'!$B40/100</f>
        <v>-4.20959688115164</v>
      </c>
      <c r="N50" s="19">
        <f>N42*'Credit Risk'!$B40/100</f>
        <v>0</v>
      </c>
      <c r="O50" s="19">
        <f>O42*'Credit Risk'!$B40/100</f>
        <v>-90.367482999999993</v>
      </c>
      <c r="P50" s="19">
        <f>P42*'Credit Risk'!$B40/100</f>
        <v>0</v>
      </c>
      <c r="Q50" s="19">
        <f>Q42*'Credit Risk'!$B40/100</f>
        <v>0</v>
      </c>
    </row>
    <row r="51" spans="1:17">
      <c r="A51" s="37" t="s">
        <v>65</v>
      </c>
      <c r="B51" s="19">
        <f t="shared" si="11"/>
        <v>-3591.468695332198</v>
      </c>
      <c r="C51" s="19">
        <f t="shared" si="12"/>
        <v>-793.72994375000007</v>
      </c>
      <c r="D51" s="19">
        <f t="shared" si="13"/>
        <v>-590.96369374999995</v>
      </c>
      <c r="E51" s="19">
        <f t="shared" si="14"/>
        <v>-2206.7750578321979</v>
      </c>
      <c r="F51" s="19">
        <f>F43*'Credit Risk'!$B54/100</f>
        <v>-68.669499999999999</v>
      </c>
      <c r="G51" s="19">
        <f>G43*'Credit Risk'!$B54/100</f>
        <v>-121.54130000000001</v>
      </c>
      <c r="H51" s="19">
        <f>H43*'Credit Risk'!$B54/100</f>
        <v>-603.51914375000001</v>
      </c>
      <c r="I51" s="19">
        <f>I43*'Credit Risk'!$B54/100</f>
        <v>-16.390231250000003</v>
      </c>
      <c r="J51" s="19">
        <f>J43*'Credit Risk'!$B54/100</f>
        <v>-59.404181249999993</v>
      </c>
      <c r="K51" s="19">
        <f>K43*'Credit Risk'!$B54/100</f>
        <v>-234.42738125000002</v>
      </c>
      <c r="L51" s="19">
        <f>L43*'Credit Risk'!$B54/100</f>
        <v>-70.956962500000003</v>
      </c>
      <c r="M51" s="19">
        <f>M43*'Credit Risk'!$B54/100</f>
        <v>-209.78493750000001</v>
      </c>
      <c r="N51" s="19">
        <f>N43*'Credit Risk'!$B54/100</f>
        <v>-645.6614437500001</v>
      </c>
      <c r="O51" s="19">
        <f>O43*'Credit Risk'!$B54/100</f>
        <v>-956.29461250000008</v>
      </c>
      <c r="P51" s="19">
        <f>P43*'Credit Risk'!$B54/100</f>
        <v>-175.68921875000001</v>
      </c>
      <c r="Q51" s="19">
        <f>Q43*'Credit Risk'!$B54/100</f>
        <v>-429.12978283219798</v>
      </c>
    </row>
    <row r="52" spans="1:17">
      <c r="A52" s="3" t="s">
        <v>61</v>
      </c>
      <c r="B52" s="19">
        <f t="shared" si="11"/>
        <v>41440.473122630072</v>
      </c>
      <c r="C52" s="19">
        <f t="shared" si="12"/>
        <v>8803.79804781434</v>
      </c>
      <c r="D52" s="19">
        <f t="shared" si="13"/>
        <v>6067.468336323077</v>
      </c>
      <c r="E52" s="19">
        <f t="shared" si="14"/>
        <v>26569.206738492656</v>
      </c>
      <c r="F52" s="19">
        <f t="shared" ref="F52:Q52" si="15">F48+SUM(F50:F51)</f>
        <v>960.23175315388016</v>
      </c>
      <c r="G52" s="19">
        <f t="shared" si="15"/>
        <v>518.33337954779324</v>
      </c>
      <c r="H52" s="19">
        <f t="shared" si="15"/>
        <v>7325.2329151126669</v>
      </c>
      <c r="I52" s="19">
        <f t="shared" si="15"/>
        <v>139.21370779983076</v>
      </c>
      <c r="J52" s="19">
        <f t="shared" si="15"/>
        <v>505.68563302953214</v>
      </c>
      <c r="K52" s="19">
        <f t="shared" si="15"/>
        <v>2901.8870431495325</v>
      </c>
      <c r="L52" s="19">
        <f t="shared" si="15"/>
        <v>605.49246658747131</v>
      </c>
      <c r="M52" s="19">
        <f t="shared" si="15"/>
        <v>1915.1894857567106</v>
      </c>
      <c r="N52" s="19">
        <f t="shared" si="15"/>
        <v>7109.4569929493964</v>
      </c>
      <c r="O52" s="19">
        <f t="shared" si="15"/>
        <v>7961.5928217611854</v>
      </c>
      <c r="P52" s="19">
        <f t="shared" si="15"/>
        <v>2151.9320219302817</v>
      </c>
      <c r="Q52" s="19">
        <f t="shared" si="15"/>
        <v>9346.2249018517923</v>
      </c>
    </row>
    <row r="53" spans="1:17">
      <c r="A53" s="3" t="s">
        <v>297</v>
      </c>
      <c r="B53" s="19">
        <f t="shared" si="11"/>
        <v>103476.07197882359</v>
      </c>
      <c r="C53" s="19">
        <f t="shared" si="12"/>
        <v>18005.164936214183</v>
      </c>
      <c r="D53" s="19">
        <f t="shared" si="13"/>
        <v>12619.303873609409</v>
      </c>
      <c r="E53" s="19">
        <f t="shared" si="14"/>
        <v>72851.603168999995</v>
      </c>
      <c r="F53" s="19">
        <f>Data!F5</f>
        <v>2380.7051937092292</v>
      </c>
      <c r="G53" s="19">
        <f>Data!G5</f>
        <v>2752.9423129049565</v>
      </c>
      <c r="H53" s="19">
        <f>Data!H5</f>
        <v>12871.517429599999</v>
      </c>
      <c r="I53" s="19">
        <f>Data!I5</f>
        <v>331.00639810339652</v>
      </c>
      <c r="J53" s="19">
        <f>Data!J5</f>
        <v>1474.805726497528</v>
      </c>
      <c r="K53" s="19">
        <f>Data!K5</f>
        <v>4705.0385497220368</v>
      </c>
      <c r="L53" s="19">
        <f>Data!L5</f>
        <v>2021.1798724052971</v>
      </c>
      <c r="M53" s="19">
        <f>Data!M5</f>
        <v>4087.2733268811517</v>
      </c>
      <c r="N53" s="19">
        <f>Data!N5</f>
        <v>14120.701245000002</v>
      </c>
      <c r="O53" s="19">
        <f>Data!O5</f>
        <v>17121.210494999996</v>
      </c>
      <c r="P53" s="19">
        <f>Data!P5</f>
        <v>4582.979429</v>
      </c>
      <c r="Q53" s="19">
        <f>Data!Q5</f>
        <v>37026.712</v>
      </c>
    </row>
    <row r="54" spans="1:17">
      <c r="A54" s="3" t="s">
        <v>296</v>
      </c>
      <c r="B54" s="19">
        <f t="shared" si="11"/>
        <v>97513.249844991689</v>
      </c>
      <c r="C54" s="19">
        <f t="shared" si="12"/>
        <v>16376.363089961786</v>
      </c>
      <c r="D54" s="19">
        <f t="shared" si="13"/>
        <v>11975.276032514435</v>
      </c>
      <c r="E54" s="19">
        <f t="shared" si="14"/>
        <v>69161.61072251547</v>
      </c>
      <c r="F54" s="19">
        <f>F53+SUM(F42:F45)</f>
        <v>2319.1521251525187</v>
      </c>
      <c r="G54" s="19">
        <f t="shared" ref="G54:Q54" si="16">G53+SUM(G42:G45)</f>
        <v>2427.0233778153947</v>
      </c>
      <c r="H54" s="19">
        <f t="shared" si="16"/>
        <v>11630.187586993872</v>
      </c>
      <c r="I54" s="19">
        <f t="shared" si="16"/>
        <v>306.6687815188248</v>
      </c>
      <c r="J54" s="19">
        <f t="shared" si="16"/>
        <v>1432.8635900112099</v>
      </c>
      <c r="K54" s="19">
        <f t="shared" si="16"/>
        <v>4438.224496016519</v>
      </c>
      <c r="L54" s="19">
        <f t="shared" si="16"/>
        <v>1940.5035630744314</v>
      </c>
      <c r="M54" s="19">
        <f t="shared" si="16"/>
        <v>3857.0156018934499</v>
      </c>
      <c r="N54" s="19">
        <f t="shared" si="16"/>
        <v>13232.599685303212</v>
      </c>
      <c r="O54" s="19">
        <f t="shared" si="16"/>
        <v>16045.464932532579</v>
      </c>
      <c r="P54" s="19">
        <f t="shared" si="16"/>
        <v>4312.0790089533866</v>
      </c>
      <c r="Q54" s="19">
        <f t="shared" si="16"/>
        <v>35571.467095726301</v>
      </c>
    </row>
    <row r="55" spans="1:17">
      <c r="A55" s="3" t="s">
        <v>400</v>
      </c>
      <c r="B55" s="19">
        <f t="shared" si="11"/>
        <v>13519.345662293845</v>
      </c>
      <c r="C55" s="19">
        <f t="shared" si="12"/>
        <v>-140.09525659128099</v>
      </c>
      <c r="D55" s="19">
        <f t="shared" si="13"/>
        <v>779.34387182298758</v>
      </c>
      <c r="E55" s="19">
        <f t="shared" si="14"/>
        <v>12880.097047062138</v>
      </c>
      <c r="F55" s="19">
        <f>IF($G$5="Simple",IF($G$6=1,Liquidity!F23+Liquidity!F26,IF($G$6=2,Liquidity!F34+Liquidity!F37,IF($G$6=3,Liquidity!F45+Liquidity!F48,IF($G$6=4,Liquidity!F56+Liquidity!F59,IF($G$6=5,Liquidity!F67+Liquidity!F70,"..."))))),IF($G$6=1,Liquidity!F101+Liquidity!F104,IF($G$6=2,Liquidity!F112+Liquidity!F115,IF($G$6=3,Liquidity!F123+Liquidity!F126,IF($G$6=4,Liquidity!F134+Liquidity!F137,IF($G$6=5,Liquidity!F145+Liquidity!F148,"..."))))))</f>
        <v>67.846815813500953</v>
      </c>
      <c r="G55" s="19">
        <f>IF($G$5="Simple",IF($G$6=1,Liquidity!G23+Liquidity!G26,IF($G$6=2,Liquidity!G34+Liquidity!G37,IF($G$6=3,Liquidity!G45+Liquidity!G48,IF($G$6=4,Liquidity!G56+Liquidity!G59,IF($G$6=5,Liquidity!G67+Liquidity!G70,"..."))))),IF($G$6=1,Liquidity!G101+Liquidity!G104,IF($G$6=2,Liquidity!G112+Liquidity!G115,IF($G$6=3,Liquidity!G123+Liquidity!G126,IF($G$6=4,Liquidity!G134+Liquidity!G137,IF($G$6=5,Liquidity!G145+Liquidity!G148,"..."))))))</f>
        <v>-44.12893457520002</v>
      </c>
      <c r="H55" s="19">
        <f>IF($G$5="Simple",IF($G$6=1,Liquidity!H23+Liquidity!H26,IF($G$6=2,Liquidity!H34+Liquidity!H37,IF($G$6=3,Liquidity!H45+Liquidity!H48,IF($G$6=4,Liquidity!H56+Liquidity!H59,IF($G$6=5,Liquidity!H67+Liquidity!H70,"..."))))),IF($G$6=1,Liquidity!H101+Liquidity!H104,IF($G$6=2,Liquidity!H112+Liquidity!H115,IF($G$6=3,Liquidity!H123+Liquidity!H126,IF($G$6=4,Liquidity!H134+Liquidity!H137,IF($G$6=5,Liquidity!H145+Liquidity!H148,"..."))))))</f>
        <v>-163.8131378295819</v>
      </c>
      <c r="I55" s="19">
        <f>IF($G$5="Simple",IF($G$6=1,Liquidity!I23+Liquidity!I26,IF($G$6=2,Liquidity!I34+Liquidity!I37,IF($G$6=3,Liquidity!I45+Liquidity!I48,IF($G$6=4,Liquidity!I56+Liquidity!I59,IF($G$6=5,Liquidity!I67+Liquidity!I70,"..."))))),IF($G$6=1,Liquidity!I101+Liquidity!I104,IF($G$6=2,Liquidity!I112+Liquidity!I115,IF($G$6=3,Liquidity!I123+Liquidity!I126,IF($G$6=4,Liquidity!I134+Liquidity!I137,IF($G$6=5,Liquidity!I145+Liquidity!I148,"..."))))))</f>
        <v>-4.4546436387410591</v>
      </c>
      <c r="J55" s="19">
        <f>IF($G$5="Simple",IF($G$6=1,Liquidity!J23+Liquidity!J26,IF($G$6=2,Liquidity!J34+Liquidity!J37,IF($G$6=3,Liquidity!J45+Liquidity!J48,IF($G$6=4,Liquidity!J56+Liquidity!J59,IF($G$6=5,Liquidity!J67+Liquidity!J70,"..."))))),IF($G$6=1,Liquidity!J101+Liquidity!J104,IF($G$6=2,Liquidity!J112+Liquidity!J115,IF($G$6=3,Liquidity!J123+Liquidity!J126,IF($G$6=4,Liquidity!J134+Liquidity!J137,IF($G$6=5,Liquidity!J145+Liquidity!J148,"..."))))))</f>
        <v>103.71823267147127</v>
      </c>
      <c r="K55" s="19">
        <f>IF($G$5="Simple",IF($G$6=1,Liquidity!K23+Liquidity!K26,IF($G$6=2,Liquidity!K34+Liquidity!K37,IF($G$6=3,Liquidity!K45+Liquidity!K48,IF($G$6=4,Liquidity!K56+Liquidity!K59,IF($G$6=5,Liquidity!K67+Liquidity!K70,"..."))))),IF($G$6=1,Liquidity!K101+Liquidity!K104,IF($G$6=2,Liquidity!K112+Liquidity!K115,IF($G$6=3,Liquidity!K123+Liquidity!K126,IF($G$6=4,Liquidity!K134+Liquidity!K137,IF($G$6=5,Liquidity!K145+Liquidity!K148,"..."))))))</f>
        <v>244.67558442876879</v>
      </c>
      <c r="L55" s="19">
        <f>IF($G$5="Simple",IF($G$6=1,Liquidity!L23+Liquidity!L26,IF($G$6=2,Liquidity!L34+Liquidity!L37,IF($G$6=3,Liquidity!L45+Liquidity!L48,IF($G$6=4,Liquidity!L56+Liquidity!L59,IF($G$6=5,Liquidity!L67+Liquidity!L70,"..."))))),IF($G$6=1,Liquidity!L101+Liquidity!L104,IF($G$6=2,Liquidity!L112+Liquidity!L115,IF($G$6=3,Liquidity!L123+Liquidity!L126,IF($G$6=4,Liquidity!L134+Liquidity!L137,IF($G$6=5,Liquidity!L145+Liquidity!L148,"..."))))))</f>
        <v>144.79990901905836</v>
      </c>
      <c r="M55" s="19">
        <f>IF($G$5="Simple",IF($G$6=1,Liquidity!M23+Liquidity!M26,IF($G$6=2,Liquidity!M34+Liquidity!M37,IF($G$6=3,Liquidity!M45+Liquidity!M48,IF($G$6=4,Liquidity!M56+Liquidity!M59,IF($G$6=5,Liquidity!M67+Liquidity!M70,"..."))))),IF($G$6=1,Liquidity!M101+Liquidity!M104,IF($G$6=2,Liquidity!M112+Liquidity!M115,IF($G$6=3,Liquidity!M123+Liquidity!M126,IF($G$6=4,Liquidity!M134+Liquidity!M137,IF($G$6=5,Liquidity!M145+Liquidity!M148,"..."))))))</f>
        <v>290.60478934243025</v>
      </c>
      <c r="N55" s="19">
        <f>IF($G$5="Simple",IF($G$6=1,Liquidity!N23+Liquidity!N26,IF($G$6=2,Liquidity!N34+Liquidity!N37,IF($G$6=3,Liquidity!N45+Liquidity!N48,IF($G$6=4,Liquidity!N56+Liquidity!N59,IF($G$6=5,Liquidity!N67+Liquidity!N70,"..."))))),IF($G$6=1,Liquidity!N101+Liquidity!N104,IF($G$6=2,Liquidity!N112+Liquidity!N115,IF($G$6=3,Liquidity!N123+Liquidity!N126,IF($G$6=4,Liquidity!N134+Liquidity!N137,IF($G$6=5,Liquidity!N145+Liquidity!N148,"..."))))))</f>
        <v>1594.1107065021592</v>
      </c>
      <c r="O55" s="19">
        <f>IF($G$5="Simple",IF($G$6=1,Liquidity!O23+Liquidity!O26,IF($G$6=2,Liquidity!O34+Liquidity!O37,IF($G$6=3,Liquidity!O45+Liquidity!O48,IF($G$6=4,Liquidity!O56+Liquidity!O59,IF($G$6=5,Liquidity!O67+Liquidity!O70,"..."))))),IF($G$6=1,Liquidity!O101+Liquidity!O104,IF($G$6=2,Liquidity!O112+Liquidity!O115,IF($G$6=3,Liquidity!O123+Liquidity!O126,IF($G$6=4,Liquidity!O134+Liquidity!O137,IF($G$6=5,Liquidity!O145+Liquidity!O148,"..."))))))</f>
        <v>-169.26032068435489</v>
      </c>
      <c r="P55" s="19">
        <f>IF($G$5="Simple",IF($G$6=1,Liquidity!P23+Liquidity!P26,IF($G$6=2,Liquidity!P34+Liquidity!P37,IF($G$6=3,Liquidity!P45+Liquidity!P48,IF($G$6=4,Liquidity!P56+Liquidity!P59,IF($G$6=5,Liquidity!P67+Liquidity!P70,"..."))))),IF($G$6=1,Liquidity!P101+Liquidity!P104,IF($G$6=2,Liquidity!P112+Liquidity!P115,IF($G$6=3,Liquidity!P123+Liquidity!P126,IF($G$6=4,Liquidity!P134+Liquidity!P137,IF($G$6=5,Liquidity!P145+Liquidity!P148,"..."))))))</f>
        <v>917.43387380821173</v>
      </c>
      <c r="Q55" s="19">
        <f>IF($G$5="Simple",IF($G$6=1,Liquidity!Q23+Liquidity!Q26,IF($G$6=2,Liquidity!Q34+Liquidity!Q37,IF($G$6=3,Liquidity!Q45+Liquidity!Q48,IF($G$6=4,Liquidity!Q56+Liquidity!Q59,IF($G$6=5,Liquidity!Q67+Liquidity!Q70,"..."))))),IF($G$6=1,Liquidity!Q101+Liquidity!Q104,IF($G$6=2,Liquidity!Q112+Liquidity!Q115,IF($G$6=3,Liquidity!Q123+Liquidity!Q126,IF($G$6=4,Liquidity!Q134+Liquidity!Q137,IF($G$6=5,Liquidity!Q145+Liquidity!Q148,"..."))))))</f>
        <v>10537.812787436122</v>
      </c>
    </row>
    <row r="56" spans="1:17">
      <c r="A56" s="3" t="s">
        <v>401</v>
      </c>
      <c r="B56" s="19">
        <f t="shared" si="11"/>
        <v>22946.359625000001</v>
      </c>
      <c r="C56" s="19">
        <f t="shared" si="12"/>
        <v>6035.0049999999992</v>
      </c>
      <c r="D56" s="19">
        <f t="shared" si="13"/>
        <v>4110.1172500000002</v>
      </c>
      <c r="E56" s="19">
        <f t="shared" si="14"/>
        <v>12801.237375000001</v>
      </c>
      <c r="F56" s="19">
        <f>IF($G$5="Simple",IF($G$6=1,Liquidity!F18+Liquidity!F19,IF($G$6=2,Liquidity!F29+Liquidity!F30,IF($G$6=3,Liquidity!F40+Liquidity!F41,IF($G$6=4,Liquidity!F51+Liquidity!F52,IF($G$6=5,Liquidity!F62+Liquidity!F73,"..."))))),IF($G$6=1,Liquidity!F96+Liquidity!F97,IF($G$6=2,Liquidity!F107+Liquidity!F108,IF($G$6=3,Liquidity!F118+Liquidity!F119,IF($G$6=4,Liquidity!F129+Liquidity!F130,IF($G$6=5,Liquidity!F140+Liquidity!F141,"..."))))))</f>
        <v>831.76</v>
      </c>
      <c r="G56" s="19">
        <f>IF($G$5="Simple",IF($G$6=1,Liquidity!G18+Liquidity!G19,IF($G$6=2,Liquidity!G29+Liquidity!G30,IF($G$6=3,Liquidity!G40+Liquidity!G41,IF($G$6=4,Liquidity!G51+Liquidity!G52,IF($G$6=5,Liquidity!G62+Liquidity!G73,"..."))))),IF($G$6=1,Liquidity!G96+Liquidity!G97,IF($G$6=2,Liquidity!G107+Liquidity!G108,IF($G$6=3,Liquidity!G118+Liquidity!G119,IF($G$6=4,Liquidity!G129+Liquidity!G130,IF($G$6=5,Liquidity!G140+Liquidity!G141,"..."))))))</f>
        <v>718.08749999999998</v>
      </c>
      <c r="H56" s="19">
        <f>IF($G$5="Simple",IF($G$6=1,Liquidity!H18+Liquidity!H19,IF($G$6=2,Liquidity!H29+Liquidity!H30,IF($G$6=3,Liquidity!H40+Liquidity!H41,IF($G$6=4,Liquidity!H51+Liquidity!H52,IF($G$6=5,Liquidity!H62+Liquidity!H73,"..."))))),IF($G$6=1,Liquidity!H96+Liquidity!H97,IF($G$6=2,Liquidity!H107+Liquidity!H108,IF($G$6=3,Liquidity!H118+Liquidity!H119,IF($G$6=4,Liquidity!H129+Liquidity!H130,IF($G$6=5,Liquidity!H140+Liquidity!H141,"..."))))))</f>
        <v>4485.1574999999993</v>
      </c>
      <c r="I56" s="19">
        <f>IF($G$5="Simple",IF($G$6=1,Liquidity!I18+Liquidity!I19,IF($G$6=2,Liquidity!I29+Liquidity!I30,IF($G$6=3,Liquidity!I40+Liquidity!I41,IF($G$6=4,Liquidity!I51+Liquidity!I52,IF($G$6=5,Liquidity!I62+Liquidity!I73,"..."))))),IF($G$6=1,Liquidity!I96+Liquidity!I97,IF($G$6=2,Liquidity!I107+Liquidity!I108,IF($G$6=3,Liquidity!I118+Liquidity!I119,IF($G$6=4,Liquidity!I129+Liquidity!I130,IF($G$6=5,Liquidity!I140+Liquidity!I141,"..."))))))</f>
        <v>106.17500000000001</v>
      </c>
      <c r="J56" s="19">
        <f>IF($G$5="Simple",IF($G$6=1,Liquidity!J18+Liquidity!J19,IF($G$6=2,Liquidity!J29+Liquidity!J30,IF($G$6=3,Liquidity!J40+Liquidity!J41,IF($G$6=4,Liquidity!J51+Liquidity!J52,IF($G$6=5,Liquidity!J62+Liquidity!J73,"..."))))),IF($G$6=1,Liquidity!J96+Liquidity!J97,IF($G$6=2,Liquidity!J107+Liquidity!J108,IF($G$6=3,Liquidity!J118+Liquidity!J119,IF($G$6=4,Liquidity!J129+Liquidity!J130,IF($G$6=5,Liquidity!J140+Liquidity!J141,"..."))))))</f>
        <v>488.86750000000006</v>
      </c>
      <c r="K56" s="19">
        <f>IF($G$5="Simple",IF($G$6=1,Liquidity!K18+Liquidity!K19,IF($G$6=2,Liquidity!K29+Liquidity!K30,IF($G$6=3,Liquidity!K40+Liquidity!K41,IF($G$6=4,Liquidity!K51+Liquidity!K52,IF($G$6=5,Liquidity!K62+Liquidity!K73,"..."))))),IF($G$6=1,Liquidity!K96+Liquidity!K97,IF($G$6=2,Liquidity!K107+Liquidity!K108,IF($G$6=3,Liquidity!K118+Liquidity!K119,IF($G$6=4,Liquidity!K129+Liquidity!K130,IF($G$6=5,Liquidity!K140+Liquidity!K141,"..."))))))</f>
        <v>1667.0940000000001</v>
      </c>
      <c r="L56" s="19">
        <f>IF($G$5="Simple",IF($G$6=1,Liquidity!L18+Liquidity!L19,IF($G$6=2,Liquidity!L29+Liquidity!L30,IF($G$6=3,Liquidity!L40+Liquidity!L41,IF($G$6=4,Liquidity!L51+Liquidity!L52,IF($G$6=5,Liquidity!L62+Liquidity!L73,"..."))))),IF($G$6=1,Liquidity!L96+Liquidity!L97,IF($G$6=2,Liquidity!L107+Liquidity!L108,IF($G$6=3,Liquidity!L118+Liquidity!L119,IF($G$6=4,Liquidity!L129+Liquidity!L130,IF($G$6=5,Liquidity!L140+Liquidity!L141,"..."))))))</f>
        <v>606.73424999999997</v>
      </c>
      <c r="M56" s="19">
        <f>IF($G$5="Simple",IF($G$6=1,Liquidity!M18+Liquidity!M19,IF($G$6=2,Liquidity!M29+Liquidity!M30,IF($G$6=3,Liquidity!M40+Liquidity!M41,IF($G$6=4,Liquidity!M51+Liquidity!M52,IF($G$6=5,Liquidity!M62+Liquidity!M73,"..."))))),IF($G$6=1,Liquidity!M96+Liquidity!M97,IF($G$6=2,Liquidity!M107+Liquidity!M108,IF($G$6=3,Liquidity!M118+Liquidity!M119,IF($G$6=4,Liquidity!M129+Liquidity!M130,IF($G$6=5,Liquidity!M140+Liquidity!M141,"..."))))))</f>
        <v>1241.2465</v>
      </c>
      <c r="N56" s="19">
        <f>IF($G$5="Simple",IF($G$6=1,Liquidity!N18+Liquidity!N19,IF($G$6=2,Liquidity!N29+Liquidity!N30,IF($G$6=3,Liquidity!N40+Liquidity!N41,IF($G$6=4,Liquidity!N51+Liquidity!N52,IF($G$6=5,Liquidity!N62+Liquidity!N73,"..."))))),IF($G$6=1,Liquidity!N96+Liquidity!N97,IF($G$6=2,Liquidity!N107+Liquidity!N108,IF($G$6=3,Liquidity!N118+Liquidity!N119,IF($G$6=4,Liquidity!N129+Liquidity!N130,IF($G$6=5,Liquidity!N140+Liquidity!N141,"..."))))))</f>
        <v>5354.0872499999987</v>
      </c>
      <c r="O56" s="19">
        <f>IF($G$5="Simple",IF($G$6=1,Liquidity!O18+Liquidity!O19,IF($G$6=2,Liquidity!O29+Liquidity!O30,IF($G$6=3,Liquidity!O40+Liquidity!O41,IF($G$6=4,Liquidity!O51+Liquidity!O52,IF($G$6=5,Liquidity!O62+Liquidity!O73,"..."))))),IF($G$6=1,Liquidity!O96+Liquidity!O97,IF($G$6=2,Liquidity!O107+Liquidity!O108,IF($G$6=3,Liquidity!O118+Liquidity!O119,IF($G$6=4,Liquidity!O129+Liquidity!O130,IF($G$6=5,Liquidity!O140+Liquidity!O141,"..."))))))</f>
        <v>5802.8400000000011</v>
      </c>
      <c r="P56" s="19">
        <f>IF($G$5="Simple",IF($G$6=1,Liquidity!P18+Liquidity!P19,IF($G$6=2,Liquidity!P29+Liquidity!P30,IF($G$6=3,Liquidity!P40+Liquidity!P41,IF($G$6=4,Liquidity!P51+Liquidity!P52,IF($G$6=5,Liquidity!P62+Liquidity!P73,"..."))))),IF($G$6=1,Liquidity!P96+Liquidity!P97,IF($G$6=2,Liquidity!P107+Liquidity!P108,IF($G$6=3,Liquidity!P118+Liquidity!P119,IF($G$6=4,Liquidity!P129+Liquidity!P130,IF($G$6=5,Liquidity!P140+Liquidity!P141,"..."))))))</f>
        <v>1644.310125</v>
      </c>
      <c r="Q56" s="19">
        <f>IF($G$5="Simple",IF($G$6=1,Liquidity!Q18+Liquidity!Q19,IF($G$6=2,Liquidity!Q29+Liquidity!Q30,IF($G$6=3,Liquidity!Q40+Liquidity!Q41,IF($G$6=4,Liquidity!Q51+Liquidity!Q52,IF($G$6=5,Liquidity!Q62+Liquidity!Q73,"..."))))),IF($G$6=1,Liquidity!Q96+Liquidity!Q97,IF($G$6=2,Liquidity!Q107+Liquidity!Q108,IF($G$6=3,Liquidity!Q118+Liquidity!Q119,IF($G$6=4,Liquidity!Q129+Liquidity!Q130,IF($G$6=5,Liquidity!Q140+Liquidity!Q141,"..."))))))</f>
        <v>0</v>
      </c>
    </row>
    <row r="58" spans="1:17">
      <c r="A58" s="3" t="s">
        <v>175</v>
      </c>
      <c r="B58" s="81">
        <f>Assumptions!B71</f>
        <v>10</v>
      </c>
    </row>
    <row r="59" spans="1:17">
      <c r="A59" s="3" t="s">
        <v>190</v>
      </c>
      <c r="B59" s="81">
        <f>Assumptions!B72</f>
        <v>0</v>
      </c>
    </row>
    <row r="60" spans="1:17">
      <c r="A60" s="3" t="s">
        <v>178</v>
      </c>
      <c r="B60" s="19">
        <f>SUM(C60:E60)</f>
        <v>4144.0473122630083</v>
      </c>
      <c r="C60" s="19">
        <f>SUM(F60:H60)</f>
        <v>880.37980478143413</v>
      </c>
      <c r="D60" s="19">
        <f>SUM(I60:M60)</f>
        <v>606.74683363230781</v>
      </c>
      <c r="E60" s="19">
        <f>SUM(N60:Q60)</f>
        <v>2656.9206738492658</v>
      </c>
      <c r="F60" s="19">
        <f>F52*$B58/100</f>
        <v>96.023175315388016</v>
      </c>
      <c r="G60" s="19">
        <f t="shared" ref="G60:Q60" si="17">G52*$B58/100</f>
        <v>51.833337954779324</v>
      </c>
      <c r="H60" s="19">
        <f t="shared" si="17"/>
        <v>732.52329151126673</v>
      </c>
      <c r="I60" s="19">
        <f t="shared" si="17"/>
        <v>13.921370779983077</v>
      </c>
      <c r="J60" s="19">
        <f t="shared" si="17"/>
        <v>50.568563302953216</v>
      </c>
      <c r="K60" s="19">
        <f t="shared" si="17"/>
        <v>290.18870431495327</v>
      </c>
      <c r="L60" s="19">
        <f t="shared" si="17"/>
        <v>60.549246658747137</v>
      </c>
      <c r="M60" s="19">
        <f t="shared" si="17"/>
        <v>191.51894857567106</v>
      </c>
      <c r="N60" s="19">
        <f t="shared" si="17"/>
        <v>710.94569929493969</v>
      </c>
      <c r="O60" s="19">
        <f t="shared" si="17"/>
        <v>796.15928217611861</v>
      </c>
      <c r="P60" s="19">
        <f t="shared" si="17"/>
        <v>215.19320219302818</v>
      </c>
      <c r="Q60" s="19">
        <f t="shared" si="17"/>
        <v>934.62249018517923</v>
      </c>
    </row>
    <row r="61" spans="1:17">
      <c r="A61" s="3" t="s">
        <v>176</v>
      </c>
      <c r="B61" s="19">
        <f>SUM(C61:E61)</f>
        <v>4957.2004333189325</v>
      </c>
      <c r="C61" s="19">
        <f>SUM(F61:H61)</f>
        <v>2001.6479055826221</v>
      </c>
      <c r="D61" s="19">
        <f>SUM(I61:M61)</f>
        <v>206.31802680691979</v>
      </c>
      <c r="E61" s="19">
        <f>SUM(N61:Q61)</f>
        <v>2749.2345009293908</v>
      </c>
      <c r="F61" s="19">
        <f t="shared" ref="F61:Q61" si="18">IF(F60&gt;F46,(F60-F46)/(1-$B$58*$B$59/10000),0)</f>
        <v>76.185027188197637</v>
      </c>
      <c r="G61" s="19">
        <f t="shared" si="18"/>
        <v>312.19797767760622</v>
      </c>
      <c r="H61" s="19">
        <f t="shared" si="18"/>
        <v>1613.2649007168184</v>
      </c>
      <c r="I61" s="19">
        <f t="shared" si="18"/>
        <v>0.98097340477901973</v>
      </c>
      <c r="J61" s="19">
        <f t="shared" si="18"/>
        <v>90.06026472434786</v>
      </c>
      <c r="K61" s="19">
        <f t="shared" si="18"/>
        <v>30.196535302440225</v>
      </c>
      <c r="L61" s="19">
        <f t="shared" si="18"/>
        <v>85.080253375352683</v>
      </c>
      <c r="M61" s="19">
        <f t="shared" si="18"/>
        <v>0</v>
      </c>
      <c r="N61" s="19">
        <f t="shared" si="18"/>
        <v>0</v>
      </c>
      <c r="O61" s="19">
        <f t="shared" si="18"/>
        <v>157.26656402057085</v>
      </c>
      <c r="P61" s="19">
        <f t="shared" si="18"/>
        <v>202.8575424499432</v>
      </c>
      <c r="Q61" s="19">
        <f t="shared" si="18"/>
        <v>2389.1103944588767</v>
      </c>
    </row>
    <row r="62" spans="1:17">
      <c r="A62" s="3" t="s">
        <v>177</v>
      </c>
      <c r="B62" s="21">
        <f>B61*100/Data!$B119</f>
        <v>4.957200433318933</v>
      </c>
      <c r="C62" s="21">
        <f>C61*100/Data!$B119</f>
        <v>2.001647905582622</v>
      </c>
      <c r="D62" s="21">
        <f>D61*100/Data!$B119</f>
        <v>0.2063180268069198</v>
      </c>
      <c r="E62" s="21">
        <f>E61*100/Data!$B119</f>
        <v>2.7492345009293908</v>
      </c>
      <c r="F62" s="21">
        <f>F61*100/Data!$B119</f>
        <v>7.618502718819764E-2</v>
      </c>
      <c r="G62" s="21">
        <f>G61*100/Data!$B119</f>
        <v>0.31219797767760621</v>
      </c>
      <c r="H62" s="21">
        <f>H61*100/Data!$B119</f>
        <v>1.6132649007168185</v>
      </c>
      <c r="I62" s="21">
        <f>I61*100/Data!$B119</f>
        <v>9.8097340477901977E-4</v>
      </c>
      <c r="J62" s="21">
        <f>J61*100/Data!$B119</f>
        <v>9.0060264724347847E-2</v>
      </c>
      <c r="K62" s="21">
        <f>K61*100/Data!$B119</f>
        <v>3.0196535302440226E-2</v>
      </c>
      <c r="L62" s="21">
        <f>L61*100/Data!$B119</f>
        <v>8.5080253375352674E-2</v>
      </c>
      <c r="M62" s="21">
        <f>M61*100/Data!$B119</f>
        <v>0</v>
      </c>
      <c r="N62" s="21">
        <f>N61*100/Data!$B119</f>
        <v>0</v>
      </c>
      <c r="O62" s="21">
        <f>O61*100/Data!$B119</f>
        <v>0.15726656402057085</v>
      </c>
      <c r="P62" s="21">
        <f>P61*100/Data!$B119</f>
        <v>0.20285754244994322</v>
      </c>
      <c r="Q62" s="21">
        <f>Q61*100/Data!$B119</f>
        <v>2.3891103944588767</v>
      </c>
    </row>
    <row r="64" spans="1:17">
      <c r="A64" s="30" t="s">
        <v>4</v>
      </c>
    </row>
    <row r="65" spans="1:23">
      <c r="A65" s="44" t="s">
        <v>74</v>
      </c>
      <c r="B65" s="47"/>
      <c r="C65" s="47"/>
      <c r="D65" s="47"/>
      <c r="E65" s="47"/>
      <c r="F65" s="47"/>
      <c r="G65" s="47"/>
      <c r="H65" s="47"/>
      <c r="I65" s="47"/>
      <c r="J65" s="47"/>
      <c r="K65" s="47"/>
      <c r="L65" s="47"/>
      <c r="M65" s="47"/>
      <c r="N65" s="47"/>
      <c r="O65" s="47"/>
      <c r="P65" s="47"/>
      <c r="Q65" s="47"/>
    </row>
    <row r="66" spans="1:23" ht="17">
      <c r="A66" s="34" t="s">
        <v>122</v>
      </c>
      <c r="B66" s="47">
        <f>B36</f>
        <v>-6.1555672478701027</v>
      </c>
      <c r="C66" s="47">
        <f>C36</f>
        <v>-18.067770809996354</v>
      </c>
      <c r="D66" s="47">
        <f>D36</f>
        <v>2.5865635563234819</v>
      </c>
      <c r="E66" s="47">
        <f>E36</f>
        <v>-4.1243166466102039</v>
      </c>
      <c r="F66" s="47">
        <f>F36</f>
        <v>-8.4617327927198929</v>
      </c>
      <c r="G66" s="47">
        <f t="shared" ref="G66:Q66" si="19">G36</f>
        <v>-58.327789862606807</v>
      </c>
      <c r="H66" s="47">
        <f t="shared" si="19"/>
        <v>-16.432951100261157</v>
      </c>
      <c r="I66" s="47">
        <f t="shared" si="19"/>
        <v>-66.558654610038815</v>
      </c>
      <c r="J66" s="47">
        <f t="shared" si="19"/>
        <v>-23.95108544001932</v>
      </c>
      <c r="K66" s="47">
        <f t="shared" si="19"/>
        <v>6.1017718149337474</v>
      </c>
      <c r="L66" s="47">
        <f t="shared" si="19"/>
        <v>-6.3125708493361392</v>
      </c>
      <c r="M66" s="47">
        <f t="shared" si="19"/>
        <v>11.265664174325117</v>
      </c>
      <c r="N66" s="47">
        <f t="shared" si="19"/>
        <v>10.155497727037005</v>
      </c>
      <c r="O66" s="47">
        <f t="shared" si="19"/>
        <v>9.1376387314947092</v>
      </c>
      <c r="P66" s="47">
        <f t="shared" si="19"/>
        <v>1.9498536602680785</v>
      </c>
      <c r="Q66" s="47">
        <f t="shared" si="19"/>
        <v>-28.282498601173767</v>
      </c>
      <c r="T66" s="3">
        <f>COUNTIF($F66:$Q66,1)</f>
        <v>0</v>
      </c>
      <c r="U66" s="3">
        <f>COUNTIF($F66:$Q66,2)</f>
        <v>0</v>
      </c>
      <c r="V66" s="3">
        <f>COUNTIF($F66:$Q66,3)</f>
        <v>0</v>
      </c>
      <c r="W66" s="3">
        <f>COUNTIF($F66:$Q66,4)</f>
        <v>0</v>
      </c>
    </row>
    <row r="67" spans="1:23">
      <c r="A67" s="44" t="s">
        <v>75</v>
      </c>
      <c r="B67" s="47"/>
      <c r="C67" s="47"/>
      <c r="D67" s="47"/>
      <c r="E67" s="47"/>
    </row>
    <row r="68" spans="1:23" ht="17">
      <c r="A68" s="60" t="s">
        <v>193</v>
      </c>
      <c r="B68" s="47">
        <f>'Credit Risk'!B61</f>
        <v>46.671944835833834</v>
      </c>
      <c r="C68" s="47">
        <f>'Credit Risk'!C61</f>
        <v>52.082788509230909</v>
      </c>
      <c r="D68" s="47">
        <f>'Credit Risk'!D61</f>
        <v>36.382561670816024</v>
      </c>
      <c r="E68" s="47">
        <f>'Credit Risk'!E61</f>
        <v>47.174806278825983</v>
      </c>
      <c r="F68" s="47">
        <f>'Credit Risk'!F61</f>
        <v>80.945889171126254</v>
      </c>
      <c r="G68" s="47">
        <f>'Credit Risk'!G61</f>
        <v>52.801550633101535</v>
      </c>
      <c r="H68" s="47">
        <f>'Credit Risk'!H61</f>
        <v>47.641735658187983</v>
      </c>
      <c r="I68" s="47">
        <f>'Credit Risk'!I61</f>
        <v>39.444868840956232</v>
      </c>
      <c r="J68" s="47">
        <f>'Credit Risk'!J61</f>
        <v>61.418025852103035</v>
      </c>
      <c r="K68" s="47">
        <f>'Credit Risk'!K61</f>
        <v>30.172761444291318</v>
      </c>
      <c r="L68" s="47">
        <f>'Credit Risk'!L61</f>
        <v>50.309628783575079</v>
      </c>
      <c r="M68" s="47">
        <f>'Credit Risk'!M61</f>
        <v>29.889414754508891</v>
      </c>
      <c r="N68" s="47">
        <f>'Credit Risk'!N61</f>
        <v>32.814584532761707</v>
      </c>
      <c r="O68" s="47">
        <f>'Credit Risk'!O61</f>
        <v>32.380151990961927</v>
      </c>
      <c r="P68" s="47">
        <f>'Credit Risk'!P61</f>
        <v>46.013728120642021</v>
      </c>
      <c r="Q68" s="47">
        <f>'Credit Risk'!Q61</f>
        <v>70.000000000000028</v>
      </c>
      <c r="T68" s="3">
        <f>COUNTIF($F68:$Q68,1)</f>
        <v>0</v>
      </c>
      <c r="U68" s="3">
        <f>COUNTIF($F68:$Q68,2)</f>
        <v>0</v>
      </c>
      <c r="V68" s="3">
        <f>COUNTIF($F68:$Q68,3)</f>
        <v>0</v>
      </c>
      <c r="W68" s="3">
        <f>COUNTIF($F68:$Q68,4)</f>
        <v>0</v>
      </c>
    </row>
    <row r="69" spans="1:23" ht="17">
      <c r="A69" s="60" t="s">
        <v>117</v>
      </c>
      <c r="B69" s="47">
        <f>'Credit Risk'!B62</f>
        <v>44.40963088664148</v>
      </c>
      <c r="C69" s="47">
        <f>'Credit Risk'!C62</f>
        <v>43.43985751758764</v>
      </c>
      <c r="D69" s="47">
        <f>'Credit Risk'!D62</f>
        <v>36.703048383867866</v>
      </c>
      <c r="E69" s="47">
        <f>'Credit Risk'!E62</f>
        <v>46.010609949861554</v>
      </c>
      <c r="F69" s="47">
        <f>'Credit Risk'!F62</f>
        <v>45.740052934826345</v>
      </c>
      <c r="G69" s="47">
        <f>'Credit Risk'!G62</f>
        <v>39.869286965076711</v>
      </c>
      <c r="H69" s="47">
        <f>'Credit Risk'!H62</f>
        <v>43.714106534660957</v>
      </c>
      <c r="I69" s="47">
        <f>'Credit Risk'!I62</f>
        <v>24.168412019274097</v>
      </c>
      <c r="J69" s="47">
        <f>'Credit Risk'!J62</f>
        <v>60.356023397309286</v>
      </c>
      <c r="K69" s="47">
        <f>'Credit Risk'!K62</f>
        <v>30.601551827386146</v>
      </c>
      <c r="L69" s="47">
        <f>'Credit Risk'!L62</f>
        <v>32.020673987254938</v>
      </c>
      <c r="M69" s="47">
        <f>'Credit Risk'!M62</f>
        <v>33.822088016815435</v>
      </c>
      <c r="N69" s="47">
        <f>'Credit Risk'!N62</f>
        <v>29.125052953767543</v>
      </c>
      <c r="O69" s="47">
        <f>'Credit Risk'!O62</f>
        <v>36.932194638582814</v>
      </c>
      <c r="P69" s="47">
        <f>'Credit Risk'!P62</f>
        <v>42.186572839375543</v>
      </c>
      <c r="Q69" s="47">
        <f>'Credit Risk'!Q62</f>
        <v>55.331887629206818</v>
      </c>
      <c r="T69" s="3">
        <f>COUNTIF($F69:$Q69,1)</f>
        <v>0</v>
      </c>
      <c r="U69" s="3">
        <f>COUNTIF($F69:$Q69,2)</f>
        <v>0</v>
      </c>
      <c r="V69" s="3">
        <f>COUNTIF($F69:$Q69,3)</f>
        <v>0</v>
      </c>
      <c r="W69" s="3">
        <f>COUNTIF($F69:$Q69,4)</f>
        <v>0</v>
      </c>
    </row>
    <row r="70" spans="1:23">
      <c r="A70" s="37" t="s">
        <v>123</v>
      </c>
      <c r="B70" s="47">
        <f>100*('Credit Risk'!B60-'Credit Risk'!B52-'Credit Risk'!B37)/Scenarios!B40</f>
        <v>344.14663512444042</v>
      </c>
      <c r="C70" s="47">
        <f>100*('Credit Risk'!C60-'Credit Risk'!C52-'Credit Risk'!C37)/Scenarios!C40</f>
        <v>849.00209103825171</v>
      </c>
      <c r="D70" s="47">
        <f>100*('Credit Risk'!D60-'Credit Risk'!D52-'Credit Risk'!D37)/Scenarios!D40</f>
        <v>188.86927999062678</v>
      </c>
      <c r="E70" s="47">
        <f>100*('Credit Risk'!E60-'Credit Risk'!E52-'Credit Risk'!E37)/Scenarios!E40</f>
        <v>325.77851623993973</v>
      </c>
      <c r="F70" s="47">
        <f>100*('Credit Risk'!F60-'Credit Risk'!F52-'Credit Risk'!F37)/Scenarios!F40</f>
        <v>859.02365389189981</v>
      </c>
      <c r="G70" s="47">
        <f>100*('Credit Risk'!G60-'Credit Risk'!G52-'Credit Risk'!G37)/Scenarios!G40</f>
        <v>1121.2594737512848</v>
      </c>
      <c r="H70" s="47">
        <f>100*('Credit Risk'!H60-'Credit Risk'!H52-'Credit Risk'!H37)/Scenarios!H40</f>
        <v>797.24414014820138</v>
      </c>
      <c r="I70" s="47">
        <f>100*('Credit Risk'!I60-'Credit Risk'!I52-'Credit Risk'!I37)/Scenarios!I40</f>
        <v>243.93303771900699</v>
      </c>
      <c r="J70" s="47">
        <f>100*('Credit Risk'!J60-'Credit Risk'!J52-'Credit Risk'!J37)/Scenarios!J40</f>
        <v>10143.152691756954</v>
      </c>
      <c r="K70" s="47">
        <f>100*('Credit Risk'!K60-'Credit Risk'!K52-'Credit Risk'!K37)/Scenarios!K40</f>
        <v>153.21654313564551</v>
      </c>
      <c r="L70" s="47">
        <f>100*('Credit Risk'!L60-'Credit Risk'!L52-'Credit Risk'!L37)/Scenarios!L40</f>
        <v>853.9412295877928</v>
      </c>
      <c r="M70" s="47">
        <f>100*('Credit Risk'!M60-'Credit Risk'!M52-'Credit Risk'!M37)/Scenarios!M40</f>
        <v>113.14701316711887</v>
      </c>
      <c r="N70" s="47">
        <f>100*('Credit Risk'!N60-'Credit Risk'!N52-'Credit Risk'!N37)/Scenarios!N40</f>
        <v>152.95670469629249</v>
      </c>
      <c r="O70" s="47">
        <f>100*('Credit Risk'!O60-'Credit Risk'!O52-'Credit Risk'!O37)/Scenarios!O40</f>
        <v>186.0600497231936</v>
      </c>
      <c r="P70" s="47">
        <f>100*('Credit Risk'!P60-'Credit Risk'!P52-'Credit Risk'!P37)/Scenarios!P40</f>
        <v>292.26207934548194</v>
      </c>
      <c r="Q70" s="47">
        <f>100*('Credit Risk'!Q60-'Credit Risk'!Q52-'Credit Risk'!Q37)/Scenarios!Q40</f>
        <v>709003.5483668102</v>
      </c>
      <c r="T70" s="3">
        <f>COUNTIF($F70:$Q70,1)</f>
        <v>0</v>
      </c>
      <c r="U70" s="3">
        <f>COUNTIF($F70:$Q70,2)</f>
        <v>0</v>
      </c>
      <c r="V70" s="3">
        <f>COUNTIF($F70:$Q70,3)</f>
        <v>0</v>
      </c>
      <c r="W70" s="3">
        <f>COUNTIF($F70:$Q70,4)</f>
        <v>0</v>
      </c>
    </row>
    <row r="71" spans="1:23" ht="17">
      <c r="A71" s="60" t="s">
        <v>94</v>
      </c>
      <c r="B71" s="47">
        <f>Data!B128</f>
        <v>44.056066288863398</v>
      </c>
      <c r="C71" s="47">
        <f>Data!C128</f>
        <v>23.777194890911851</v>
      </c>
      <c r="D71" s="47">
        <f>Data!D128</f>
        <v>41.859218482218836</v>
      </c>
      <c r="E71" s="47">
        <f>Data!E128</f>
        <v>50.857519829061346</v>
      </c>
      <c r="F71" s="47">
        <f>Data!F128</f>
        <v>22.426407881451851</v>
      </c>
      <c r="G71" s="47">
        <f>Data!G128</f>
        <v>24.059740926763627</v>
      </c>
      <c r="H71" s="47">
        <f>Data!H128</f>
        <v>23.916756041276894</v>
      </c>
      <c r="I71" s="47">
        <f>Data!I128</f>
        <v>45.064841021340783</v>
      </c>
      <c r="J71" s="47">
        <f>Data!J128</f>
        <v>47.707412621100666</v>
      </c>
      <c r="K71" s="47">
        <f>Data!K128</f>
        <v>41.170409740433271</v>
      </c>
      <c r="L71" s="47">
        <f>Data!L128</f>
        <v>51.501959785101306</v>
      </c>
      <c r="M71" s="47">
        <f>Data!M128</f>
        <v>36.621263334461197</v>
      </c>
      <c r="N71" s="47">
        <f>Data!N128</f>
        <v>57.098040242570747</v>
      </c>
      <c r="O71" s="47">
        <f>Data!O128</f>
        <v>12.719171423372197</v>
      </c>
      <c r="P71" s="47">
        <f>Data!P128</f>
        <v>72.145863832635726</v>
      </c>
      <c r="Q71" s="47">
        <f>Data!Q128</f>
        <v>77.731786775464414</v>
      </c>
      <c r="T71" s="3">
        <f>COUNTIF($F71:$Q71,1)</f>
        <v>0</v>
      </c>
      <c r="U71" s="3">
        <f>COUNTIF($F71:$Q71,2)</f>
        <v>0</v>
      </c>
      <c r="V71" s="3">
        <f>COUNTIF($F71:$Q71,3)</f>
        <v>0</v>
      </c>
      <c r="W71" s="3">
        <f>COUNTIF($F71:$Q71,4)</f>
        <v>0</v>
      </c>
    </row>
    <row r="72" spans="1:23" ht="17">
      <c r="A72" s="60" t="s">
        <v>95</v>
      </c>
      <c r="B72" s="47">
        <f>100*B52/B54</f>
        <v>42.497274153516962</v>
      </c>
      <c r="C72" s="47">
        <f t="shared" ref="C72:Q72" si="20">100*C52/C54</f>
        <v>53.759177171705488</v>
      </c>
      <c r="D72" s="47">
        <f t="shared" si="20"/>
        <v>50.66662613746113</v>
      </c>
      <c r="E72" s="47">
        <f t="shared" si="20"/>
        <v>38.416119088219972</v>
      </c>
      <c r="F72" s="47">
        <f t="shared" si="20"/>
        <v>41.404431504929008</v>
      </c>
      <c r="G72" s="47">
        <f t="shared" si="20"/>
        <v>21.356752649591449</v>
      </c>
      <c r="H72" s="47">
        <f t="shared" si="20"/>
        <v>62.984649734321835</v>
      </c>
      <c r="I72" s="47">
        <f t="shared" si="20"/>
        <v>45.395461223784579</v>
      </c>
      <c r="J72" s="47">
        <f t="shared" si="20"/>
        <v>35.291959161693534</v>
      </c>
      <c r="K72" s="47">
        <f t="shared" si="20"/>
        <v>65.383962567781111</v>
      </c>
      <c r="L72" s="47">
        <f t="shared" si="20"/>
        <v>31.202852605339253</v>
      </c>
      <c r="M72" s="47">
        <f t="shared" si="20"/>
        <v>49.654698954718356</v>
      </c>
      <c r="N72" s="47">
        <f t="shared" si="20"/>
        <v>53.726834953267087</v>
      </c>
      <c r="O72" s="47">
        <f t="shared" si="20"/>
        <v>49.618959969298608</v>
      </c>
      <c r="P72" s="47">
        <f t="shared" si="20"/>
        <v>49.904744728983793</v>
      </c>
      <c r="Q72" s="47">
        <f t="shared" si="20"/>
        <v>26.27449938092288</v>
      </c>
      <c r="T72" s="3">
        <f>COUNTIF($F72:$Q72,1)</f>
        <v>0</v>
      </c>
      <c r="U72" s="3">
        <f>COUNTIF($F72:$Q72,2)</f>
        <v>0</v>
      </c>
      <c r="V72" s="3">
        <f>COUNTIF($F72:$Q72,3)</f>
        <v>0</v>
      </c>
      <c r="W72" s="3">
        <f>COUNTIF($F72:$Q72,4)</f>
        <v>0</v>
      </c>
    </row>
    <row r="73" spans="1:23">
      <c r="A73" s="44" t="s">
        <v>76</v>
      </c>
      <c r="B73" s="47"/>
      <c r="C73" s="47"/>
      <c r="D73" s="47"/>
      <c r="E73" s="47"/>
    </row>
    <row r="74" spans="1:23" ht="17">
      <c r="A74" s="34" t="s">
        <v>124</v>
      </c>
      <c r="B74" s="47">
        <f>B37</f>
        <v>-1.7033501539851219E-2</v>
      </c>
      <c r="C74" s="47">
        <f>C37</f>
        <v>-1.5917877288160358</v>
      </c>
      <c r="D74" s="47">
        <f>D37</f>
        <v>0.14655138141302357</v>
      </c>
      <c r="E74" s="47">
        <f>E37</f>
        <v>0.32751852126984909</v>
      </c>
      <c r="F74" s="47">
        <f>F37</f>
        <v>-1.9719538763218962</v>
      </c>
      <c r="G74" s="47">
        <f t="shared" ref="G74:Q74" si="21">G37</f>
        <v>-1.5601361804228109</v>
      </c>
      <c r="H74" s="47">
        <f t="shared" si="21"/>
        <v>-1.5225847108092661</v>
      </c>
      <c r="I74" s="47">
        <f t="shared" si="21"/>
        <v>0.86690723074889009</v>
      </c>
      <c r="J74" s="47">
        <f t="shared" si="21"/>
        <v>0.60375970013016844</v>
      </c>
      <c r="K74" s="47">
        <f t="shared" si="21"/>
        <v>-0.41120047028671247</v>
      </c>
      <c r="L74" s="47">
        <f t="shared" si="21"/>
        <v>0.73384795415416393</v>
      </c>
      <c r="M74" s="47">
        <f t="shared" si="21"/>
        <v>0.26574950837554728</v>
      </c>
      <c r="N74" s="47">
        <f t="shared" si="21"/>
        <v>5.6354194771585778E-2</v>
      </c>
      <c r="O74" s="47">
        <f t="shared" si="21"/>
        <v>0.95828245330707706</v>
      </c>
      <c r="P74" s="47">
        <f t="shared" si="21"/>
        <v>0.74308549137368995</v>
      </c>
      <c r="Q74" s="47">
        <f t="shared" si="21"/>
        <v>9.3492492573309632E-2</v>
      </c>
    </row>
    <row r="75" spans="1:23" ht="17">
      <c r="A75" s="34" t="s">
        <v>125</v>
      </c>
      <c r="B75" s="47">
        <f>B38</f>
        <v>2.8805958222801311</v>
      </c>
      <c r="C75" s="47">
        <f>C38</f>
        <v>23.248404008471017</v>
      </c>
      <c r="D75" s="47">
        <f>D38</f>
        <v>3.0629420003558714</v>
      </c>
      <c r="E75" s="47">
        <f>E38</f>
        <v>-799.78362428902972</v>
      </c>
      <c r="F75" s="47">
        <f t="shared" ref="F75:Q75" si="22">F38</f>
        <v>-230.52862563852469</v>
      </c>
      <c r="G75" s="47">
        <f t="shared" si="22"/>
        <v>14.543015466665178</v>
      </c>
      <c r="H75" s="47">
        <f t="shared" si="22"/>
        <v>20.105721835685198</v>
      </c>
      <c r="I75" s="47">
        <f t="shared" si="22"/>
        <v>20.544452881566055</v>
      </c>
      <c r="J75" s="47">
        <f t="shared" si="22"/>
        <v>-21.906002028161122</v>
      </c>
      <c r="K75" s="47">
        <f t="shared" si="22"/>
        <v>-7.0194421890921088</v>
      </c>
      <c r="L75" s="47">
        <f t="shared" si="22"/>
        <v>-58.050392560003601</v>
      </c>
      <c r="M75" s="47">
        <f t="shared" si="22"/>
        <v>2.8154199818915289</v>
      </c>
      <c r="N75" s="47">
        <f t="shared" si="22"/>
        <v>0.96228761593265011</v>
      </c>
      <c r="O75" s="47">
        <f t="shared" si="22"/>
        <v>24.066775317756026</v>
      </c>
      <c r="P75" s="47">
        <f t="shared" si="22"/>
        <v>259.75451787299068</v>
      </c>
      <c r="Q75" s="47">
        <f t="shared" si="22"/>
        <v>-2.2864852388921024</v>
      </c>
    </row>
    <row r="76" spans="1:23">
      <c r="A76" s="44" t="s">
        <v>257</v>
      </c>
      <c r="B76" s="47"/>
      <c r="C76" s="47"/>
      <c r="D76" s="47"/>
      <c r="E76" s="47"/>
    </row>
    <row r="77" spans="1:23" ht="17">
      <c r="A77" s="34" t="s">
        <v>258</v>
      </c>
      <c r="B77" s="47">
        <f t="shared" ref="B77:Q77" si="23">B24</f>
        <v>13.864111475911601</v>
      </c>
      <c r="C77" s="47">
        <f t="shared" si="23"/>
        <v>-0.85547234035837383</v>
      </c>
      <c r="D77" s="47">
        <f t="shared" si="23"/>
        <v>6.5079407748678806</v>
      </c>
      <c r="E77" s="47">
        <f t="shared" si="23"/>
        <v>18.623188373588643</v>
      </c>
      <c r="F77" s="47">
        <f t="shared" si="23"/>
        <v>2.9255008792939368</v>
      </c>
      <c r="G77" s="47">
        <f t="shared" si="23"/>
        <v>-1.8182327775895273</v>
      </c>
      <c r="H77" s="47">
        <f t="shared" si="23"/>
        <v>-1.4085167294530605</v>
      </c>
      <c r="I77" s="47">
        <f t="shared" si="23"/>
        <v>-1.4525911691039251</v>
      </c>
      <c r="J77" s="47">
        <f t="shared" si="23"/>
        <v>7.2385280353630757</v>
      </c>
      <c r="K77" s="47">
        <f t="shared" si="23"/>
        <v>5.5129159114951198</v>
      </c>
      <c r="L77" s="47">
        <f t="shared" si="23"/>
        <v>7.4619759414223914</v>
      </c>
      <c r="M77" s="47">
        <f t="shared" si="23"/>
        <v>7.5344468194468615</v>
      </c>
      <c r="N77" s="47">
        <f t="shared" si="23"/>
        <v>12.046844493245409</v>
      </c>
      <c r="O77" s="47">
        <f t="shared" si="23"/>
        <v>-1.0548795026884847</v>
      </c>
      <c r="P77" s="47">
        <f t="shared" si="23"/>
        <v>21.2759059354733</v>
      </c>
      <c r="Q77" s="47">
        <f t="shared" si="23"/>
        <v>29.62434121448473</v>
      </c>
    </row>
    <row r="78" spans="1:23" ht="17">
      <c r="A78" s="34" t="s">
        <v>261</v>
      </c>
      <c r="B78" s="47">
        <f t="shared" ref="B78:Q78" si="24">B27</f>
        <v>58.917169796138602</v>
      </c>
      <c r="C78" s="47">
        <f t="shared" si="24"/>
        <v>-2.3213776391449721</v>
      </c>
      <c r="D78" s="47">
        <f t="shared" si="24"/>
        <v>18.961597064487332</v>
      </c>
      <c r="E78" s="47">
        <f t="shared" si="24"/>
        <v>100.61603163625529</v>
      </c>
      <c r="F78" s="47">
        <f t="shared" si="24"/>
        <v>8.1570183482616319</v>
      </c>
      <c r="G78" s="47">
        <f t="shared" si="24"/>
        <v>-6.1453422563684814</v>
      </c>
      <c r="H78" s="47">
        <f t="shared" si="24"/>
        <v>-3.6523385818576477</v>
      </c>
      <c r="I78" s="47">
        <f t="shared" si="24"/>
        <v>-4.1955673545948278</v>
      </c>
      <c r="J78" s="47">
        <f t="shared" si="24"/>
        <v>21.216021247366875</v>
      </c>
      <c r="K78" s="47">
        <f t="shared" si="24"/>
        <v>14.676771941400352</v>
      </c>
      <c r="L78" s="47">
        <f t="shared" si="24"/>
        <v>23.865458233000421</v>
      </c>
      <c r="M78" s="47">
        <f t="shared" si="24"/>
        <v>23.412335047263397</v>
      </c>
      <c r="N78" s="47">
        <f t="shared" si="24"/>
        <v>29.773715519898555</v>
      </c>
      <c r="O78" s="47">
        <f t="shared" si="24"/>
        <v>-2.9168531388829408</v>
      </c>
      <c r="P78" s="47">
        <f t="shared" si="24"/>
        <v>55.794455064138937</v>
      </c>
      <c r="Q78" s="47" t="e">
        <f t="shared" si="24"/>
        <v>#DIV/0!</v>
      </c>
    </row>
    <row r="79" spans="1:23">
      <c r="A79" s="44" t="s">
        <v>77</v>
      </c>
      <c r="B79" s="47"/>
      <c r="C79" s="47"/>
      <c r="D79" s="47"/>
      <c r="E79" s="47"/>
    </row>
    <row r="80" spans="1:23" ht="17">
      <c r="A80" s="34" t="s">
        <v>126</v>
      </c>
      <c r="B80" s="47">
        <f>Data!B137</f>
        <v>8.8023892804877217</v>
      </c>
      <c r="C80" s="47">
        <f>Data!C137</f>
        <v>-17.65518072504479</v>
      </c>
      <c r="D80" s="47">
        <f>Data!D137</f>
        <v>4.3837154849310478</v>
      </c>
      <c r="E80" s="47">
        <f>Data!E137</f>
        <v>13.938202512356789</v>
      </c>
      <c r="F80" s="47">
        <f>Data!F137</f>
        <v>14.099801511223683</v>
      </c>
      <c r="G80" s="47">
        <f>Data!G137</f>
        <v>-12.424815116132143</v>
      </c>
      <c r="H80" s="47">
        <f>Data!H137</f>
        <v>-25.773719548068843</v>
      </c>
      <c r="I80" s="47">
        <f>Data!I137</f>
        <v>0</v>
      </c>
      <c r="J80" s="47">
        <f>Data!J137</f>
        <v>491.66779289362273</v>
      </c>
      <c r="K80" s="47">
        <f>Data!K137</f>
        <v>2.6218369116328328</v>
      </c>
      <c r="L80" s="47">
        <f>Data!L137</f>
        <v>8.5528081182349176</v>
      </c>
      <c r="M80" s="47">
        <f>Data!M137</f>
        <v>3.8174451564061083</v>
      </c>
      <c r="N80" s="47">
        <f>Data!N137</f>
        <v>5.1307281889549321</v>
      </c>
      <c r="O80" s="47">
        <f>Data!O137</f>
        <v>3.5626172989562637</v>
      </c>
      <c r="P80" s="47">
        <f>Data!P137</f>
        <v>31.111149421862965</v>
      </c>
      <c r="Q80" s="47">
        <f>Data!Q137</f>
        <v>36438.705537827387</v>
      </c>
    </row>
    <row r="81" spans="1:18" ht="15" customHeight="1">
      <c r="A81" s="44" t="s">
        <v>151</v>
      </c>
      <c r="B81" s="79"/>
      <c r="C81" s="48"/>
      <c r="D81" s="48"/>
      <c r="E81" s="48"/>
      <c r="F81" s="48"/>
      <c r="G81" s="49"/>
      <c r="H81" s="49"/>
      <c r="I81" s="49"/>
      <c r="J81" s="49"/>
      <c r="K81" s="49"/>
      <c r="L81" s="49"/>
      <c r="M81" s="49"/>
      <c r="N81" s="49"/>
      <c r="O81" s="49"/>
      <c r="P81" s="49"/>
      <c r="Q81" s="49"/>
      <c r="R81" s="49"/>
    </row>
    <row r="82" spans="1:18" ht="17">
      <c r="A82" s="34" t="s">
        <v>341</v>
      </c>
      <c r="B82" s="96" t="s">
        <v>96</v>
      </c>
      <c r="C82" s="96" t="s">
        <v>96</v>
      </c>
      <c r="D82" s="96" t="s">
        <v>96</v>
      </c>
      <c r="E82" s="96" t="s">
        <v>96</v>
      </c>
      <c r="F82" s="47">
        <f>(100*F46/F54+F74)/Data!F103</f>
        <v>-0.4085096301304102</v>
      </c>
      <c r="G82" s="47">
        <f>(100*G46/G54+G74)/Data!G103</f>
        <v>-4.7715340315502566</v>
      </c>
      <c r="H82" s="47">
        <f>(100*H46/H54+H74)/Data!H103</f>
        <v>-40.626124923553959</v>
      </c>
      <c r="I82" s="47">
        <f>(100*I46/I54+I74)/Data!I103</f>
        <v>4.1833801701823567</v>
      </c>
      <c r="J82" s="47">
        <f>(100*J46/J54+J74)/Data!J103</f>
        <v>-0.62341336147134163</v>
      </c>
      <c r="K82" s="47">
        <f>(100*K46/K54+K74)/Data!K103</f>
        <v>10.474640978309951</v>
      </c>
      <c r="L82" s="47">
        <f>(100*L46/L54+L74)/Data!L103</f>
        <v>-0.13398328216392408</v>
      </c>
      <c r="M82" s="47">
        <f>(100*M46/M54+M74)/Data!M103</f>
        <v>10.340659541618439</v>
      </c>
      <c r="N82" s="47">
        <f>(100*N46/N54+N74)/Data!N103</f>
        <v>12.881732004771246</v>
      </c>
      <c r="O82" s="47">
        <f>(100*O46/O54+O74)/Data!O103</f>
        <v>0.89438936190738683</v>
      </c>
      <c r="P82" s="47">
        <f>(100*P46/P54+P74)/Data!P103</f>
        <v>1.0785978337900877</v>
      </c>
      <c r="Q82" s="47">
        <f>(100*Q46/Q54+Q74)/Data!Q103</f>
        <v>-1.5902322750973932</v>
      </c>
      <c r="R82" s="47"/>
    </row>
    <row r="84" spans="1:18">
      <c r="A84" s="30" t="s">
        <v>5</v>
      </c>
    </row>
    <row r="85" spans="1:18">
      <c r="A85" s="44" t="s">
        <v>256</v>
      </c>
      <c r="B85" s="47" t="e">
        <f>SUMPRODUCT(F85:Q85,G$54:R$54)/SUM(F$54:Q$54)</f>
        <v>#DIV/0!</v>
      </c>
      <c r="C85" s="47">
        <f>SUMPRODUCT(F85:H85,F$54:H$54)/SUM(F$54:H$54)</f>
        <v>3.3995655378025251</v>
      </c>
      <c r="D85" s="47">
        <f>SUMPRODUCT(I85:M85,I$54:M$54)/SUM(I$54:M$54)</f>
        <v>3.3866422791322361</v>
      </c>
      <c r="E85" s="47" t="e">
        <f>SUMPRODUCT(N85:Q85,N$54:Q$54)/SUM(N$54:Q$54)</f>
        <v>#DIV/0!</v>
      </c>
      <c r="F85" s="47">
        <f>SUMPRODUCT(F88:F102,Assumptions!$E6:$E20)/100</f>
        <v>3.7</v>
      </c>
      <c r="G85" s="47">
        <f>SUMPRODUCT(G88:G102,Assumptions!$E6:$E20)/100</f>
        <v>3.35</v>
      </c>
      <c r="H85" s="47">
        <f>SUMPRODUCT(H88:H102,Assumptions!$E6:$E20)/100</f>
        <v>3.35</v>
      </c>
      <c r="I85" s="47">
        <f>SUMPRODUCT(I88:I102,Assumptions!$E6:$E20)/100</f>
        <v>3.15</v>
      </c>
      <c r="J85" s="47">
        <f>SUMPRODUCT(J88:J102,Assumptions!$E6:$E20)/100</f>
        <v>3.75</v>
      </c>
      <c r="K85" s="47">
        <f>SUMPRODUCT(K88:K102,Assumptions!$E6:$E20)/100</f>
        <v>3.55</v>
      </c>
      <c r="L85" s="47">
        <f>SUMPRODUCT(L88:L102,Assumptions!$E6:$E20)/100</f>
        <v>3.65</v>
      </c>
      <c r="M85" s="47">
        <f>SUMPRODUCT(M88:M102,Assumptions!$E6:$E20)/100</f>
        <v>2.95</v>
      </c>
      <c r="N85" s="47">
        <f>SUMPRODUCT(N88:N102,Assumptions!$E6:$E20)/100</f>
        <v>3</v>
      </c>
      <c r="O85" s="47">
        <f>SUMPRODUCT(O88:O102,Assumptions!$E6:$E20)/100</f>
        <v>2.5499999999999998</v>
      </c>
      <c r="P85" s="47">
        <f>SUMPRODUCT(P88:P102,Assumptions!$E6:$E20)/100</f>
        <v>2.9</v>
      </c>
      <c r="Q85" s="47" t="e">
        <f>SUMPRODUCT(Q88:Q102,Assumptions!$E6:$E20)/100</f>
        <v>#DIV/0!</v>
      </c>
    </row>
    <row r="86" spans="1:18" ht="17">
      <c r="A86" s="34" t="s">
        <v>327</v>
      </c>
      <c r="B86" s="47" t="e">
        <f>B85-Data!B151</f>
        <v>#DIV/0!</v>
      </c>
      <c r="C86" s="47">
        <f>C85-Data!C151</f>
        <v>2.8077620445482676E-2</v>
      </c>
      <c r="D86" s="47">
        <f>D85-Data!D151</f>
        <v>1.1655952061242192</v>
      </c>
      <c r="E86" s="47" t="e">
        <f>E85-Data!E151</f>
        <v>#DIV/0!</v>
      </c>
      <c r="F86" s="47">
        <f>F85-Data!F151</f>
        <v>0.40000000000000036</v>
      </c>
      <c r="G86" s="47">
        <f>G85-Data!G151</f>
        <v>5.0000000000000266E-2</v>
      </c>
      <c r="H86" s="47">
        <f>H85-Data!H151</f>
        <v>-4.9999999999999822E-2</v>
      </c>
      <c r="I86" s="47">
        <f>I85-Data!I151</f>
        <v>4.9999999999999822E-2</v>
      </c>
      <c r="J86" s="47">
        <f>J85-Data!J151</f>
        <v>0.89999999999999991</v>
      </c>
      <c r="K86" s="47">
        <f>K85-Data!K151</f>
        <v>1.2999999999999998</v>
      </c>
      <c r="L86" s="47">
        <f>L85-Data!L151</f>
        <v>1.4499999999999997</v>
      </c>
      <c r="M86" s="47">
        <f>M85-Data!M151</f>
        <v>1.0500000000000003</v>
      </c>
      <c r="N86" s="47">
        <f>N85-Data!N151</f>
        <v>1.1000000000000001</v>
      </c>
      <c r="O86" s="47">
        <f>O85-Data!O151</f>
        <v>0.89999999999999991</v>
      </c>
      <c r="P86" s="47">
        <f>P85-Data!P151</f>
        <v>0.60000000000000009</v>
      </c>
      <c r="Q86" s="47" t="e">
        <f>Q85-Data!Q151</f>
        <v>#DIV/0!</v>
      </c>
    </row>
    <row r="87" spans="1:18">
      <c r="A87" s="44" t="s">
        <v>74</v>
      </c>
      <c r="B87" s="47"/>
      <c r="C87" s="47"/>
      <c r="D87" s="47"/>
      <c r="E87" s="47"/>
      <c r="F87" s="47"/>
      <c r="G87" s="47"/>
      <c r="H87" s="47"/>
      <c r="I87" s="47"/>
      <c r="J87" s="47"/>
      <c r="K87" s="47"/>
      <c r="L87" s="47"/>
      <c r="M87" s="47"/>
      <c r="N87" s="47"/>
      <c r="O87" s="47"/>
      <c r="P87" s="47"/>
      <c r="Q87" s="47"/>
    </row>
    <row r="88" spans="1:18" ht="17">
      <c r="A88" s="34" t="s">
        <v>122</v>
      </c>
      <c r="B88" s="47">
        <f>SUMPRODUCT(F88:Q88,F$54:Q$54)/SUM(F$54:Q$54)</f>
        <v>3.2748843357402824</v>
      </c>
      <c r="C88" s="47">
        <f>SUMPRODUCT(F88:H88,F$54:H$54)/SUM(F$54:H$54)</f>
        <v>4</v>
      </c>
      <c r="D88" s="47">
        <f>SUMPRODUCT(I88:M88,I$54:M$54)/SUM(I$54:M$54)</f>
        <v>2.985221245271636</v>
      </c>
      <c r="E88" s="47">
        <f>SUMPRODUCT(N88:Q88,N$54:Q$54)/SUM(N$54:Q$54)</f>
        <v>3.1533434715595963</v>
      </c>
      <c r="F88" s="3">
        <f>IF(F66&lt;Assumptions!$B6,4,IF(F66&lt;Assumptions!$C6,3,IF(F66&lt;Assumptions!$D6,2,1)))</f>
        <v>4</v>
      </c>
      <c r="G88" s="3">
        <f>IF(G66&lt;Assumptions!$B6,4,IF(G66&lt;Assumptions!$C6,3,IF(G66&lt;Assumptions!$D6,2,1)))</f>
        <v>4</v>
      </c>
      <c r="H88" s="3">
        <f>IF(H66&lt;Assumptions!$B6,4,IF(H66&lt;Assumptions!$C6,3,IF(H66&lt;Assumptions!$D6,2,1)))</f>
        <v>4</v>
      </c>
      <c r="I88" s="3">
        <f>IF(I66&lt;Assumptions!$B6,4,IF(I66&lt;Assumptions!$C6,3,IF(I66&lt;Assumptions!$D6,2,1)))</f>
        <v>4</v>
      </c>
      <c r="J88" s="3">
        <f>IF(J66&lt;Assumptions!$B6,4,IF(J66&lt;Assumptions!$C6,3,IF(J66&lt;Assumptions!$D6,2,1)))</f>
        <v>4</v>
      </c>
      <c r="K88" s="3">
        <f>IF(K66&lt;Assumptions!$B6,4,IF(K66&lt;Assumptions!$C6,3,IF(K66&lt;Assumptions!$D6,2,1)))</f>
        <v>3</v>
      </c>
      <c r="L88" s="3">
        <f>IF(L66&lt;Assumptions!$B6,4,IF(L66&lt;Assumptions!$C6,3,IF(L66&lt;Assumptions!$D6,2,1)))</f>
        <v>4</v>
      </c>
      <c r="M88" s="3">
        <f>IF(M66&lt;Assumptions!$B6,4,IF(M66&lt;Assumptions!$C6,3,IF(M66&lt;Assumptions!$D6,2,1)))</f>
        <v>2</v>
      </c>
      <c r="N88" s="3">
        <f>IF(N66&lt;Assumptions!$B6,4,IF(N66&lt;Assumptions!$C6,3,IF(N66&lt;Assumptions!$D6,2,1)))</f>
        <v>2</v>
      </c>
      <c r="O88" s="3">
        <f>IF(O66&lt;Assumptions!$B6,4,IF(O66&lt;Assumptions!$C6,3,IF(O66&lt;Assumptions!$D6,2,1)))</f>
        <v>2</v>
      </c>
      <c r="P88" s="3">
        <f>IF(P66&lt;Assumptions!$B6,4,IF(P66&lt;Assumptions!$C6,3,IF(P66&lt;Assumptions!$D6,2,1)))</f>
        <v>4</v>
      </c>
      <c r="Q88" s="3">
        <f>IF(Q66&lt;Assumptions!$B6,4,IF(Q66&lt;Assumptions!$C6,3,IF(Q66&lt;Assumptions!$D6,2,1)))</f>
        <v>4</v>
      </c>
    </row>
    <row r="89" spans="1:18">
      <c r="A89" s="44" t="s">
        <v>75</v>
      </c>
      <c r="B89" s="47"/>
      <c r="C89" s="47"/>
      <c r="D89" s="47"/>
      <c r="E89" s="47"/>
    </row>
    <row r="90" spans="1:18" ht="17">
      <c r="A90" s="60" t="s">
        <v>193</v>
      </c>
      <c r="B90" s="47">
        <f t="shared" ref="B90:B102" si="25">SUMPRODUCT(F90:Q90,F$54:Q$54)/SUM(F$54:Q$54)</f>
        <v>4</v>
      </c>
      <c r="C90" s="47">
        <f t="shared" ref="C90:C102" si="26">SUMPRODUCT(F90:H90,F$54:H$54)/SUM(F$54:H$54)</f>
        <v>4</v>
      </c>
      <c r="D90" s="47">
        <f t="shared" ref="D90:D102" si="27">SUMPRODUCT(I90:M90,I$54:M$54)/SUM(I$54:M$54)</f>
        <v>4</v>
      </c>
      <c r="E90" s="47">
        <f t="shared" ref="E90:E102" si="28">SUMPRODUCT(N90:Q90,N$54:Q$54)/SUM(N$54:Q$54)</f>
        <v>4</v>
      </c>
      <c r="F90" s="3">
        <f>IF(F68&gt;Assumptions!$B8,4,IF(F68&gt;Assumptions!$C8,3,IF(F68&gt;Assumptions!$D8,2,1)))</f>
        <v>4</v>
      </c>
      <c r="G90" s="3">
        <f>IF(G68&gt;Assumptions!$B8,4,IF(G68&gt;Assumptions!$C8,3,IF(G68&gt;Assumptions!$D8,2,1)))</f>
        <v>4</v>
      </c>
      <c r="H90" s="3">
        <f>IF(H68&gt;Assumptions!$B8,4,IF(H68&gt;Assumptions!$C8,3,IF(H68&gt;Assumptions!$D8,2,1)))</f>
        <v>4</v>
      </c>
      <c r="I90" s="3">
        <f>IF(I68&gt;Assumptions!$B8,4,IF(I68&gt;Assumptions!$C8,3,IF(I68&gt;Assumptions!$D8,2,1)))</f>
        <v>4</v>
      </c>
      <c r="J90" s="3">
        <f>IF(J68&gt;Assumptions!$B8,4,IF(J68&gt;Assumptions!$C8,3,IF(J68&gt;Assumptions!$D8,2,1)))</f>
        <v>4</v>
      </c>
      <c r="K90" s="3">
        <f>IF(K68&gt;Assumptions!$B8,4,IF(K68&gt;Assumptions!$C8,3,IF(K68&gt;Assumptions!$D8,2,1)))</f>
        <v>4</v>
      </c>
      <c r="L90" s="3">
        <f>IF(L68&gt;Assumptions!$B8,4,IF(L68&gt;Assumptions!$C8,3,IF(L68&gt;Assumptions!$D8,2,1)))</f>
        <v>4</v>
      </c>
      <c r="M90" s="3">
        <f>IF(M68&gt;Assumptions!$B8,4,IF(M68&gt;Assumptions!$C8,3,IF(M68&gt;Assumptions!$D8,2,1)))</f>
        <v>4</v>
      </c>
      <c r="N90" s="3">
        <f>IF(N68&gt;Assumptions!$B8,4,IF(N68&gt;Assumptions!$C8,3,IF(N68&gt;Assumptions!$D8,2,1)))</f>
        <v>4</v>
      </c>
      <c r="O90" s="3">
        <f>IF(O68&gt;Assumptions!$B8,4,IF(O68&gt;Assumptions!$C8,3,IF(O68&gt;Assumptions!$D8,2,1)))</f>
        <v>4</v>
      </c>
      <c r="P90" s="3">
        <f>IF(P68&gt;Assumptions!$B8,4,IF(P68&gt;Assumptions!$C8,3,IF(P68&gt;Assumptions!$D8,2,1)))</f>
        <v>4</v>
      </c>
      <c r="Q90" s="3">
        <f>IF(Q68&gt;Assumptions!$B8,4,IF(Q68&gt;Assumptions!$C8,3,IF(Q68&gt;Assumptions!$D8,2,1)))</f>
        <v>4</v>
      </c>
    </row>
    <row r="91" spans="1:18" ht="17">
      <c r="A91" s="60" t="s">
        <v>117</v>
      </c>
      <c r="B91" s="47">
        <f t="shared" si="25"/>
        <v>2.6236648664406763</v>
      </c>
      <c r="C91" s="47">
        <f t="shared" si="26"/>
        <v>3</v>
      </c>
      <c r="D91" s="47">
        <f t="shared" si="27"/>
        <v>2.9059566722775645</v>
      </c>
      <c r="E91" s="47">
        <f t="shared" si="28"/>
        <v>2.4856761326967471</v>
      </c>
      <c r="F91" s="3">
        <f>IF(F69&lt;Assumptions!$B9,4,IF(F69&lt;Assumptions!$C9,3,IF(F69&lt;Assumptions!$D9,2,1)))</f>
        <v>3</v>
      </c>
      <c r="G91" s="3">
        <f>IF(G69&lt;Assumptions!$B9,4,IF(G69&lt;Assumptions!$C9,3,IF(G69&lt;Assumptions!$D9,2,1)))</f>
        <v>3</v>
      </c>
      <c r="H91" s="3">
        <f>IF(H69&lt;Assumptions!$B9,4,IF(H69&lt;Assumptions!$C9,3,IF(H69&lt;Assumptions!$D9,2,1)))</f>
        <v>3</v>
      </c>
      <c r="I91" s="3">
        <f>IF(I69&lt;Assumptions!$B9,4,IF(I69&lt;Assumptions!$C9,3,IF(I69&lt;Assumptions!$D9,2,1)))</f>
        <v>4</v>
      </c>
      <c r="J91" s="3">
        <f>IF(J69&lt;Assumptions!$B9,4,IF(J69&lt;Assumptions!$C9,3,IF(J69&lt;Assumptions!$D9,2,1)))</f>
        <v>2</v>
      </c>
      <c r="K91" s="3">
        <f>IF(K69&lt;Assumptions!$B9,4,IF(K69&lt;Assumptions!$C9,3,IF(K69&lt;Assumptions!$D9,2,1)))</f>
        <v>3</v>
      </c>
      <c r="L91" s="3">
        <f>IF(L69&lt;Assumptions!$B9,4,IF(L69&lt;Assumptions!$C9,3,IF(L69&lt;Assumptions!$D9,2,1)))</f>
        <v>3</v>
      </c>
      <c r="M91" s="3">
        <f>IF(M69&lt;Assumptions!$B9,4,IF(M69&lt;Assumptions!$C9,3,IF(M69&lt;Assumptions!$D9,2,1)))</f>
        <v>3</v>
      </c>
      <c r="N91" s="3">
        <f>IF(N69&lt;Assumptions!$B9,4,IF(N69&lt;Assumptions!$C9,3,IF(N69&lt;Assumptions!$D9,2,1)))</f>
        <v>3</v>
      </c>
      <c r="O91" s="3">
        <f>IF(O69&lt;Assumptions!$B9,4,IF(O69&lt;Assumptions!$C9,3,IF(O69&lt;Assumptions!$D9,2,1)))</f>
        <v>3</v>
      </c>
      <c r="P91" s="3">
        <f>IF(P69&lt;Assumptions!$B9,4,IF(P69&lt;Assumptions!$C9,3,IF(P69&lt;Assumptions!$D9,2,1)))</f>
        <v>3</v>
      </c>
      <c r="Q91" s="3">
        <f>IF(Q69&lt;Assumptions!$B9,4,IF(Q69&lt;Assumptions!$C9,3,IF(Q69&lt;Assumptions!$D9,2,1)))</f>
        <v>2</v>
      </c>
    </row>
    <row r="92" spans="1:18">
      <c r="A92" s="37" t="s">
        <v>123</v>
      </c>
      <c r="B92" s="47">
        <f t="shared" si="25"/>
        <v>4</v>
      </c>
      <c r="C92" s="47">
        <f t="shared" si="26"/>
        <v>4</v>
      </c>
      <c r="D92" s="47">
        <f t="shared" si="27"/>
        <v>4</v>
      </c>
      <c r="E92" s="47">
        <f t="shared" si="28"/>
        <v>4</v>
      </c>
      <c r="F92" s="3">
        <f>IF(F70&gt;Assumptions!$B10,4,IF(F70&gt;Assumptions!$C10,3,IF(F70&gt;Assumptions!$D10,2,1)))</f>
        <v>4</v>
      </c>
      <c r="G92" s="3">
        <f>IF(G70&gt;Assumptions!$B10,4,IF(G70&gt;Assumptions!$C10,3,IF(G70&gt;Assumptions!$D10,2,1)))</f>
        <v>4</v>
      </c>
      <c r="H92" s="3">
        <f>IF(H70&gt;Assumptions!$B10,4,IF(H70&gt;Assumptions!$C10,3,IF(H70&gt;Assumptions!$D10,2,1)))</f>
        <v>4</v>
      </c>
      <c r="I92" s="3">
        <f>IF(I70&gt;Assumptions!$B10,4,IF(I70&gt;Assumptions!$C10,3,IF(I70&gt;Assumptions!$D10,2,1)))</f>
        <v>4</v>
      </c>
      <c r="J92" s="3">
        <f>IF(J70&gt;Assumptions!$B10,4,IF(J70&gt;Assumptions!$C10,3,IF(J70&gt;Assumptions!$D10,2,1)))</f>
        <v>4</v>
      </c>
      <c r="K92" s="3">
        <f>IF(K70&gt;Assumptions!$B10,4,IF(K70&gt;Assumptions!$C10,3,IF(K70&gt;Assumptions!$D10,2,1)))</f>
        <v>4</v>
      </c>
      <c r="L92" s="3">
        <f>IF(L70&gt;Assumptions!$B10,4,IF(L70&gt;Assumptions!$C10,3,IF(L70&gt;Assumptions!$D10,2,1)))</f>
        <v>4</v>
      </c>
      <c r="M92" s="3">
        <f>IF(M70&gt;Assumptions!$B10,4,IF(M70&gt;Assumptions!$C10,3,IF(M70&gt;Assumptions!$D10,2,1)))</f>
        <v>4</v>
      </c>
      <c r="N92" s="3">
        <f>IF(N70&gt;Assumptions!$B10,4,IF(N70&gt;Assumptions!$C10,3,IF(N70&gt;Assumptions!$D10,2,1)))</f>
        <v>4</v>
      </c>
      <c r="O92" s="3">
        <f>IF(O70&gt;Assumptions!$B10,4,IF(O70&gt;Assumptions!$C10,3,IF(O70&gt;Assumptions!$D10,2,1)))</f>
        <v>4</v>
      </c>
      <c r="P92" s="3">
        <f>IF(P70&gt;Assumptions!$B10,4,IF(P70&gt;Assumptions!$C10,3,IF(P70&gt;Assumptions!$D10,2,1)))</f>
        <v>4</v>
      </c>
      <c r="Q92" s="3">
        <f>IF(Q70&gt;Assumptions!$B10,4,IF(Q70&gt;Assumptions!$C10,3,IF(Q70&gt;Assumptions!$D10,2,1)))</f>
        <v>4</v>
      </c>
    </row>
    <row r="93" spans="1:18" ht="17">
      <c r="A93" s="60" t="s">
        <v>94</v>
      </c>
      <c r="B93" s="47">
        <f t="shared" si="25"/>
        <v>2.8724197740100275</v>
      </c>
      <c r="C93" s="47">
        <f t="shared" si="26"/>
        <v>2</v>
      </c>
      <c r="D93" s="47">
        <f t="shared" si="27"/>
        <v>2.6779184386713801</v>
      </c>
      <c r="E93" s="47">
        <f t="shared" si="28"/>
        <v>3.1126725673130928</v>
      </c>
      <c r="F93" s="3">
        <f>IF(F71&gt;Assumptions!$B11,4,IF(F71&gt;Assumptions!$C11,3,IF(F71&gt;Assumptions!$D11,2,1)))</f>
        <v>2</v>
      </c>
      <c r="G93" s="3">
        <f>IF(G71&gt;Assumptions!$B11,4,IF(G71&gt;Assumptions!$C11,3,IF(G71&gt;Assumptions!$D11,2,1)))</f>
        <v>2</v>
      </c>
      <c r="H93" s="3">
        <f>IF(H71&gt;Assumptions!$B11,4,IF(H71&gt;Assumptions!$C11,3,IF(H71&gt;Assumptions!$D11,2,1)))</f>
        <v>2</v>
      </c>
      <c r="I93" s="3">
        <f>IF(I71&gt;Assumptions!$B11,4,IF(I71&gt;Assumptions!$C11,3,IF(I71&gt;Assumptions!$D11,2,1)))</f>
        <v>3</v>
      </c>
      <c r="J93" s="3">
        <f>IF(J71&gt;Assumptions!$B11,4,IF(J71&gt;Assumptions!$C11,3,IF(J71&gt;Assumptions!$D11,2,1)))</f>
        <v>3</v>
      </c>
      <c r="K93" s="3">
        <f>IF(K71&gt;Assumptions!$B11,4,IF(K71&gt;Assumptions!$C11,3,IF(K71&gt;Assumptions!$D11,2,1)))</f>
        <v>3</v>
      </c>
      <c r="L93" s="3">
        <f>IF(L71&gt;Assumptions!$B11,4,IF(L71&gt;Assumptions!$C11,3,IF(L71&gt;Assumptions!$D11,2,1)))</f>
        <v>3</v>
      </c>
      <c r="M93" s="3">
        <f>IF(M71&gt;Assumptions!$B11,4,IF(M71&gt;Assumptions!$C11,3,IF(M71&gt;Assumptions!$D11,2,1)))</f>
        <v>2</v>
      </c>
      <c r="N93" s="3">
        <f>IF(N71&gt;Assumptions!$B11,4,IF(N71&gt;Assumptions!$C11,3,IF(N71&gt;Assumptions!$D11,2,1)))</f>
        <v>3</v>
      </c>
      <c r="O93" s="3">
        <f>IF(O71&gt;Assumptions!$B11,4,IF(O71&gt;Assumptions!$C11,3,IF(O71&gt;Assumptions!$D11,2,1)))</f>
        <v>1</v>
      </c>
      <c r="P93" s="3">
        <f>IF(P71&gt;Assumptions!$B11,4,IF(P71&gt;Assumptions!$C11,3,IF(P71&gt;Assumptions!$D11,2,1)))</f>
        <v>4</v>
      </c>
      <c r="Q93" s="3">
        <f>IF(Q71&gt;Assumptions!$B11,4,IF(Q71&gt;Assumptions!$C11,3,IF(Q71&gt;Assumptions!$D11,2,1)))</f>
        <v>4</v>
      </c>
    </row>
    <row r="94" spans="1:18" ht="17">
      <c r="A94" s="60" t="s">
        <v>95</v>
      </c>
      <c r="B94" s="47">
        <f t="shared" si="25"/>
        <v>2.2755931981881177</v>
      </c>
      <c r="C94" s="47">
        <f t="shared" si="26"/>
        <v>2.5619785149255598</v>
      </c>
      <c r="D94" s="47">
        <f t="shared" si="27"/>
        <v>2.3706156320711238</v>
      </c>
      <c r="E94" s="47">
        <f t="shared" si="28"/>
        <v>2.1913286799868494</v>
      </c>
      <c r="F94" s="3">
        <f>IF(F72&gt;Assumptions!$B12,4,IF(F72&gt;Assumptions!$C12,3,IF(F72&gt;Assumptions!$D12,2,1)))</f>
        <v>2</v>
      </c>
      <c r="G94" s="3">
        <f>IF(G72&gt;Assumptions!$B12,4,IF(G72&gt;Assumptions!$C12,3,IF(G72&gt;Assumptions!$D12,2,1)))</f>
        <v>1</v>
      </c>
      <c r="H94" s="3">
        <f>IF(H72&gt;Assumptions!$B12,4,IF(H72&gt;Assumptions!$C12,3,IF(H72&gt;Assumptions!$D12,2,1)))</f>
        <v>3</v>
      </c>
      <c r="I94" s="3">
        <f>IF(I72&gt;Assumptions!$B12,4,IF(I72&gt;Assumptions!$C12,3,IF(I72&gt;Assumptions!$D12,2,1)))</f>
        <v>2</v>
      </c>
      <c r="J94" s="3">
        <f>IF(J72&gt;Assumptions!$B12,4,IF(J72&gt;Assumptions!$C12,3,IF(J72&gt;Assumptions!$D12,2,1)))</f>
        <v>2</v>
      </c>
      <c r="K94" s="3">
        <f>IF(K72&gt;Assumptions!$B12,4,IF(K72&gt;Assumptions!$C12,3,IF(K72&gt;Assumptions!$D12,2,1)))</f>
        <v>3</v>
      </c>
      <c r="L94" s="3">
        <f>IF(L72&gt;Assumptions!$B12,4,IF(L72&gt;Assumptions!$C12,3,IF(L72&gt;Assumptions!$D12,2,1)))</f>
        <v>2</v>
      </c>
      <c r="M94" s="3">
        <f>IF(M72&gt;Assumptions!$B12,4,IF(M72&gt;Assumptions!$C12,3,IF(M72&gt;Assumptions!$D12,2,1)))</f>
        <v>2</v>
      </c>
      <c r="N94" s="3">
        <f>IF(N72&gt;Assumptions!$B12,4,IF(N72&gt;Assumptions!$C12,3,IF(N72&gt;Assumptions!$D12,2,1)))</f>
        <v>3</v>
      </c>
      <c r="O94" s="3">
        <f>IF(O72&gt;Assumptions!$B12,4,IF(O72&gt;Assumptions!$C12,3,IF(O72&gt;Assumptions!$D12,2,1)))</f>
        <v>2</v>
      </c>
      <c r="P94" s="3">
        <f>IF(P72&gt;Assumptions!$B12,4,IF(P72&gt;Assumptions!$C12,3,IF(P72&gt;Assumptions!$D12,2,1)))</f>
        <v>2</v>
      </c>
      <c r="Q94" s="3">
        <f>IF(Q72&gt;Assumptions!$B12,4,IF(Q72&gt;Assumptions!$C12,3,IF(Q72&gt;Assumptions!$D12,2,1)))</f>
        <v>2</v>
      </c>
    </row>
    <row r="95" spans="1:18">
      <c r="A95" s="44" t="s">
        <v>76</v>
      </c>
      <c r="B95" s="47"/>
      <c r="C95" s="47"/>
      <c r="D95" s="47"/>
      <c r="E95" s="47"/>
    </row>
    <row r="96" spans="1:18" ht="17">
      <c r="A96" s="34" t="s">
        <v>124</v>
      </c>
      <c r="B96" s="47">
        <f t="shared" si="25"/>
        <v>3.2134539420957196</v>
      </c>
      <c r="C96" s="47">
        <f t="shared" si="26"/>
        <v>4</v>
      </c>
      <c r="D96" s="47">
        <f t="shared" si="27"/>
        <v>3.3706156320711242</v>
      </c>
      <c r="E96" s="47">
        <f t="shared" si="28"/>
        <v>3.0000000000000004</v>
      </c>
      <c r="F96" s="3">
        <f>IF(F74&lt;Assumptions!$B14,4,IF(F74&lt;Assumptions!$C14,3,IF(F74&lt;Assumptions!$D14,2,1)))</f>
        <v>4</v>
      </c>
      <c r="G96" s="3">
        <f>IF(G74&lt;Assumptions!$B14,4,IF(G74&lt;Assumptions!$C14,3,IF(G74&lt;Assumptions!$D14,2,1)))</f>
        <v>4</v>
      </c>
      <c r="H96" s="3">
        <f>IF(H74&lt;Assumptions!$B14,4,IF(H74&lt;Assumptions!$C14,3,IF(H74&lt;Assumptions!$D14,2,1)))</f>
        <v>4</v>
      </c>
      <c r="I96" s="3">
        <f>IF(I74&lt;Assumptions!$B14,4,IF(I74&lt;Assumptions!$C14,3,IF(I74&lt;Assumptions!$D14,2,1)))</f>
        <v>3</v>
      </c>
      <c r="J96" s="3">
        <f>IF(J74&lt;Assumptions!$B14,4,IF(J74&lt;Assumptions!$C14,3,IF(J74&lt;Assumptions!$D14,2,1)))</f>
        <v>3</v>
      </c>
      <c r="K96" s="3">
        <f>IF(K74&lt;Assumptions!$B14,4,IF(K74&lt;Assumptions!$C14,3,IF(K74&lt;Assumptions!$D14,2,1)))</f>
        <v>4</v>
      </c>
      <c r="L96" s="3">
        <f>IF(L74&lt;Assumptions!$B14,4,IF(L74&lt;Assumptions!$C14,3,IF(L74&lt;Assumptions!$D14,2,1)))</f>
        <v>3</v>
      </c>
      <c r="M96" s="3">
        <f>IF(M74&lt;Assumptions!$B14,4,IF(M74&lt;Assumptions!$C14,3,IF(M74&lt;Assumptions!$D14,2,1)))</f>
        <v>3</v>
      </c>
      <c r="N96" s="3">
        <f>IF(N74&lt;Assumptions!$B14,4,IF(N74&lt;Assumptions!$C14,3,IF(N74&lt;Assumptions!$D14,2,1)))</f>
        <v>3</v>
      </c>
      <c r="O96" s="3">
        <f>IF(O74&lt;Assumptions!$B14,4,IF(O74&lt;Assumptions!$C14,3,IF(O74&lt;Assumptions!$D14,2,1)))</f>
        <v>3</v>
      </c>
      <c r="P96" s="3">
        <f>IF(P74&lt;Assumptions!$B14,4,IF(P74&lt;Assumptions!$C14,3,IF(P74&lt;Assumptions!$D14,2,1)))</f>
        <v>3</v>
      </c>
      <c r="Q96" s="3">
        <f>IF(Q74&lt;Assumptions!$B14,4,IF(Q74&lt;Assumptions!$C14,3,IF(Q74&lt;Assumptions!$D14,2,1)))</f>
        <v>3</v>
      </c>
    </row>
    <row r="97" spans="1:17" ht="17">
      <c r="A97" s="34" t="s">
        <v>125</v>
      </c>
      <c r="B97" s="47">
        <f t="shared" si="25"/>
        <v>2.7814285426676668</v>
      </c>
      <c r="C97" s="47">
        <f t="shared" si="26"/>
        <v>1.5730502982695438</v>
      </c>
      <c r="D97" s="47">
        <f t="shared" si="27"/>
        <v>3.6010929573999224</v>
      </c>
      <c r="E97" s="47">
        <f t="shared" si="28"/>
        <v>2.9256289618834583</v>
      </c>
      <c r="F97" s="3">
        <f>IF(F75&lt;Assumptions!$B15,4,IF(F75&lt;Assumptions!$C15,3,IF(F75&lt;Assumptions!$D15,2,1)))</f>
        <v>4</v>
      </c>
      <c r="G97" s="3">
        <f>IF(G75&lt;Assumptions!$B15,4,IF(G75&lt;Assumptions!$C15,3,IF(G75&lt;Assumptions!$D15,2,1)))</f>
        <v>2</v>
      </c>
      <c r="H97" s="3">
        <f>IF(H75&lt;Assumptions!$B15,4,IF(H75&lt;Assumptions!$C15,3,IF(H75&lt;Assumptions!$D15,2,1)))</f>
        <v>1</v>
      </c>
      <c r="I97" s="3">
        <f>IF(I75&lt;Assumptions!$B15,4,IF(I75&lt;Assumptions!$C15,3,IF(I75&lt;Assumptions!$D15,2,1)))</f>
        <v>1</v>
      </c>
      <c r="J97" s="3">
        <f>IF(J75&lt;Assumptions!$B15,4,IF(J75&lt;Assumptions!$C15,3,IF(J75&lt;Assumptions!$D15,2,1)))</f>
        <v>4</v>
      </c>
      <c r="K97" s="3">
        <f>IF(K75&lt;Assumptions!$B15,4,IF(K75&lt;Assumptions!$C15,3,IF(K75&lt;Assumptions!$D15,2,1)))</f>
        <v>4</v>
      </c>
      <c r="L97" s="3">
        <f>IF(L75&lt;Assumptions!$B15,4,IF(L75&lt;Assumptions!$C15,3,IF(L75&lt;Assumptions!$D15,2,1)))</f>
        <v>4</v>
      </c>
      <c r="M97" s="3">
        <f>IF(M75&lt;Assumptions!$B15,4,IF(M75&lt;Assumptions!$C15,3,IF(M75&lt;Assumptions!$D15,2,1)))</f>
        <v>3</v>
      </c>
      <c r="N97" s="3">
        <f>IF(N75&lt;Assumptions!$B15,4,IF(N75&lt;Assumptions!$C15,3,IF(N75&lt;Assumptions!$D15,2,1)))</f>
        <v>3</v>
      </c>
      <c r="O97" s="3">
        <f>IF(O75&lt;Assumptions!$B15,4,IF(O75&lt;Assumptions!$C15,3,IF(O75&lt;Assumptions!$D15,2,1)))</f>
        <v>1</v>
      </c>
      <c r="P97" s="3">
        <f>IF(P75&lt;Assumptions!$B15,4,IF(P75&lt;Assumptions!$C15,3,IF(P75&lt;Assumptions!$D15,2,1)))</f>
        <v>1</v>
      </c>
      <c r="Q97" s="3">
        <f>IF(Q75&lt;Assumptions!$B15,4,IF(Q75&lt;Assumptions!$C15,3,IF(Q75&lt;Assumptions!$D15,2,1)))</f>
        <v>4</v>
      </c>
    </row>
    <row r="98" spans="1:17">
      <c r="A98" s="44" t="s">
        <v>257</v>
      </c>
      <c r="B98" s="47"/>
      <c r="C98" s="47"/>
      <c r="D98" s="47"/>
      <c r="E98" s="47"/>
    </row>
    <row r="99" spans="1:17" ht="17">
      <c r="A99" s="34" t="s">
        <v>258</v>
      </c>
      <c r="B99" s="47">
        <f t="shared" si="25"/>
        <v>3.0462866118963725</v>
      </c>
      <c r="C99" s="47">
        <f t="shared" si="26"/>
        <v>4</v>
      </c>
      <c r="D99" s="47">
        <f t="shared" si="27"/>
        <v>4</v>
      </c>
      <c r="E99" s="47">
        <f t="shared" si="28"/>
        <v>2.6553278484535547</v>
      </c>
      <c r="F99" s="3">
        <f>IF(F77&lt;Assumptions!$B17,4,IF(F77&lt;Assumptions!$C17,3,IF(F77&lt;Assumptions!$D17,2,1)))</f>
        <v>4</v>
      </c>
      <c r="G99" s="3">
        <f>IF(G77&lt;Assumptions!$B17,4,IF(G77&lt;Assumptions!$C17,3,IF(G77&lt;Assumptions!$D17,2,1)))</f>
        <v>4</v>
      </c>
      <c r="H99" s="3">
        <f>IF(H77&lt;Assumptions!$B17,4,IF(H77&lt;Assumptions!$C17,3,IF(H77&lt;Assumptions!$D17,2,1)))</f>
        <v>4</v>
      </c>
      <c r="I99" s="3">
        <f>IF(I77&lt;Assumptions!$B17,4,IF(I77&lt;Assumptions!$C17,3,IF(I77&lt;Assumptions!$D17,2,1)))</f>
        <v>4</v>
      </c>
      <c r="J99" s="3">
        <f>IF(J77&lt;Assumptions!$B17,4,IF(J77&lt;Assumptions!$C17,3,IF(J77&lt;Assumptions!$D17,2,1)))</f>
        <v>4</v>
      </c>
      <c r="K99" s="3">
        <f>IF(K77&lt;Assumptions!$B17,4,IF(K77&lt;Assumptions!$C17,3,IF(K77&lt;Assumptions!$D17,2,1)))</f>
        <v>4</v>
      </c>
      <c r="L99" s="3">
        <f>IF(L77&lt;Assumptions!$B17,4,IF(L77&lt;Assumptions!$C17,3,IF(L77&lt;Assumptions!$D17,2,1)))</f>
        <v>4</v>
      </c>
      <c r="M99" s="3">
        <f>IF(M77&lt;Assumptions!$B17,4,IF(M77&lt;Assumptions!$C17,3,IF(M77&lt;Assumptions!$D17,2,1)))</f>
        <v>4</v>
      </c>
      <c r="N99" s="3">
        <f>IF(N77&lt;Assumptions!$B17,4,IF(N77&lt;Assumptions!$C17,3,IF(N77&lt;Assumptions!$D17,2,1)))</f>
        <v>3</v>
      </c>
      <c r="O99" s="3">
        <f>IF(O77&lt;Assumptions!$B17,4,IF(O77&lt;Assumptions!$C17,3,IF(O77&lt;Assumptions!$D17,2,1)))</f>
        <v>4</v>
      </c>
      <c r="P99" s="3">
        <f>IF(P77&lt;Assumptions!$B17,4,IF(P77&lt;Assumptions!$C17,3,IF(P77&lt;Assumptions!$D17,2,1)))</f>
        <v>2</v>
      </c>
      <c r="Q99" s="3">
        <f>IF(Q77&lt;Assumptions!$B17,4,IF(Q77&lt;Assumptions!$C17,3,IF(Q77&lt;Assumptions!$D17,2,1)))</f>
        <v>2</v>
      </c>
    </row>
    <row r="100" spans="1:17" ht="17" hidden="1" outlineLevel="7">
      <c r="A100" s="34" t="s">
        <v>261</v>
      </c>
      <c r="B100" s="47" t="e">
        <f t="shared" si="25"/>
        <v>#DIV/0!</v>
      </c>
      <c r="C100" s="47">
        <f t="shared" si="26"/>
        <v>4</v>
      </c>
      <c r="D100" s="47">
        <f t="shared" si="27"/>
        <v>4</v>
      </c>
      <c r="E100" s="47" t="e">
        <f t="shared" si="28"/>
        <v>#DIV/0!</v>
      </c>
      <c r="F100" s="3">
        <f>IF(F78&lt;Assumptions!$B18,4,IF(F78&lt;Assumptions!$C18,3,IF(F78&lt;Assumptions!$D18,2,1)))</f>
        <v>4</v>
      </c>
      <c r="G100" s="3">
        <f>IF(G78&lt;Assumptions!$B18,4,IF(G78&lt;Assumptions!$C18,3,IF(G78&lt;Assumptions!$D18,2,1)))</f>
        <v>4</v>
      </c>
      <c r="H100" s="3">
        <f>IF(H78&lt;Assumptions!$B18,4,IF(H78&lt;Assumptions!$C18,3,IF(H78&lt;Assumptions!$D18,2,1)))</f>
        <v>4</v>
      </c>
      <c r="I100" s="3">
        <f>IF(I78&lt;Assumptions!$B18,4,IF(I78&lt;Assumptions!$C18,3,IF(I78&lt;Assumptions!$D18,2,1)))</f>
        <v>4</v>
      </c>
      <c r="J100" s="3">
        <f>IF(J78&lt;Assumptions!$B18,4,IF(J78&lt;Assumptions!$C18,3,IF(J78&lt;Assumptions!$D18,2,1)))</f>
        <v>4</v>
      </c>
      <c r="K100" s="3">
        <f>IF(K78&lt;Assumptions!$B18,4,IF(K78&lt;Assumptions!$C18,3,IF(K78&lt;Assumptions!$D18,2,1)))</f>
        <v>4</v>
      </c>
      <c r="L100" s="3">
        <f>IF(L78&lt;Assumptions!$B18,4,IF(L78&lt;Assumptions!$C18,3,IF(L78&lt;Assumptions!$D18,2,1)))</f>
        <v>4</v>
      </c>
      <c r="M100" s="3">
        <f>IF(M78&lt;Assumptions!$B18,4,IF(M78&lt;Assumptions!$C18,3,IF(M78&lt;Assumptions!$D18,2,1)))</f>
        <v>4</v>
      </c>
      <c r="N100" s="3">
        <f>IF(N78&lt;Assumptions!$B18,4,IF(N78&lt;Assumptions!$C18,3,IF(N78&lt;Assumptions!$D18,2,1)))</f>
        <v>4</v>
      </c>
      <c r="O100" s="3">
        <f>IF(O78&lt;Assumptions!$B18,4,IF(O78&lt;Assumptions!$C18,3,IF(O78&lt;Assumptions!$D18,2,1)))</f>
        <v>4</v>
      </c>
      <c r="P100" s="3">
        <f>IF(P78&lt;Assumptions!$B18,4,IF(P78&lt;Assumptions!$C18,3,IF(P78&lt;Assumptions!$D18,2,1)))</f>
        <v>1</v>
      </c>
      <c r="Q100" s="3" t="e">
        <f>IF(Q78&lt;Assumptions!$B18,4,IF(Q78&lt;Assumptions!$C18,3,IF(Q78&lt;Assumptions!$D18,2,1)))</f>
        <v>#DIV/0!</v>
      </c>
    </row>
    <row r="101" spans="1:17" collapsed="1">
      <c r="A101" s="44" t="s">
        <v>77</v>
      </c>
      <c r="B101" s="47"/>
      <c r="C101" s="47"/>
      <c r="D101" s="47"/>
      <c r="E101" s="47"/>
    </row>
    <row r="102" spans="1:17" ht="17">
      <c r="A102" s="34" t="s">
        <v>126</v>
      </c>
      <c r="B102" s="47">
        <f t="shared" si="25"/>
        <v>2.808288078788105</v>
      </c>
      <c r="C102" s="47">
        <f t="shared" si="26"/>
        <v>3.272159861241875</v>
      </c>
      <c r="D102" s="47">
        <f t="shared" si="27"/>
        <v>1.5209979558022801</v>
      </c>
      <c r="E102" s="47">
        <f t="shared" si="28"/>
        <v>2.9213438873262438</v>
      </c>
      <c r="F102" s="3">
        <f>IF(ABS(F80)&gt;Assumptions!$B20,4,IF(F80&gt;Assumptions!$C20,3,IF(F80&gt;Assumptions!$D20,2,1)))</f>
        <v>2</v>
      </c>
      <c r="G102" s="3">
        <f>IF(ABS(G80)&gt;Assumptions!$B20,4,IF(G80&gt;Assumptions!$C20,3,IF(G80&gt;Assumptions!$D20,2,1)))</f>
        <v>1</v>
      </c>
      <c r="H102" s="3">
        <f>IF(ABS(H80)&gt;Assumptions!$B20,4,IF(H80&gt;Assumptions!$C20,3,IF(H80&gt;Assumptions!$D20,2,1)))</f>
        <v>4</v>
      </c>
      <c r="I102" s="3">
        <f>IF(ABS(I80)&gt;Assumptions!$B20,4,IF(I80&gt;Assumptions!$C20,3,IF(I80&gt;Assumptions!$D20,2,1)))</f>
        <v>1</v>
      </c>
      <c r="J102" s="3">
        <f>IF(ABS(J80)&gt;Assumptions!$B20,4,IF(J80&gt;Assumptions!$C20,3,IF(J80&gt;Assumptions!$D20,2,1)))</f>
        <v>4</v>
      </c>
      <c r="K102" s="3">
        <f>IF(ABS(K80)&gt;Assumptions!$B20,4,IF(K80&gt;Assumptions!$C20,3,IF(K80&gt;Assumptions!$D20,2,1)))</f>
        <v>1</v>
      </c>
      <c r="L102" s="3">
        <f>IF(ABS(L80)&gt;Assumptions!$B20,4,IF(L80&gt;Assumptions!$C20,3,IF(L80&gt;Assumptions!$D20,2,1)))</f>
        <v>2</v>
      </c>
      <c r="M102" s="3">
        <f>IF(ABS(M80)&gt;Assumptions!$B20,4,IF(M80&gt;Assumptions!$C20,3,IF(M80&gt;Assumptions!$D20,2,1)))</f>
        <v>1</v>
      </c>
      <c r="N102" s="3">
        <f>IF(ABS(N80)&gt;Assumptions!$B20,4,IF(N80&gt;Assumptions!$C20,3,IF(N80&gt;Assumptions!$D20,2,1)))</f>
        <v>2</v>
      </c>
      <c r="O102" s="3">
        <f>IF(ABS(O80)&gt;Assumptions!$B20,4,IF(O80&gt;Assumptions!$C20,3,IF(O80&gt;Assumptions!$D20,2,1)))</f>
        <v>1</v>
      </c>
      <c r="P102" s="3">
        <f>IF(ABS(P80)&gt;Assumptions!$B20,4,IF(P80&gt;Assumptions!$C20,3,IF(P80&gt;Assumptions!$D20,2,1)))</f>
        <v>4</v>
      </c>
      <c r="Q102" s="3">
        <f>IF(ABS(Q80)&gt;Assumptions!$B20,4,IF(Q80&gt;Assumptions!$C20,3,IF(Q80&gt;Assumptions!$D20,2,1)))</f>
        <v>4</v>
      </c>
    </row>
    <row r="103" spans="1:17">
      <c r="A103" s="34"/>
      <c r="B103" s="47"/>
      <c r="C103" s="47"/>
      <c r="D103" s="47"/>
      <c r="E103" s="47"/>
    </row>
    <row r="104" spans="1:17">
      <c r="A104" s="43" t="s">
        <v>6</v>
      </c>
      <c r="B104" s="47"/>
      <c r="C104" s="47"/>
      <c r="D104" s="47"/>
      <c r="E104" s="47"/>
      <c r="F104" s="47"/>
      <c r="G104" s="47"/>
      <c r="H104" s="47"/>
      <c r="I104" s="47"/>
      <c r="J104" s="47"/>
      <c r="K104" s="47"/>
      <c r="L104" s="47"/>
      <c r="M104" s="47"/>
      <c r="N104" s="47"/>
      <c r="O104" s="47"/>
      <c r="P104" s="47"/>
      <c r="Q104" s="47"/>
    </row>
    <row r="105" spans="1:17">
      <c r="A105" s="44" t="s">
        <v>256</v>
      </c>
      <c r="B105" s="47"/>
      <c r="C105" s="47"/>
      <c r="D105" s="47"/>
      <c r="E105" s="47"/>
      <c r="F105" s="21">
        <f>SUMPRODUCT(F108:F122,Assumptions!$E$6:$E$20)/100</f>
        <v>25.65</v>
      </c>
      <c r="G105" s="21">
        <f>SUMPRODUCT(G108:G122,Assumptions!$E$6:$E$20)/100</f>
        <v>21.254999999999999</v>
      </c>
      <c r="H105" s="21">
        <f>SUMPRODUCT(H108:H122,Assumptions!$E$6:$E$20)/100</f>
        <v>22.614999999999998</v>
      </c>
      <c r="I105" s="21">
        <f>SUMPRODUCT(I108:I122,Assumptions!$E$6:$E$20)/100</f>
        <v>17.77</v>
      </c>
      <c r="J105" s="21">
        <f>SUMPRODUCT(J108:J122,Assumptions!$E$6:$E$20)/100</f>
        <v>23.75</v>
      </c>
      <c r="K105" s="21">
        <f>SUMPRODUCT(K108:K122,Assumptions!$E$6:$E$20)/100</f>
        <v>21.004999999999999</v>
      </c>
      <c r="L105" s="21">
        <f>SUMPRODUCT(L108:L122,Assumptions!$E$6:$E$20)/100</f>
        <v>22.3</v>
      </c>
      <c r="M105" s="21">
        <f>SUMPRODUCT(M108:M122,Assumptions!$E$6:$E$20)/100</f>
        <v>12.305</v>
      </c>
      <c r="N105" s="21">
        <f>SUMPRODUCT(N108:N122,Assumptions!$E$6:$E$20)/100</f>
        <v>10.25</v>
      </c>
      <c r="O105" s="21">
        <f>SUMPRODUCT(O108:O122,Assumptions!$E$6:$E$20)/100</f>
        <v>11.48</v>
      </c>
      <c r="P105" s="21">
        <f>SUMPRODUCT(P108:P122,Assumptions!$E$6:$E$20)/100</f>
        <v>15.875</v>
      </c>
      <c r="Q105" s="21" t="e">
        <f>SUMPRODUCT(Q108:Q122,Assumptions!$E$6:$E$20)/100</f>
        <v>#DIV/0!</v>
      </c>
    </row>
    <row r="106" spans="1:17" ht="17">
      <c r="A106" s="34" t="s">
        <v>328</v>
      </c>
      <c r="B106" s="47"/>
      <c r="C106" s="47"/>
      <c r="D106" s="47"/>
      <c r="E106" s="47"/>
      <c r="F106" s="21">
        <f>F105-Data!F170</f>
        <v>9.9999999999999982</v>
      </c>
      <c r="G106" s="21">
        <f>G105-Data!G170</f>
        <v>1.4049999999999976</v>
      </c>
      <c r="H106" s="21">
        <f>H105-Data!H170</f>
        <v>5.514999999999997</v>
      </c>
      <c r="I106" s="21">
        <f>I105-Data!I170</f>
        <v>-1.004999999999999</v>
      </c>
      <c r="J106" s="21">
        <f>J105-Data!J170</f>
        <v>10.484999999999999</v>
      </c>
      <c r="K106" s="21">
        <f>K105-Data!K170</f>
        <v>17.919999999999998</v>
      </c>
      <c r="L106" s="21">
        <f>L105-Data!L170</f>
        <v>16.420000000000002</v>
      </c>
      <c r="M106" s="21">
        <f>M105-Data!M170</f>
        <v>10.62</v>
      </c>
      <c r="N106" s="21">
        <f>N105-Data!N170</f>
        <v>9.0299999999999994</v>
      </c>
      <c r="O106" s="21">
        <f>O105-Data!O170</f>
        <v>5.3550000000000004</v>
      </c>
      <c r="P106" s="21">
        <f>P105-Data!P170</f>
        <v>7.65</v>
      </c>
      <c r="Q106" s="21" t="e">
        <f>Q105-Data!Q170</f>
        <v>#DIV/0!</v>
      </c>
    </row>
    <row r="107" spans="1:17">
      <c r="A107" s="44" t="s">
        <v>74</v>
      </c>
      <c r="B107" s="47"/>
      <c r="C107" s="47"/>
      <c r="D107" s="47"/>
      <c r="E107" s="47"/>
      <c r="F107" s="21"/>
      <c r="G107" s="21"/>
      <c r="H107" s="21"/>
      <c r="I107" s="21"/>
      <c r="J107" s="21"/>
      <c r="K107" s="21"/>
      <c r="L107" s="21"/>
      <c r="M107" s="21"/>
      <c r="N107" s="21"/>
      <c r="O107" s="21"/>
      <c r="P107" s="21"/>
      <c r="Q107" s="21"/>
    </row>
    <row r="108" spans="1:17" ht="17">
      <c r="A108" s="34" t="s">
        <v>122</v>
      </c>
      <c r="B108" s="47"/>
      <c r="C108" s="47"/>
      <c r="D108" s="47"/>
      <c r="E108" s="47"/>
      <c r="F108" s="21">
        <f>IF(F88=4,Assumptions!$B$22,IF(F88=3,Assumptions!$C$22,IF(F88=2,Assumptions!$D$22,IF(F88=1,Assumptions!$E$22,"..."))))</f>
        <v>30</v>
      </c>
      <c r="G108" s="21">
        <f>IF(G88=4,Assumptions!$B$22,IF(G88=3,Assumptions!$C$22,IF(G88=2,Assumptions!$D$22,IF(G88=1,Assumptions!$E$22,"..."))))</f>
        <v>30</v>
      </c>
      <c r="H108" s="21">
        <f>IF(H88=4,Assumptions!$B$22,IF(H88=3,Assumptions!$C$22,IF(H88=2,Assumptions!$D$22,IF(H88=1,Assumptions!$E$22,"..."))))</f>
        <v>30</v>
      </c>
      <c r="I108" s="21">
        <f>IF(I88=4,Assumptions!$B$22,IF(I88=3,Assumptions!$C$22,IF(I88=2,Assumptions!$D$22,IF(I88=1,Assumptions!$E$22,"..."))))</f>
        <v>30</v>
      </c>
      <c r="J108" s="21">
        <f>IF(J88=4,Assumptions!$B$22,IF(J88=3,Assumptions!$C$22,IF(J88=2,Assumptions!$D$22,IF(J88=1,Assumptions!$E$22,"..."))))</f>
        <v>30</v>
      </c>
      <c r="K108" s="21">
        <f>IF(K88=4,Assumptions!$B$22,IF(K88=3,Assumptions!$C$22,IF(K88=2,Assumptions!$D$22,IF(K88=1,Assumptions!$E$22,"..."))))</f>
        <v>5</v>
      </c>
      <c r="L108" s="21">
        <f>IF(L88=4,Assumptions!$B$22,IF(L88=3,Assumptions!$C$22,IF(L88=2,Assumptions!$D$22,IF(L88=1,Assumptions!$E$22,"..."))))</f>
        <v>30</v>
      </c>
      <c r="M108" s="21">
        <f>IF(M88=4,Assumptions!$B$22,IF(M88=3,Assumptions!$C$22,IF(M88=2,Assumptions!$D$22,IF(M88=1,Assumptions!$E$22,"..."))))</f>
        <v>1</v>
      </c>
      <c r="N108" s="21">
        <f>IF(N88=4,Assumptions!$B$22,IF(N88=3,Assumptions!$C$22,IF(N88=2,Assumptions!$D$22,IF(N88=1,Assumptions!$E$22,"..."))))</f>
        <v>1</v>
      </c>
      <c r="O108" s="21">
        <f>IF(O88=4,Assumptions!$B$22,IF(O88=3,Assumptions!$C$22,IF(O88=2,Assumptions!$D$22,IF(O88=1,Assumptions!$E$22,"..."))))</f>
        <v>1</v>
      </c>
      <c r="P108" s="21">
        <f>IF(P88=4,Assumptions!$B$22,IF(P88=3,Assumptions!$C$22,IF(P88=2,Assumptions!$D$22,IF(P88=1,Assumptions!$E$22,"..."))))</f>
        <v>30</v>
      </c>
      <c r="Q108" s="21">
        <f>IF(Q88=4,Assumptions!$B$22,IF(Q88=3,Assumptions!$C$22,IF(Q88=2,Assumptions!$D$22,IF(Q88=1,Assumptions!$E$22,"..."))))</f>
        <v>30</v>
      </c>
    </row>
    <row r="109" spans="1:17">
      <c r="A109" s="44" t="s">
        <v>75</v>
      </c>
      <c r="B109" s="47"/>
      <c r="C109" s="47"/>
      <c r="D109" s="47"/>
      <c r="E109" s="47"/>
      <c r="F109" s="21"/>
      <c r="G109" s="21"/>
      <c r="H109" s="21"/>
      <c r="I109" s="21"/>
      <c r="J109" s="21"/>
      <c r="K109" s="21"/>
      <c r="L109" s="21"/>
      <c r="M109" s="21"/>
      <c r="N109" s="21"/>
      <c r="O109" s="21"/>
      <c r="P109" s="21"/>
      <c r="Q109" s="21"/>
    </row>
    <row r="110" spans="1:17" ht="17">
      <c r="A110" s="60" t="s">
        <v>193</v>
      </c>
      <c r="B110" s="47"/>
      <c r="C110" s="47"/>
      <c r="D110" s="47"/>
      <c r="E110" s="47"/>
      <c r="F110" s="21">
        <f>IF(F90=4,Assumptions!$B$22,IF(F90=3,Assumptions!$C$22,IF(F90=2,Assumptions!$D$22,IF(F90=1,Assumptions!$E$22,"..."))))</f>
        <v>30</v>
      </c>
      <c r="G110" s="21">
        <f>IF(G90=4,Assumptions!$B$22,IF(G90=3,Assumptions!$C$22,IF(G90=2,Assumptions!$D$22,IF(G90=1,Assumptions!$E$22,"..."))))</f>
        <v>30</v>
      </c>
      <c r="H110" s="21">
        <f>IF(H90=4,Assumptions!$B$22,IF(H90=3,Assumptions!$C$22,IF(H90=2,Assumptions!$D$22,IF(H90=1,Assumptions!$E$22,"..."))))</f>
        <v>30</v>
      </c>
      <c r="I110" s="21">
        <f>IF(I90=4,Assumptions!$B$22,IF(I90=3,Assumptions!$C$22,IF(I90=2,Assumptions!$D$22,IF(I90=1,Assumptions!$E$22,"..."))))</f>
        <v>30</v>
      </c>
      <c r="J110" s="21">
        <f>IF(J90=4,Assumptions!$B$22,IF(J90=3,Assumptions!$C$22,IF(J90=2,Assumptions!$D$22,IF(J90=1,Assumptions!$E$22,"..."))))</f>
        <v>30</v>
      </c>
      <c r="K110" s="21">
        <f>IF(K90=4,Assumptions!$B$22,IF(K90=3,Assumptions!$C$22,IF(K90=2,Assumptions!$D$22,IF(K90=1,Assumptions!$E$22,"..."))))</f>
        <v>30</v>
      </c>
      <c r="L110" s="21">
        <f>IF(L90=4,Assumptions!$B$22,IF(L90=3,Assumptions!$C$22,IF(L90=2,Assumptions!$D$22,IF(L90=1,Assumptions!$E$22,"..."))))</f>
        <v>30</v>
      </c>
      <c r="M110" s="21">
        <f>IF(M90=4,Assumptions!$B$22,IF(M90=3,Assumptions!$C$22,IF(M90=2,Assumptions!$D$22,IF(M90=1,Assumptions!$E$22,"..."))))</f>
        <v>30</v>
      </c>
      <c r="N110" s="21">
        <f>IF(N90=4,Assumptions!$B$22,IF(N90=3,Assumptions!$C$22,IF(N90=2,Assumptions!$D$22,IF(N90=1,Assumptions!$E$22,"..."))))</f>
        <v>30</v>
      </c>
      <c r="O110" s="21">
        <f>IF(O90=4,Assumptions!$B$22,IF(O90=3,Assumptions!$C$22,IF(O90=2,Assumptions!$D$22,IF(O90=1,Assumptions!$E$22,"..."))))</f>
        <v>30</v>
      </c>
      <c r="P110" s="21">
        <f>IF(P90=4,Assumptions!$B$22,IF(P90=3,Assumptions!$C$22,IF(P90=2,Assumptions!$D$22,IF(P90=1,Assumptions!$E$22,"..."))))</f>
        <v>30</v>
      </c>
      <c r="Q110" s="21">
        <f>IF(Q90=4,Assumptions!$B$22,IF(Q90=3,Assumptions!$C$22,IF(Q90=2,Assumptions!$D$22,IF(Q90=1,Assumptions!$E$22,"..."))))</f>
        <v>30</v>
      </c>
    </row>
    <row r="111" spans="1:17" ht="17">
      <c r="A111" s="60" t="s">
        <v>117</v>
      </c>
      <c r="B111" s="47"/>
      <c r="C111" s="47"/>
      <c r="D111" s="47"/>
      <c r="E111" s="47"/>
      <c r="F111" s="21">
        <f>IF(F91=4,Assumptions!$B$22,IF(F91=3,Assumptions!$C$22,IF(F91=2,Assumptions!$D$22,IF(F91=1,Assumptions!$E$22,"..."))))</f>
        <v>5</v>
      </c>
      <c r="G111" s="21">
        <f>IF(G91=4,Assumptions!$B$22,IF(G91=3,Assumptions!$C$22,IF(G91=2,Assumptions!$D$22,IF(G91=1,Assumptions!$E$22,"..."))))</f>
        <v>5</v>
      </c>
      <c r="H111" s="21">
        <f>IF(H91=4,Assumptions!$B$22,IF(H91=3,Assumptions!$C$22,IF(H91=2,Assumptions!$D$22,IF(H91=1,Assumptions!$E$22,"..."))))</f>
        <v>5</v>
      </c>
      <c r="I111" s="21">
        <f>IF(I91=4,Assumptions!$B$22,IF(I91=3,Assumptions!$C$22,IF(I91=2,Assumptions!$D$22,IF(I91=1,Assumptions!$E$22,"..."))))</f>
        <v>30</v>
      </c>
      <c r="J111" s="21">
        <f>IF(J91=4,Assumptions!$B$22,IF(J91=3,Assumptions!$C$22,IF(J91=2,Assumptions!$D$22,IF(J91=1,Assumptions!$E$22,"..."))))</f>
        <v>1</v>
      </c>
      <c r="K111" s="21">
        <f>IF(K91=4,Assumptions!$B$22,IF(K91=3,Assumptions!$C$22,IF(K91=2,Assumptions!$D$22,IF(K91=1,Assumptions!$E$22,"..."))))</f>
        <v>5</v>
      </c>
      <c r="L111" s="21">
        <f>IF(L91=4,Assumptions!$B$22,IF(L91=3,Assumptions!$C$22,IF(L91=2,Assumptions!$D$22,IF(L91=1,Assumptions!$E$22,"..."))))</f>
        <v>5</v>
      </c>
      <c r="M111" s="21">
        <f>IF(M91=4,Assumptions!$B$22,IF(M91=3,Assumptions!$C$22,IF(M91=2,Assumptions!$D$22,IF(M91=1,Assumptions!$E$22,"..."))))</f>
        <v>5</v>
      </c>
      <c r="N111" s="21">
        <f>IF(N91=4,Assumptions!$B$22,IF(N91=3,Assumptions!$C$22,IF(N91=2,Assumptions!$D$22,IF(N91=1,Assumptions!$E$22,"..."))))</f>
        <v>5</v>
      </c>
      <c r="O111" s="21">
        <f>IF(O91=4,Assumptions!$B$22,IF(O91=3,Assumptions!$C$22,IF(O91=2,Assumptions!$D$22,IF(O91=1,Assumptions!$E$22,"..."))))</f>
        <v>5</v>
      </c>
      <c r="P111" s="21">
        <f>IF(P91=4,Assumptions!$B$22,IF(P91=3,Assumptions!$C$22,IF(P91=2,Assumptions!$D$22,IF(P91=1,Assumptions!$E$22,"..."))))</f>
        <v>5</v>
      </c>
      <c r="Q111" s="21">
        <f>IF(Q91=4,Assumptions!$B$22,IF(Q91=3,Assumptions!$C$22,IF(Q91=2,Assumptions!$D$22,IF(Q91=1,Assumptions!$E$22,"..."))))</f>
        <v>1</v>
      </c>
    </row>
    <row r="112" spans="1:17">
      <c r="A112" s="37" t="s">
        <v>123</v>
      </c>
      <c r="B112" s="47"/>
      <c r="C112" s="47"/>
      <c r="D112" s="47"/>
      <c r="E112" s="47"/>
      <c r="F112" s="21">
        <f>IF(F92=4,Assumptions!$B$22,IF(F92=3,Assumptions!$C$22,IF(F92=2,Assumptions!$D$22,IF(F92=1,Assumptions!$E$22,"..."))))</f>
        <v>30</v>
      </c>
      <c r="G112" s="21">
        <f>IF(G92=4,Assumptions!$B$22,IF(G92=3,Assumptions!$C$22,IF(G92=2,Assumptions!$D$22,IF(G92=1,Assumptions!$E$22,"..."))))</f>
        <v>30</v>
      </c>
      <c r="H112" s="21">
        <f>IF(H92=4,Assumptions!$B$22,IF(H92=3,Assumptions!$C$22,IF(H92=2,Assumptions!$D$22,IF(H92=1,Assumptions!$E$22,"..."))))</f>
        <v>30</v>
      </c>
      <c r="I112" s="21">
        <f>IF(I92=4,Assumptions!$B$22,IF(I92=3,Assumptions!$C$22,IF(I92=2,Assumptions!$D$22,IF(I92=1,Assumptions!$E$22,"..."))))</f>
        <v>30</v>
      </c>
      <c r="J112" s="21">
        <f>IF(J92=4,Assumptions!$B$22,IF(J92=3,Assumptions!$C$22,IF(J92=2,Assumptions!$D$22,IF(J92=1,Assumptions!$E$22,"..."))))</f>
        <v>30</v>
      </c>
      <c r="K112" s="21">
        <f>IF(K92=4,Assumptions!$B$22,IF(K92=3,Assumptions!$C$22,IF(K92=2,Assumptions!$D$22,IF(K92=1,Assumptions!$E$22,"..."))))</f>
        <v>30</v>
      </c>
      <c r="L112" s="21">
        <f>IF(L92=4,Assumptions!$B$22,IF(L92=3,Assumptions!$C$22,IF(L92=2,Assumptions!$D$22,IF(L92=1,Assumptions!$E$22,"..."))))</f>
        <v>30</v>
      </c>
      <c r="M112" s="21">
        <f>IF(M92=4,Assumptions!$B$22,IF(M92=3,Assumptions!$C$22,IF(M92=2,Assumptions!$D$22,IF(M92=1,Assumptions!$E$22,"..."))))</f>
        <v>30</v>
      </c>
      <c r="N112" s="21">
        <f>IF(N92=4,Assumptions!$B$22,IF(N92=3,Assumptions!$C$22,IF(N92=2,Assumptions!$D$22,IF(N92=1,Assumptions!$E$22,"..."))))</f>
        <v>30</v>
      </c>
      <c r="O112" s="21">
        <f>IF(O92=4,Assumptions!$B$22,IF(O92=3,Assumptions!$C$22,IF(O92=2,Assumptions!$D$22,IF(O92=1,Assumptions!$E$22,"..."))))</f>
        <v>30</v>
      </c>
      <c r="P112" s="21">
        <f>IF(P92=4,Assumptions!$B$22,IF(P92=3,Assumptions!$C$22,IF(P92=2,Assumptions!$D$22,IF(P92=1,Assumptions!$E$22,"..."))))</f>
        <v>30</v>
      </c>
      <c r="Q112" s="21">
        <f>IF(Q92=4,Assumptions!$B$22,IF(Q92=3,Assumptions!$C$22,IF(Q92=2,Assumptions!$D$22,IF(Q92=1,Assumptions!$E$22,"..."))))</f>
        <v>30</v>
      </c>
    </row>
    <row r="113" spans="1:18" ht="17">
      <c r="A113" s="60" t="s">
        <v>94</v>
      </c>
      <c r="B113" s="47"/>
      <c r="C113" s="47"/>
      <c r="D113" s="47"/>
      <c r="E113" s="47"/>
      <c r="F113" s="21">
        <f>IF(F93=4,Assumptions!$B$22,IF(F93=3,Assumptions!$C$22,IF(F93=2,Assumptions!$D$22,IF(F93=1,Assumptions!$E$22,"..."))))</f>
        <v>1</v>
      </c>
      <c r="G113" s="21">
        <f>IF(G93=4,Assumptions!$B$22,IF(G93=3,Assumptions!$C$22,IF(G93=2,Assumptions!$D$22,IF(G93=1,Assumptions!$E$22,"..."))))</f>
        <v>1</v>
      </c>
      <c r="H113" s="21">
        <f>IF(H93=4,Assumptions!$B$22,IF(H93=3,Assumptions!$C$22,IF(H93=2,Assumptions!$D$22,IF(H93=1,Assumptions!$E$22,"..."))))</f>
        <v>1</v>
      </c>
      <c r="I113" s="21">
        <f>IF(I93=4,Assumptions!$B$22,IF(I93=3,Assumptions!$C$22,IF(I93=2,Assumptions!$D$22,IF(I93=1,Assumptions!$E$22,"..."))))</f>
        <v>5</v>
      </c>
      <c r="J113" s="21">
        <f>IF(J93=4,Assumptions!$B$22,IF(J93=3,Assumptions!$C$22,IF(J93=2,Assumptions!$D$22,IF(J93=1,Assumptions!$E$22,"..."))))</f>
        <v>5</v>
      </c>
      <c r="K113" s="21">
        <f>IF(K93=4,Assumptions!$B$22,IF(K93=3,Assumptions!$C$22,IF(K93=2,Assumptions!$D$22,IF(K93=1,Assumptions!$E$22,"..."))))</f>
        <v>5</v>
      </c>
      <c r="L113" s="21">
        <f>IF(L93=4,Assumptions!$B$22,IF(L93=3,Assumptions!$C$22,IF(L93=2,Assumptions!$D$22,IF(L93=1,Assumptions!$E$22,"..."))))</f>
        <v>5</v>
      </c>
      <c r="M113" s="21">
        <f>IF(M93=4,Assumptions!$B$22,IF(M93=3,Assumptions!$C$22,IF(M93=2,Assumptions!$D$22,IF(M93=1,Assumptions!$E$22,"..."))))</f>
        <v>1</v>
      </c>
      <c r="N113" s="21">
        <f>IF(N93=4,Assumptions!$B$22,IF(N93=3,Assumptions!$C$22,IF(N93=2,Assumptions!$D$22,IF(N93=1,Assumptions!$E$22,"..."))))</f>
        <v>5</v>
      </c>
      <c r="O113" s="21">
        <f>IF(O93=4,Assumptions!$B$22,IF(O93=3,Assumptions!$C$22,IF(O93=2,Assumptions!$D$22,IF(O93=1,Assumptions!$E$22,"..."))))</f>
        <v>0.1</v>
      </c>
      <c r="P113" s="21">
        <f>IF(P93=4,Assumptions!$B$22,IF(P93=3,Assumptions!$C$22,IF(P93=2,Assumptions!$D$22,IF(P93=1,Assumptions!$E$22,"..."))))</f>
        <v>30</v>
      </c>
      <c r="Q113" s="21">
        <f>IF(Q93=4,Assumptions!$B$22,IF(Q93=3,Assumptions!$C$22,IF(Q93=2,Assumptions!$D$22,IF(Q93=1,Assumptions!$E$22,"..."))))</f>
        <v>30</v>
      </c>
    </row>
    <row r="114" spans="1:18" ht="17">
      <c r="A114" s="60" t="s">
        <v>95</v>
      </c>
      <c r="B114" s="47"/>
      <c r="C114" s="47"/>
      <c r="D114" s="47"/>
      <c r="E114" s="47"/>
      <c r="F114" s="21">
        <f>IF(F94=4,Assumptions!$B$22,IF(F94=3,Assumptions!$C$22,IF(F94=2,Assumptions!$D$22,IF(F94=1,Assumptions!$E$22,"..."))))</f>
        <v>1</v>
      </c>
      <c r="G114" s="21">
        <f>IF(G94=4,Assumptions!$B$22,IF(G94=3,Assumptions!$C$22,IF(G94=2,Assumptions!$D$22,IF(G94=1,Assumptions!$E$22,"..."))))</f>
        <v>0.1</v>
      </c>
      <c r="H114" s="21">
        <f>IF(H94=4,Assumptions!$B$22,IF(H94=3,Assumptions!$C$22,IF(H94=2,Assumptions!$D$22,IF(H94=1,Assumptions!$E$22,"..."))))</f>
        <v>5</v>
      </c>
      <c r="I114" s="21">
        <f>IF(I94=4,Assumptions!$B$22,IF(I94=3,Assumptions!$C$22,IF(I94=2,Assumptions!$D$22,IF(I94=1,Assumptions!$E$22,"..."))))</f>
        <v>1</v>
      </c>
      <c r="J114" s="21">
        <f>IF(J94=4,Assumptions!$B$22,IF(J94=3,Assumptions!$C$22,IF(J94=2,Assumptions!$D$22,IF(J94=1,Assumptions!$E$22,"..."))))</f>
        <v>1</v>
      </c>
      <c r="K114" s="21">
        <f>IF(K94=4,Assumptions!$B$22,IF(K94=3,Assumptions!$C$22,IF(K94=2,Assumptions!$D$22,IF(K94=1,Assumptions!$E$22,"..."))))</f>
        <v>5</v>
      </c>
      <c r="L114" s="21">
        <f>IF(L94=4,Assumptions!$B$22,IF(L94=3,Assumptions!$C$22,IF(L94=2,Assumptions!$D$22,IF(L94=1,Assumptions!$E$22,"..."))))</f>
        <v>1</v>
      </c>
      <c r="M114" s="21">
        <f>IF(M94=4,Assumptions!$B$22,IF(M94=3,Assumptions!$C$22,IF(M94=2,Assumptions!$D$22,IF(M94=1,Assumptions!$E$22,"..."))))</f>
        <v>1</v>
      </c>
      <c r="N114" s="21">
        <f>IF(N94=4,Assumptions!$B$22,IF(N94=3,Assumptions!$C$22,IF(N94=2,Assumptions!$D$22,IF(N94=1,Assumptions!$E$22,"..."))))</f>
        <v>5</v>
      </c>
      <c r="O114" s="21">
        <f>IF(O94=4,Assumptions!$B$22,IF(O94=3,Assumptions!$C$22,IF(O94=2,Assumptions!$D$22,IF(O94=1,Assumptions!$E$22,"..."))))</f>
        <v>1</v>
      </c>
      <c r="P114" s="21">
        <f>IF(P94=4,Assumptions!$B$22,IF(P94=3,Assumptions!$C$22,IF(P94=2,Assumptions!$D$22,IF(P94=1,Assumptions!$E$22,"..."))))</f>
        <v>1</v>
      </c>
      <c r="Q114" s="21">
        <f>IF(Q94=4,Assumptions!$B$22,IF(Q94=3,Assumptions!$C$22,IF(Q94=2,Assumptions!$D$22,IF(Q94=1,Assumptions!$E$22,"..."))))</f>
        <v>1</v>
      </c>
    </row>
    <row r="115" spans="1:18">
      <c r="A115" s="44" t="s">
        <v>76</v>
      </c>
      <c r="B115" s="47"/>
      <c r="C115" s="47"/>
      <c r="D115" s="47"/>
      <c r="E115" s="47"/>
      <c r="F115" s="21"/>
      <c r="G115" s="21"/>
      <c r="H115" s="21"/>
      <c r="I115" s="21"/>
      <c r="J115" s="21"/>
      <c r="K115" s="21"/>
      <c r="L115" s="21"/>
      <c r="M115" s="21"/>
      <c r="N115" s="21"/>
      <c r="O115" s="21"/>
      <c r="P115" s="21"/>
      <c r="Q115" s="21"/>
    </row>
    <row r="116" spans="1:18" ht="17">
      <c r="A116" s="34" t="s">
        <v>124</v>
      </c>
      <c r="F116" s="21">
        <f>IF(F96=4,Assumptions!$B$22,IF(F96=3,Assumptions!$C$22,IF(F96=2,Assumptions!$D$22,IF(F96=1,Assumptions!$E$22,"..."))))</f>
        <v>30</v>
      </c>
      <c r="G116" s="21">
        <f>IF(G96=4,Assumptions!$B$22,IF(G96=3,Assumptions!$C$22,IF(G96=2,Assumptions!$D$22,IF(G96=1,Assumptions!$E$22,"..."))))</f>
        <v>30</v>
      </c>
      <c r="H116" s="21">
        <f>IF(H96=4,Assumptions!$B$22,IF(H96=3,Assumptions!$C$22,IF(H96=2,Assumptions!$D$22,IF(H96=1,Assumptions!$E$22,"..."))))</f>
        <v>30</v>
      </c>
      <c r="I116" s="21">
        <f>IF(I96=4,Assumptions!$B$22,IF(I96=3,Assumptions!$C$22,IF(I96=2,Assumptions!$D$22,IF(I96=1,Assumptions!$E$22,"..."))))</f>
        <v>5</v>
      </c>
      <c r="J116" s="21">
        <f>IF(J96=4,Assumptions!$B$22,IF(J96=3,Assumptions!$C$22,IF(J96=2,Assumptions!$D$22,IF(J96=1,Assumptions!$E$22,"..."))))</f>
        <v>5</v>
      </c>
      <c r="K116" s="21">
        <f>IF(K96=4,Assumptions!$B$22,IF(K96=3,Assumptions!$C$22,IF(K96=2,Assumptions!$D$22,IF(K96=1,Assumptions!$E$22,"..."))))</f>
        <v>30</v>
      </c>
      <c r="L116" s="21">
        <f>IF(L96=4,Assumptions!$B$22,IF(L96=3,Assumptions!$C$22,IF(L96=2,Assumptions!$D$22,IF(L96=1,Assumptions!$E$22,"..."))))</f>
        <v>5</v>
      </c>
      <c r="M116" s="21">
        <f>IF(M96=4,Assumptions!$B$22,IF(M96=3,Assumptions!$C$22,IF(M96=2,Assumptions!$D$22,IF(M96=1,Assumptions!$E$22,"..."))))</f>
        <v>5</v>
      </c>
      <c r="N116" s="21">
        <f>IF(N96=4,Assumptions!$B$22,IF(N96=3,Assumptions!$C$22,IF(N96=2,Assumptions!$D$22,IF(N96=1,Assumptions!$E$22,"..."))))</f>
        <v>5</v>
      </c>
      <c r="O116" s="21">
        <f>IF(O96=4,Assumptions!$B$22,IF(O96=3,Assumptions!$C$22,IF(O96=2,Assumptions!$D$22,IF(O96=1,Assumptions!$E$22,"..."))))</f>
        <v>5</v>
      </c>
      <c r="P116" s="21">
        <f>IF(P96=4,Assumptions!$B$22,IF(P96=3,Assumptions!$C$22,IF(P96=2,Assumptions!$D$22,IF(P96=1,Assumptions!$E$22,"..."))))</f>
        <v>5</v>
      </c>
      <c r="Q116" s="21">
        <f>IF(Q96=4,Assumptions!$B$22,IF(Q96=3,Assumptions!$C$22,IF(Q96=2,Assumptions!$D$22,IF(Q96=1,Assumptions!$E$22,"..."))))</f>
        <v>5</v>
      </c>
    </row>
    <row r="117" spans="1:18" ht="17">
      <c r="A117" s="34" t="s">
        <v>125</v>
      </c>
      <c r="B117" s="47"/>
      <c r="C117" s="47"/>
      <c r="D117" s="47"/>
      <c r="E117" s="47"/>
      <c r="F117" s="21">
        <f>IF(F97=4,Assumptions!$B$22,IF(F97=3,Assumptions!$C$22,IF(F97=2,Assumptions!$D$22,IF(F97=1,Assumptions!$E$22,"..."))))</f>
        <v>30</v>
      </c>
      <c r="G117" s="21">
        <f>IF(G97=4,Assumptions!$B$22,IF(G97=3,Assumptions!$C$22,IF(G97=2,Assumptions!$D$22,IF(G97=1,Assumptions!$E$22,"..."))))</f>
        <v>1</v>
      </c>
      <c r="H117" s="21">
        <f>IF(H97=4,Assumptions!$B$22,IF(H97=3,Assumptions!$C$22,IF(H97=2,Assumptions!$D$22,IF(H97=1,Assumptions!$E$22,"..."))))</f>
        <v>0.1</v>
      </c>
      <c r="I117" s="21">
        <f>IF(I97=4,Assumptions!$B$22,IF(I97=3,Assumptions!$C$22,IF(I97=2,Assumptions!$D$22,IF(I97=1,Assumptions!$E$22,"..."))))</f>
        <v>0.1</v>
      </c>
      <c r="J117" s="21">
        <f>IF(J97=4,Assumptions!$B$22,IF(J97=3,Assumptions!$C$22,IF(J97=2,Assumptions!$D$22,IF(J97=1,Assumptions!$E$22,"..."))))</f>
        <v>30</v>
      </c>
      <c r="K117" s="21">
        <f>IF(K97=4,Assumptions!$B$22,IF(K97=3,Assumptions!$C$22,IF(K97=2,Assumptions!$D$22,IF(K97=1,Assumptions!$E$22,"..."))))</f>
        <v>30</v>
      </c>
      <c r="L117" s="21">
        <f>IF(L97=4,Assumptions!$B$22,IF(L97=3,Assumptions!$C$22,IF(L97=2,Assumptions!$D$22,IF(L97=1,Assumptions!$E$22,"..."))))</f>
        <v>30</v>
      </c>
      <c r="M117" s="21">
        <f>IF(M97=4,Assumptions!$B$22,IF(M97=3,Assumptions!$C$22,IF(M97=2,Assumptions!$D$22,IF(M97=1,Assumptions!$E$22,"..."))))</f>
        <v>5</v>
      </c>
      <c r="N117" s="21">
        <f>IF(N97=4,Assumptions!$B$22,IF(N97=3,Assumptions!$C$22,IF(N97=2,Assumptions!$D$22,IF(N97=1,Assumptions!$E$22,"..."))))</f>
        <v>5</v>
      </c>
      <c r="O117" s="21">
        <f>IF(O97=4,Assumptions!$B$22,IF(O97=3,Assumptions!$C$22,IF(O97=2,Assumptions!$D$22,IF(O97=1,Assumptions!$E$22,"..."))))</f>
        <v>0.1</v>
      </c>
      <c r="P117" s="21">
        <f>IF(P97=4,Assumptions!$B$22,IF(P97=3,Assumptions!$C$22,IF(P97=2,Assumptions!$D$22,IF(P97=1,Assumptions!$E$22,"..."))))</f>
        <v>0.1</v>
      </c>
      <c r="Q117" s="21">
        <f>IF(Q97=4,Assumptions!$B$22,IF(Q97=3,Assumptions!$C$22,IF(Q97=2,Assumptions!$D$22,IF(Q97=1,Assumptions!$E$22,"..."))))</f>
        <v>30</v>
      </c>
    </row>
    <row r="118" spans="1:18">
      <c r="A118" s="44" t="s">
        <v>257</v>
      </c>
      <c r="B118" s="47"/>
      <c r="C118" s="47"/>
      <c r="D118" s="47"/>
      <c r="E118" s="47"/>
      <c r="F118" s="21"/>
      <c r="G118" s="21"/>
      <c r="H118" s="21"/>
      <c r="I118" s="21"/>
      <c r="J118" s="21"/>
      <c r="K118" s="21"/>
      <c r="L118" s="21"/>
      <c r="M118" s="21"/>
      <c r="N118" s="21"/>
      <c r="O118" s="21"/>
      <c r="P118" s="21"/>
      <c r="Q118" s="21"/>
    </row>
    <row r="119" spans="1:18" ht="17">
      <c r="A119" s="34" t="s">
        <v>258</v>
      </c>
      <c r="B119" s="47"/>
      <c r="C119" s="47"/>
      <c r="D119" s="47"/>
      <c r="E119" s="47"/>
      <c r="F119" s="21">
        <f>IF(F99=4,Assumptions!$B$22,IF(F99=3,Assumptions!$C$22,IF(F99=2,Assumptions!$D$22,IF(F99=1,Assumptions!$E$22,"..."))))</f>
        <v>30</v>
      </c>
      <c r="G119" s="21">
        <f>IF(G99=4,Assumptions!$B$22,IF(G99=3,Assumptions!$C$22,IF(G99=2,Assumptions!$D$22,IF(G99=1,Assumptions!$E$22,"..."))))</f>
        <v>30</v>
      </c>
      <c r="H119" s="21">
        <f>IF(H99=4,Assumptions!$B$22,IF(H99=3,Assumptions!$C$22,IF(H99=2,Assumptions!$D$22,IF(H99=1,Assumptions!$E$22,"..."))))</f>
        <v>30</v>
      </c>
      <c r="I119" s="21">
        <f>IF(I99=4,Assumptions!$B$22,IF(I99=3,Assumptions!$C$22,IF(I99=2,Assumptions!$D$22,IF(I99=1,Assumptions!$E$22,"..."))))</f>
        <v>30</v>
      </c>
      <c r="J119" s="21">
        <f>IF(J99=4,Assumptions!$B$22,IF(J99=3,Assumptions!$C$22,IF(J99=2,Assumptions!$D$22,IF(J99=1,Assumptions!$E$22,"..."))))</f>
        <v>30</v>
      </c>
      <c r="K119" s="21">
        <f>IF(K99=4,Assumptions!$B$22,IF(K99=3,Assumptions!$C$22,IF(K99=2,Assumptions!$D$22,IF(K99=1,Assumptions!$E$22,"..."))))</f>
        <v>30</v>
      </c>
      <c r="L119" s="21">
        <f>IF(L99=4,Assumptions!$B$22,IF(L99=3,Assumptions!$C$22,IF(L99=2,Assumptions!$D$22,IF(L99=1,Assumptions!$E$22,"..."))))</f>
        <v>30</v>
      </c>
      <c r="M119" s="21">
        <f>IF(M99=4,Assumptions!$B$22,IF(M99=3,Assumptions!$C$22,IF(M99=2,Assumptions!$D$22,IF(M99=1,Assumptions!$E$22,"..."))))</f>
        <v>30</v>
      </c>
      <c r="N119" s="21">
        <f>IF(N99=4,Assumptions!$B$22,IF(N99=3,Assumptions!$C$22,IF(N99=2,Assumptions!$D$22,IF(N99=1,Assumptions!$E$22,"..."))))</f>
        <v>5</v>
      </c>
      <c r="O119" s="21">
        <f>IF(O99=4,Assumptions!$B$22,IF(O99=3,Assumptions!$C$22,IF(O99=2,Assumptions!$D$22,IF(O99=1,Assumptions!$E$22,"..."))))</f>
        <v>30</v>
      </c>
      <c r="P119" s="21">
        <f>IF(P99=4,Assumptions!$B$22,IF(P99=3,Assumptions!$C$22,IF(P99=2,Assumptions!$D$22,IF(P99=1,Assumptions!$E$22,"..."))))</f>
        <v>1</v>
      </c>
      <c r="Q119" s="21">
        <f>IF(Q99=4,Assumptions!$B$22,IF(Q99=3,Assumptions!$C$22,IF(Q99=2,Assumptions!$D$22,IF(Q99=1,Assumptions!$E$22,"..."))))</f>
        <v>1</v>
      </c>
    </row>
    <row r="120" spans="1:18" ht="17">
      <c r="A120" s="34" t="s">
        <v>261</v>
      </c>
      <c r="B120" s="47"/>
      <c r="C120" s="47"/>
      <c r="D120" s="47"/>
      <c r="E120" s="47"/>
      <c r="F120" s="21">
        <f>IF(F100=4,Assumptions!$B$22,IF(F100=3,Assumptions!$C$22,IF(F100=2,Assumptions!$D$22,IF(F100=1,Assumptions!$E$22,"..."))))</f>
        <v>30</v>
      </c>
      <c r="G120" s="21">
        <f>IF(G100=4,Assumptions!$B$22,IF(G100=3,Assumptions!$C$22,IF(G100=2,Assumptions!$D$22,IF(G100=1,Assumptions!$E$22,"..."))))</f>
        <v>30</v>
      </c>
      <c r="H120" s="21">
        <f>IF(H100=4,Assumptions!$B$22,IF(H100=3,Assumptions!$C$22,IF(H100=2,Assumptions!$D$22,IF(H100=1,Assumptions!$E$22,"..."))))</f>
        <v>30</v>
      </c>
      <c r="I120" s="21">
        <f>IF(I100=4,Assumptions!$B$22,IF(I100=3,Assumptions!$C$22,IF(I100=2,Assumptions!$D$22,IF(I100=1,Assumptions!$E$22,"..."))))</f>
        <v>30</v>
      </c>
      <c r="J120" s="21">
        <f>IF(J100=4,Assumptions!$B$22,IF(J100=3,Assumptions!$C$22,IF(J100=2,Assumptions!$D$22,IF(J100=1,Assumptions!$E$22,"..."))))</f>
        <v>30</v>
      </c>
      <c r="K120" s="21">
        <f>IF(K100=4,Assumptions!$B$22,IF(K100=3,Assumptions!$C$22,IF(K100=2,Assumptions!$D$22,IF(K100=1,Assumptions!$E$22,"..."))))</f>
        <v>30</v>
      </c>
      <c r="L120" s="21">
        <f>IF(L100=4,Assumptions!$B$22,IF(L100=3,Assumptions!$C$22,IF(L100=2,Assumptions!$D$22,IF(L100=1,Assumptions!$E$22,"..."))))</f>
        <v>30</v>
      </c>
      <c r="M120" s="21">
        <f>IF(M100=4,Assumptions!$B$22,IF(M100=3,Assumptions!$C$22,IF(M100=2,Assumptions!$D$22,IF(M100=1,Assumptions!$E$22,"..."))))</f>
        <v>30</v>
      </c>
      <c r="N120" s="21">
        <f>IF(N100=4,Assumptions!$B$22,IF(N100=3,Assumptions!$C$22,IF(N100=2,Assumptions!$D$22,IF(N100=1,Assumptions!$E$22,"..."))))</f>
        <v>30</v>
      </c>
      <c r="O120" s="21">
        <f>IF(O100=4,Assumptions!$B$22,IF(O100=3,Assumptions!$C$22,IF(O100=2,Assumptions!$D$22,IF(O100=1,Assumptions!$E$22,"..."))))</f>
        <v>30</v>
      </c>
      <c r="P120" s="21">
        <f>IF(P100=4,Assumptions!$B$22,IF(P100=3,Assumptions!$C$22,IF(P100=2,Assumptions!$D$22,IF(P100=1,Assumptions!$E$22,"..."))))</f>
        <v>0.1</v>
      </c>
      <c r="Q120" s="21" t="e">
        <f>IF(Q100=4,Assumptions!$B$22,IF(Q100=3,Assumptions!$C$22,IF(Q100=2,Assumptions!$D$22,IF(Q100=1,Assumptions!$E$22,"..."))))</f>
        <v>#DIV/0!</v>
      </c>
    </row>
    <row r="121" spans="1:18">
      <c r="A121" s="44" t="s">
        <v>77</v>
      </c>
      <c r="B121" s="47"/>
      <c r="C121" s="47"/>
      <c r="D121" s="47"/>
      <c r="E121" s="47"/>
      <c r="F121" s="21"/>
      <c r="G121" s="21"/>
      <c r="H121" s="21"/>
      <c r="I121" s="21"/>
      <c r="J121" s="21"/>
      <c r="K121" s="21"/>
      <c r="L121" s="21"/>
      <c r="M121" s="21"/>
      <c r="N121" s="21"/>
      <c r="O121" s="21"/>
      <c r="P121" s="21"/>
      <c r="Q121" s="21"/>
    </row>
    <row r="122" spans="1:18" ht="17">
      <c r="A122" s="34" t="s">
        <v>126</v>
      </c>
      <c r="B122" s="47"/>
      <c r="C122" s="47"/>
      <c r="D122" s="47"/>
      <c r="E122" s="47"/>
      <c r="F122" s="21">
        <f>IF(F102=4,Assumptions!$B$22,IF(F102=3,Assumptions!$C$22,IF(F102=2,Assumptions!$D$22,IF(F102=1,Assumptions!$E$22,"..."))))</f>
        <v>1</v>
      </c>
      <c r="G122" s="21">
        <f>IF(G102=4,Assumptions!$B$22,IF(G102=3,Assumptions!$C$22,IF(G102=2,Assumptions!$D$22,IF(G102=1,Assumptions!$E$22,"..."))))</f>
        <v>0.1</v>
      </c>
      <c r="H122" s="21">
        <f>IF(H102=4,Assumptions!$B$22,IF(H102=3,Assumptions!$C$22,IF(H102=2,Assumptions!$D$22,IF(H102=1,Assumptions!$E$22,"..."))))</f>
        <v>30</v>
      </c>
      <c r="I122" s="21">
        <f>IF(I102=4,Assumptions!$B$22,IF(I102=3,Assumptions!$C$22,IF(I102=2,Assumptions!$D$22,IF(I102=1,Assumptions!$E$22,"..."))))</f>
        <v>0.1</v>
      </c>
      <c r="J122" s="21">
        <f>IF(J102=4,Assumptions!$B$22,IF(J102=3,Assumptions!$C$22,IF(J102=2,Assumptions!$D$22,IF(J102=1,Assumptions!$E$22,"..."))))</f>
        <v>30</v>
      </c>
      <c r="K122" s="21">
        <f>IF(K102=4,Assumptions!$B$22,IF(K102=3,Assumptions!$C$22,IF(K102=2,Assumptions!$D$22,IF(K102=1,Assumptions!$E$22,"..."))))</f>
        <v>0.1</v>
      </c>
      <c r="L122" s="21">
        <f>IF(L102=4,Assumptions!$B$22,IF(L102=3,Assumptions!$C$22,IF(L102=2,Assumptions!$D$22,IF(L102=1,Assumptions!$E$22,"..."))))</f>
        <v>1</v>
      </c>
      <c r="M122" s="21">
        <f>IF(M102=4,Assumptions!$B$22,IF(M102=3,Assumptions!$C$22,IF(M102=2,Assumptions!$D$22,IF(M102=1,Assumptions!$E$22,"..."))))</f>
        <v>0.1</v>
      </c>
      <c r="N122" s="21">
        <f>IF(N102=4,Assumptions!$B$22,IF(N102=3,Assumptions!$C$22,IF(N102=2,Assumptions!$D$22,IF(N102=1,Assumptions!$E$22,"..."))))</f>
        <v>1</v>
      </c>
      <c r="O122" s="21">
        <f>IF(O102=4,Assumptions!$B$22,IF(O102=3,Assumptions!$C$22,IF(O102=2,Assumptions!$D$22,IF(O102=1,Assumptions!$E$22,"..."))))</f>
        <v>0.1</v>
      </c>
      <c r="P122" s="21">
        <f>IF(P102=4,Assumptions!$B$22,IF(P102=3,Assumptions!$C$22,IF(P102=2,Assumptions!$D$22,IF(P102=1,Assumptions!$E$22,"..."))))</f>
        <v>30</v>
      </c>
      <c r="Q122" s="21">
        <f>IF(Q102=4,Assumptions!$B$22,IF(Q102=3,Assumptions!$C$22,IF(Q102=2,Assumptions!$D$22,IF(Q102=1,Assumptions!$E$22,"..."))))</f>
        <v>30</v>
      </c>
    </row>
    <row r="123" spans="1:18">
      <c r="A123" s="86"/>
      <c r="B123" s="87"/>
      <c r="C123" s="88"/>
      <c r="D123" s="88"/>
      <c r="E123" s="88"/>
      <c r="F123" s="88"/>
      <c r="G123" s="89"/>
      <c r="H123" s="89"/>
      <c r="I123" s="89"/>
      <c r="J123" s="89"/>
      <c r="K123" s="89"/>
      <c r="L123" s="89"/>
      <c r="M123" s="89"/>
      <c r="N123" s="89"/>
      <c r="O123" s="89"/>
      <c r="P123" s="89"/>
      <c r="Q123" s="89"/>
      <c r="R123" s="19"/>
    </row>
    <row r="124" spans="1:18">
      <c r="A124" s="22"/>
      <c r="B124" s="80"/>
      <c r="C124" s="23"/>
      <c r="D124" s="23"/>
      <c r="E124" s="23"/>
      <c r="F124" s="23"/>
      <c r="G124" s="19"/>
      <c r="H124" s="19"/>
      <c r="I124" s="19"/>
      <c r="J124" s="19"/>
      <c r="K124" s="19"/>
      <c r="L124" s="19"/>
      <c r="M124" s="19"/>
      <c r="N124" s="19"/>
      <c r="O124" s="19"/>
      <c r="P124" s="19"/>
      <c r="Q124" s="19"/>
      <c r="R124" s="19"/>
    </row>
    <row r="125" spans="1:18" hidden="1"/>
  </sheetData>
  <phoneticPr fontId="3" type="noConversion"/>
  <pageMargins left="0.75" right="0.75" top="1" bottom="1" header="0.5" footer="0.5"/>
  <pageSetup scale="44" orientation="landscape"/>
  <headerFooter alignWithMargins="0"/>
  <rowBreaks count="1" manualBreakCount="1">
    <brk id="63" max="16383" man="1"/>
  </rowBreaks>
  <colBreaks count="1" manualBreakCount="1">
    <brk id="17" max="118" man="1"/>
  </colBreaks>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228A-F677-6449-B5B2-F2671AA994D6}">
  <dimension ref="A1:J129"/>
  <sheetViews>
    <sheetView workbookViewId="0">
      <selection activeCell="B8" sqref="B8"/>
    </sheetView>
  </sheetViews>
  <sheetFormatPr baseColWidth="10" defaultRowHeight="13"/>
  <cols>
    <col min="2" max="2" width="25.796875" customWidth="1"/>
    <col min="3" max="3" width="17.59765625" customWidth="1"/>
    <col min="6" max="6" width="30.59765625" customWidth="1"/>
    <col min="7" max="7" width="60" customWidth="1"/>
    <col min="10" max="10" width="90.59765625" customWidth="1"/>
    <col min="12" max="12" width="28.19921875" customWidth="1"/>
  </cols>
  <sheetData>
    <row r="1" spans="1:10" ht="70">
      <c r="F1" s="121" t="s">
        <v>612</v>
      </c>
      <c r="G1" s="122" t="s">
        <v>613</v>
      </c>
      <c r="J1" s="125" t="s">
        <v>620</v>
      </c>
    </row>
    <row r="2" spans="1:10">
      <c r="A2" s="119" t="s">
        <v>622</v>
      </c>
      <c r="F2" s="121" t="s">
        <v>614</v>
      </c>
      <c r="G2" s="123" t="s">
        <v>618</v>
      </c>
      <c r="J2" t="str">
        <f>_xlfn.CONCAT(J1,xInput_Bank,xCall!J3)</f>
        <v>{
"request_data":{
"inputs":{
"Bank": "
BankUnited Inc."}
},
"request_meta":{}
}</v>
      </c>
    </row>
    <row r="3" spans="1:10" ht="56">
      <c r="F3" s="121" t="s">
        <v>615</v>
      </c>
      <c r="G3" s="124" t="s">
        <v>619</v>
      </c>
      <c r="J3" s="125" t="s">
        <v>621</v>
      </c>
    </row>
    <row r="4" spans="1:10">
      <c r="F4" s="121" t="s">
        <v>616</v>
      </c>
      <c r="G4" t="str">
        <f>J2</f>
        <v>{
"request_data":{
"inputs":{
"Bank": "
BankUnited Inc."}
},
"request_meta":{}
}</v>
      </c>
      <c r="J4" s="119" t="s">
        <v>611</v>
      </c>
    </row>
    <row r="6" spans="1:10">
      <c r="F6" s="121" t="s">
        <v>617</v>
      </c>
    </row>
    <row r="7" spans="1:10">
      <c r="A7" s="119" t="s">
        <v>436</v>
      </c>
    </row>
    <row r="8" spans="1:10">
      <c r="A8" t="s">
        <v>438</v>
      </c>
      <c r="B8" t="str">
        <f>'Testing Dashboard'!C4</f>
        <v>BankUnited Inc.</v>
      </c>
    </row>
    <row r="10" spans="1:10">
      <c r="A10" s="119" t="s">
        <v>437</v>
      </c>
    </row>
    <row r="11" spans="1:10">
      <c r="B11" s="119" t="s">
        <v>364</v>
      </c>
      <c r="C11" s="119" t="s">
        <v>463</v>
      </c>
      <c r="E11" t="s">
        <v>628</v>
      </c>
    </row>
    <row r="12" spans="1:10">
      <c r="B12" t="str">
        <f>output!A3</f>
        <v>Ticker</v>
      </c>
      <c r="C12" t="str">
        <f>output!B3</f>
        <v>BKU</v>
      </c>
    </row>
    <row r="13" spans="1:10">
      <c r="B13" t="str">
        <f>output!A4</f>
        <v>Description</v>
      </c>
      <c r="C13" t="str">
        <f>output!B4</f>
        <v>no data</v>
      </c>
    </row>
    <row r="14" spans="1:10">
      <c r="B14" t="str">
        <f>output!A5</f>
        <v>Market Cap</v>
      </c>
      <c r="C14" t="str">
        <f>output!B5</f>
        <v>no data</v>
      </c>
    </row>
    <row r="15" spans="1:10">
      <c r="B15" t="str">
        <f>output!A6</f>
        <v>PE Ratio</v>
      </c>
      <c r="C15" t="str">
        <f>output!B6</f>
        <v>no data</v>
      </c>
    </row>
    <row r="16" spans="1:10">
      <c r="B16" t="str">
        <f>output!A7</f>
        <v>Table A1. Balance sheet and income statement data (simplified)</v>
      </c>
      <c r="C16" t="str">
        <f>output!B7</f>
        <v>no data</v>
      </c>
    </row>
    <row r="17" spans="2:3">
      <c r="B17" t="str">
        <f>output!A8</f>
        <v>Total assets</v>
      </c>
      <c r="C17">
        <f>output!B8</f>
        <v>37026712000</v>
      </c>
    </row>
    <row r="18" spans="2:3">
      <c r="B18" t="str">
        <f>output!A9</f>
        <v>Cash and T-bills</v>
      </c>
      <c r="C18">
        <f>output!B9</f>
        <v>572647000</v>
      </c>
    </row>
    <row r="19" spans="2:3">
      <c r="B19" t="str">
        <f>output!A10</f>
        <v>Long-term government bonds</v>
      </c>
      <c r="C19">
        <f>output!B10</f>
        <v>10666935000</v>
      </c>
    </row>
    <row r="20" spans="2:3">
      <c r="B20" t="str">
        <f>output!A11</f>
        <v>Total loans (net)</v>
      </c>
      <c r="C20">
        <f>output!B11</f>
        <v>17165191313.287918</v>
      </c>
    </row>
    <row r="21" spans="2:3">
      <c r="B21" t="str">
        <f>output!A12</f>
        <v>Other assets (net)</v>
      </c>
      <c r="C21">
        <f>output!B12</f>
        <v>8621938686.7120819</v>
      </c>
    </row>
    <row r="22" spans="2:3">
      <c r="B22" t="str">
        <f>output!A13</f>
        <v>Total liabilities</v>
      </c>
      <c r="C22">
        <f>output!B13</f>
        <v>34590731000</v>
      </c>
    </row>
    <row r="23" spans="2:3">
      <c r="B23" t="str">
        <f>output!A14</f>
        <v>Deposits</v>
      </c>
      <c r="C23">
        <f>output!B14</f>
        <v>34590731000</v>
      </c>
    </row>
    <row r="24" spans="2:3">
      <c r="B24" t="str">
        <f>output!A15</f>
        <v>Demand deposits</v>
      </c>
      <c r="C24">
        <f>output!B15</f>
        <v>0</v>
      </c>
    </row>
    <row r="25" spans="2:3">
      <c r="B25" t="str">
        <f>output!A16</f>
        <v>Domestic currency</v>
      </c>
      <c r="C25">
        <f>output!B16</f>
        <v>0</v>
      </c>
    </row>
    <row r="26" spans="2:3">
      <c r="B26" t="str">
        <f>output!A17</f>
        <v>Foreign currency</v>
      </c>
      <c r="C26">
        <f>output!B17</f>
        <v>0</v>
      </c>
    </row>
    <row r="27" spans="2:3">
      <c r="B27" t="str">
        <f>output!A18</f>
        <v>Term deposits</v>
      </c>
      <c r="C27">
        <f>output!B18</f>
        <v>34590731000</v>
      </c>
    </row>
    <row r="28" spans="2:3">
      <c r="B28" t="str">
        <f>output!A19</f>
        <v>Domestic currency</v>
      </c>
      <c r="C28">
        <f>output!B19</f>
        <v>13433100833.262314</v>
      </c>
    </row>
    <row r="29" spans="2:3">
      <c r="B29" t="str">
        <f>output!A20</f>
        <v>Foreign currency</v>
      </c>
      <c r="C29">
        <f>output!B20</f>
        <v>21157630166.737686</v>
      </c>
    </row>
    <row r="30" spans="2:3">
      <c r="B30" t="str">
        <f>output!A21</f>
        <v>Total capital (equity)</v>
      </c>
      <c r="C30">
        <f>output!B21</f>
        <v>757000</v>
      </c>
    </row>
    <row r="31" spans="2:3">
      <c r="B31" t="str">
        <f>output!A22</f>
        <v>Table A2 income statement</v>
      </c>
      <c r="C31" t="str">
        <f>output!B22</f>
        <v xml:space="preserve"> no data </v>
      </c>
    </row>
    <row r="32" spans="2:3">
      <c r="B32" t="str">
        <f>output!A23</f>
        <v>Net income ("after-tax profit")</v>
      </c>
      <c r="C32">
        <f>output!B23</f>
        <v>284971000</v>
      </c>
    </row>
    <row r="33" spans="2:3">
      <c r="B33" t="str">
        <f>output!A24</f>
        <v>Net operating income (+)</v>
      </c>
      <c r="C33">
        <f>output!B24</f>
        <v>711880000</v>
      </c>
    </row>
    <row r="34" spans="2:3">
      <c r="B34" t="str">
        <f>output!A25</f>
        <v>Net interest income (+)</v>
      </c>
      <c r="C34">
        <f>output!B25</f>
        <v>912960000</v>
      </c>
    </row>
    <row r="35" spans="2:3">
      <c r="B35" t="str">
        <f>output!A26</f>
        <v>Interest income (+)</v>
      </c>
      <c r="C35">
        <f>output!B26</f>
        <v>1230451000</v>
      </c>
    </row>
    <row r="36" spans="2:3">
      <c r="B36" t="str">
        <f>output!A27</f>
        <v>Interest expense (-)</v>
      </c>
      <c r="C36">
        <f>output!B27</f>
        <v>-317491000</v>
      </c>
    </row>
    <row r="37" spans="2:3">
      <c r="B37" t="str">
        <f>output!A28</f>
        <v>Noninterest income (+)</v>
      </c>
      <c r="C37">
        <f>output!B28</f>
        <v>278716000</v>
      </c>
    </row>
    <row r="38" spans="2:3">
      <c r="B38" t="str">
        <f>output!A29</f>
        <v>Provisions for loan losses (-)</v>
      </c>
      <c r="C38">
        <f>output!B29</f>
        <v>-214962806.05742273</v>
      </c>
    </row>
    <row r="39" spans="2:3">
      <c r="B39" t="str">
        <f>output!A30</f>
        <v>Noninterest expense (-)</v>
      </c>
      <c r="C39">
        <f>output!B30</f>
        <v>-264833193.94257727</v>
      </c>
    </row>
    <row r="40" spans="2:3">
      <c r="B40" t="str">
        <f>output!A31</f>
        <v>Securities gains/losses (+)</v>
      </c>
      <c r="C40">
        <f>output!B31</f>
        <v>-45142865.202052042</v>
      </c>
    </row>
    <row r="41" spans="2:3">
      <c r="B41" t="str">
        <f>output!A32</f>
        <v>Applicable income taxes (-)</v>
      </c>
      <c r="C41">
        <f>output!B32</f>
        <v>-375132000</v>
      </c>
    </row>
    <row r="42" spans="2:3">
      <c r="B42" t="str">
        <f>output!A33</f>
        <v>Extraordinary gains, net (+)</v>
      </c>
      <c r="C42">
        <f>output!B33</f>
        <v>-6634134.7979479432</v>
      </c>
    </row>
    <row r="43" spans="2:3">
      <c r="B43" t="str">
        <f>output!A34</f>
        <v>Table A2. Other input data</v>
      </c>
      <c r="C43" t="str">
        <f>output!B34</f>
        <v>no data</v>
      </c>
    </row>
    <row r="44" spans="2:3">
      <c r="B44" t="str">
        <f>output!A35</f>
        <v>Capital adequacy calculation</v>
      </c>
      <c r="C44" t="str">
        <f>output!B35</f>
        <v>no data</v>
      </c>
    </row>
    <row r="45" spans="2:3">
      <c r="B45" t="str">
        <f>output!A36</f>
        <v>Regulatory capital</v>
      </c>
      <c r="C45">
        <f>output!B36</f>
        <v>757000</v>
      </c>
    </row>
    <row r="46" spans="2:3">
      <c r="B46" t="str">
        <f>output!A37</f>
        <v>Risk weighted assets</v>
      </c>
      <c r="C46">
        <f>output!B37</f>
        <v>9775354684.6839905</v>
      </c>
    </row>
    <row r="47" spans="2:3">
      <c r="B47" t="str">
        <f>output!A38</f>
        <v>Credit risk data</v>
      </c>
      <c r="C47" t="str">
        <f>output!B38</f>
        <v>no data</v>
      </c>
    </row>
    <row r="48" spans="2:3">
      <c r="B48" t="str">
        <f>output!A39</f>
        <v>Performing loans</v>
      </c>
      <c r="C48">
        <f>output!B39</f>
        <v>6866076525.3151674</v>
      </c>
    </row>
    <row r="49" spans="2:3">
      <c r="B49" t="str">
        <f>output!A40</f>
        <v>Pass loans</v>
      </c>
      <c r="C49">
        <f>output!B40</f>
        <v>4806068968.4813957</v>
      </c>
    </row>
    <row r="50" spans="2:3">
      <c r="B50" t="str">
        <f>output!A41</f>
        <v>Special mention loans</v>
      </c>
      <c r="C50">
        <f>output!B41</f>
        <v>2060007556.8337717</v>
      </c>
    </row>
    <row r="51" spans="2:3">
      <c r="B51" t="str">
        <f>output!A42</f>
        <v>Non performing loans (NPLs), gross</v>
      </c>
      <c r="C51">
        <f>output!B42</f>
        <v>10299114787.972752</v>
      </c>
    </row>
    <row r="52" spans="2:3">
      <c r="B52" t="str">
        <f>output!A43</f>
        <v>Substandard loans</v>
      </c>
      <c r="C52">
        <f>output!B43</f>
        <v>5620978070.5180426</v>
      </c>
    </row>
    <row r="53" spans="2:3">
      <c r="B53" t="str">
        <f>output!A44</f>
        <v>Doubtful loans</v>
      </c>
      <c r="C53">
        <f>output!B44</f>
        <v>1006997173.4281197</v>
      </c>
    </row>
    <row r="54" spans="2:3">
      <c r="B54" t="str">
        <f>output!A45</f>
        <v>Loss loans</v>
      </c>
      <c r="C54">
        <f>output!B45</f>
        <v>3671139544.0265889</v>
      </c>
    </row>
    <row r="55" spans="2:3">
      <c r="B55" t="str">
        <f>output!A46</f>
        <v>Provisions held</v>
      </c>
      <c r="C55">
        <f>output!B46</f>
        <v>6219347275.332592</v>
      </c>
    </row>
    <row r="56" spans="2:3">
      <c r="B56" t="str">
        <f>output!A47</f>
        <v>Collateral reported against:</v>
      </c>
      <c r="C56" t="str">
        <f>output!B47</f>
        <v>no data</v>
      </c>
    </row>
    <row r="57" spans="2:3">
      <c r="B57" t="str">
        <f>output!A48</f>
        <v>Substandard loans</v>
      </c>
      <c r="C57">
        <f>output!B48</f>
        <v>1854920671.5137012</v>
      </c>
    </row>
    <row r="58" spans="2:3">
      <c r="B58" t="str">
        <f>output!A49</f>
        <v>Doubtful loans</v>
      </c>
      <c r="C58">
        <f>output!B49</f>
        <v>1009363024.0881892</v>
      </c>
    </row>
    <row r="59" spans="2:3">
      <c r="B59" t="str">
        <f>output!A50</f>
        <v>Loss loans</v>
      </c>
      <c r="C59">
        <f>output!B50</f>
        <v>5164288229.3468704</v>
      </c>
    </row>
    <row r="60" spans="2:3">
      <c r="B60" t="str">
        <f>output!A51</f>
        <v>spacer</v>
      </c>
      <c r="C60" t="str">
        <f>output!B51</f>
        <v>no data</v>
      </c>
    </row>
    <row r="61" spans="2:3">
      <c r="B61" t="str">
        <f>output!A52</f>
        <v>Sectoral structure of lending</v>
      </c>
      <c r="C61" t="str">
        <f>output!B52</f>
        <v>no data</v>
      </c>
    </row>
    <row r="62" spans="2:3">
      <c r="B62" t="str">
        <f>output!A53</f>
        <v>Total loans</v>
      </c>
      <c r="C62">
        <f>output!B53</f>
        <v>17165191313.287918</v>
      </c>
    </row>
    <row r="63" spans="2:3">
      <c r="B63" t="str">
        <f>output!A54</f>
        <v>Agriculture</v>
      </c>
      <c r="C63">
        <f>output!B54</f>
        <v>2019449530.6569796</v>
      </c>
    </row>
    <row r="64" spans="2:3">
      <c r="B64" t="str">
        <f>output!A55</f>
        <v>Manufacturing</v>
      </c>
      <c r="C64">
        <f>output!B55</f>
        <v>3100179232.7087846</v>
      </c>
    </row>
    <row r="65" spans="2:3">
      <c r="B65" t="str">
        <f>output!A56</f>
        <v>Construction</v>
      </c>
      <c r="C65">
        <f>output!B56</f>
        <v>1723042077.2883539</v>
      </c>
    </row>
    <row r="66" spans="2:3">
      <c r="B66" t="str">
        <f>output!A57</f>
        <v>Trade</v>
      </c>
      <c r="C66">
        <f>output!B57</f>
        <v>3920139086.3084545</v>
      </c>
    </row>
    <row r="67" spans="2:3">
      <c r="B67" t="str">
        <f>output!A58</f>
        <v>Tourism</v>
      </c>
      <c r="C67">
        <f>output!B58</f>
        <v>2080588572.6765447</v>
      </c>
    </row>
    <row r="68" spans="2:3">
      <c r="B68" t="str">
        <f>output!A59</f>
        <v>Non-bank financial institutions</v>
      </c>
      <c r="C68">
        <f>output!B59</f>
        <v>789658291.92112041</v>
      </c>
    </row>
    <row r="69" spans="2:3">
      <c r="B69" t="str">
        <f>output!A60</f>
        <v>Other</v>
      </c>
      <c r="C69">
        <f>output!B60</f>
        <v>3532134521.7276816</v>
      </c>
    </row>
    <row r="70" spans="2:3">
      <c r="B70" t="str">
        <f>output!A61</f>
        <v>Nonperforming loans</v>
      </c>
      <c r="C70">
        <f>output!B61</f>
        <v>10299114787.972752</v>
      </c>
    </row>
    <row r="71" spans="2:3">
      <c r="B71" t="str">
        <f>output!A62</f>
        <v>Agriculture</v>
      </c>
      <c r="C71">
        <f>output!B62</f>
        <v>1921072416.2819068</v>
      </c>
    </row>
    <row r="72" spans="2:3">
      <c r="B72" t="str">
        <f>output!A63</f>
        <v>Manufacturing</v>
      </c>
      <c r="C72">
        <f>output!B63</f>
        <v>2660443223.9488773</v>
      </c>
    </row>
    <row r="73" spans="2:3">
      <c r="B73" t="str">
        <f>output!A64</f>
        <v>Construction</v>
      </c>
      <c r="C73">
        <f>output!B64</f>
        <v>1290069294.3134227</v>
      </c>
    </row>
    <row r="74" spans="2:3">
      <c r="B74" t="str">
        <f>output!A65</f>
        <v>Trade</v>
      </c>
      <c r="C74">
        <f>output!B65</f>
        <v>2038366806.0232353</v>
      </c>
    </row>
    <row r="75" spans="2:3">
      <c r="B75" t="str">
        <f>output!A66</f>
        <v>Tourism</v>
      </c>
      <c r="C75">
        <f>output!B66</f>
        <v>371891970.56940234</v>
      </c>
    </row>
    <row r="76" spans="2:3">
      <c r="B76" t="str">
        <f>output!A67</f>
        <v>Non-bank financial institutions</v>
      </c>
      <c r="C76">
        <f>output!B67</f>
        <v>534649495.7592231</v>
      </c>
    </row>
    <row r="77" spans="2:3">
      <c r="B77" t="str">
        <f>output!A68</f>
        <v>Other</v>
      </c>
      <c r="C77">
        <f>output!B68</f>
        <v>1482621581.0766835</v>
      </c>
    </row>
    <row r="78" spans="2:3">
      <c r="B78" t="str">
        <f>output!A69</f>
        <v>spacer</v>
      </c>
      <c r="C78" t="str">
        <f>output!B69</f>
        <v>no data</v>
      </c>
    </row>
    <row r="79" spans="2:3">
      <c r="B79" t="str">
        <f>output!A70</f>
        <v>Largest exposures</v>
      </c>
      <c r="C79" t="str">
        <f>output!B70</f>
        <v>no data</v>
      </c>
    </row>
    <row r="80" spans="2:3">
      <c r="B80" t="str">
        <f>output!A71</f>
        <v>#1</v>
      </c>
      <c r="C80">
        <f>output!B71</f>
        <v>1673638283.2854481</v>
      </c>
    </row>
    <row r="81" spans="2:3">
      <c r="B81" t="str">
        <f>output!A72</f>
        <v>#2</v>
      </c>
      <c r="C81">
        <f>output!B72</f>
        <v>1285741603.0304303</v>
      </c>
    </row>
    <row r="82" spans="2:3">
      <c r="B82" t="str">
        <f>output!A73</f>
        <v>#3</v>
      </c>
      <c r="C82">
        <f>output!B73</f>
        <v>885614371.66367543</v>
      </c>
    </row>
    <row r="83" spans="2:3">
      <c r="B83" t="str">
        <f>output!A74</f>
        <v>#4</v>
      </c>
      <c r="C83">
        <f>output!B74</f>
        <v>651840186.52556896</v>
      </c>
    </row>
    <row r="84" spans="2:3">
      <c r="B84" t="str">
        <f>output!A75</f>
        <v>#5</v>
      </c>
      <c r="C84">
        <f>output!B75</f>
        <v>94378523.701140523</v>
      </c>
    </row>
    <row r="85" spans="2:3">
      <c r="B85" t="str">
        <f>output!A76</f>
        <v>Interest rate risk data</v>
      </c>
      <c r="C85">
        <f>output!B76</f>
        <v>0</v>
      </c>
    </row>
    <row r="86" spans="2:3">
      <c r="B86" t="str">
        <f>output!A77</f>
        <v>Total sensitive assets (by time to repricing)</v>
      </c>
      <c r="C86">
        <f>output!B77</f>
        <v>213938844220.71393</v>
      </c>
    </row>
    <row r="87" spans="2:3">
      <c r="B87" t="str">
        <f>output!A78</f>
        <v>&lt; 3 months</v>
      </c>
      <c r="C87">
        <f>output!B78</f>
        <v>105688112784.52228</v>
      </c>
    </row>
    <row r="88" spans="2:3">
      <c r="B88" t="str">
        <f>output!A79</f>
        <v>3-6 months</v>
      </c>
      <c r="C88">
        <f>output!B79</f>
        <v>80657825888.884476</v>
      </c>
    </row>
    <row r="89" spans="2:3">
      <c r="B89" t="str">
        <f>output!A80</f>
        <v>6-12 months</v>
      </c>
      <c r="C89">
        <f>output!B80</f>
        <v>27592905547.307178</v>
      </c>
    </row>
    <row r="90" spans="2:3">
      <c r="B90" t="str">
        <f>output!A81</f>
        <v>Total sensitive liabilities (by time to repricing)</v>
      </c>
      <c r="C90">
        <f>output!B81</f>
        <v>263936594160.4422</v>
      </c>
    </row>
    <row r="91" spans="2:3">
      <c r="B91" t="str">
        <f>output!A82</f>
        <v>&lt; 3 months</v>
      </c>
      <c r="C91">
        <f>output!B82</f>
        <v>97925424617.045609</v>
      </c>
    </row>
    <row r="92" spans="2:3">
      <c r="B92" t="str">
        <f>output!A83</f>
        <v>3-6 months</v>
      </c>
      <c r="C92">
        <f>output!B83</f>
        <v>76794786158.968765</v>
      </c>
    </row>
    <row r="93" spans="2:3">
      <c r="B93" t="str">
        <f>output!A84</f>
        <v>6-12 months</v>
      </c>
      <c r="C93">
        <f>output!B84</f>
        <v>89216383384.427826</v>
      </c>
    </row>
    <row r="94" spans="2:3">
      <c r="B94" t="str">
        <f>output!A85</f>
        <v>Structure of the bond portfolio</v>
      </c>
      <c r="C94" t="str">
        <f>output!B85</f>
        <v>no data</v>
      </c>
    </row>
    <row r="95" spans="2:3">
      <c r="B95" t="str">
        <f>output!A86</f>
        <v>Long-term government bonds</v>
      </c>
      <c r="C95">
        <f>output!B86</f>
        <v>10666935000</v>
      </c>
    </row>
    <row r="96" spans="2:3">
      <c r="B96" t="str">
        <f>output!A87</f>
        <v>Bond 1</v>
      </c>
      <c r="C96">
        <f>output!B87</f>
        <v>10131079138.290195</v>
      </c>
    </row>
    <row r="97" spans="2:3">
      <c r="B97" t="str">
        <f>output!A88</f>
        <v>Bond 2</v>
      </c>
      <c r="C97">
        <f>output!B88</f>
        <v>535855861.70980453</v>
      </c>
    </row>
    <row r="98" spans="2:3">
      <c r="B98" t="str">
        <f>output!A89</f>
        <v>Average duration of bonds held</v>
      </c>
      <c r="C98">
        <f>output!B89</f>
        <v>2.9148288612587407</v>
      </c>
    </row>
    <row r="99" spans="2:3">
      <c r="B99" t="str">
        <f>output!A90</f>
        <v>Liquid assets</v>
      </c>
      <c r="C99">
        <f>output!B90</f>
        <v>11239582000</v>
      </c>
    </row>
    <row r="100" spans="2:3">
      <c r="B100" t="str">
        <f>output!A91</f>
        <v>Short-term liabilities</v>
      </c>
      <c r="C100">
        <f>output!B91</f>
        <v>0</v>
      </c>
    </row>
    <row r="101" spans="2:3">
      <c r="B101" t="str">
        <f>output!A92</f>
        <v>o/w demand deposits</v>
      </c>
      <c r="C101">
        <f>output!B92</f>
        <v>0</v>
      </c>
    </row>
    <row r="102" spans="2:3">
      <c r="B102" t="str">
        <f>output!A93</f>
        <v>other</v>
      </c>
      <c r="C102">
        <f>output!B93</f>
        <v>0</v>
      </c>
    </row>
    <row r="103" spans="2:3">
      <c r="B103" t="str">
        <f>output!A94</f>
        <v>spacer</v>
      </c>
      <c r="C103" t="str">
        <f>output!B94</f>
        <v>no data</v>
      </c>
    </row>
    <row r="104" spans="2:3">
      <c r="B104" t="str">
        <f>output!A95</f>
        <v>Exchange rate risk data</v>
      </c>
      <c r="C104">
        <f>output!B95</f>
        <v>0</v>
      </c>
    </row>
    <row r="105" spans="2:3">
      <c r="B105" t="str">
        <f>output!A96</f>
        <v>Net open position</v>
      </c>
      <c r="C105">
        <f>output!B96</f>
        <v>275841000.92135334</v>
      </c>
    </row>
    <row r="106" spans="2:3">
      <c r="B106" t="str">
        <f>output!A97</f>
        <v>Net US$ position</v>
      </c>
      <c r="C106">
        <f>output!B97</f>
        <v>30578494.620128077</v>
      </c>
    </row>
    <row r="107" spans="2:3">
      <c r="B107" t="str">
        <f>output!A98</f>
        <v>Net euro position</v>
      </c>
      <c r="C107">
        <f>output!B98</f>
        <v>12921326.214176347</v>
      </c>
    </row>
    <row r="108" spans="2:3">
      <c r="B108" t="str">
        <f>output!A99</f>
        <v>Net GBP position</v>
      </c>
      <c r="C108">
        <f>output!B99</f>
        <v>186696107.99207431</v>
      </c>
    </row>
    <row r="109" spans="2:3">
      <c r="B109" t="str">
        <f>output!A100</f>
        <v>Net positions in other curr.</v>
      </c>
      <c r="C109">
        <f>output!B100</f>
        <v>45645072.094974615</v>
      </c>
    </row>
    <row r="110" spans="2:3">
      <c r="B110" t="str">
        <f>output!A101</f>
        <v>FX loans</v>
      </c>
      <c r="C110">
        <f>output!B101</f>
        <v>13342809911.245504</v>
      </c>
    </row>
    <row r="111" spans="2:3">
      <c r="B111" t="str">
        <f>output!A102</f>
        <v>spacer</v>
      </c>
      <c r="C111" t="str">
        <f>output!B102</f>
        <v>no data</v>
      </c>
    </row>
    <row r="112" spans="2:3">
      <c r="B112" t="str">
        <f>output!A103</f>
        <v xml:space="preserve">Profits and ROAs over time </v>
      </c>
      <c r="C112">
        <f>output!B103</f>
        <v>0</v>
      </c>
    </row>
    <row r="113" spans="2:3">
      <c r="B113" t="str">
        <f>output!A104</f>
        <v>Profit (1996-2005 average)</v>
      </c>
      <c r="C113">
        <f>output!B104</f>
        <v>261496651.2326892</v>
      </c>
    </row>
    <row r="114" spans="2:3">
      <c r="B114" t="str">
        <f>output!A105</f>
        <v>Profit (1996-2005 st. dev.)</v>
      </c>
      <c r="C114">
        <f>output!B105</f>
        <v>13893892.530704176</v>
      </c>
    </row>
    <row r="115" spans="2:3">
      <c r="B115" t="str">
        <f>output!A106</f>
        <v>St. dev of ROA (1996-2005)</v>
      </c>
      <c r="C115">
        <f>output!B106</f>
        <v>2.5124788126169424</v>
      </c>
    </row>
    <row r="116" spans="2:3">
      <c r="B116" t="str">
        <f>output!A107</f>
        <v>spacer</v>
      </c>
      <c r="C116" t="str">
        <f>output!B107</f>
        <v>no data</v>
      </c>
    </row>
    <row r="117" spans="2:3">
      <c r="B117" t="str">
        <f>output!A108</f>
        <v>Interbank credit data (credit of bank in the row to the bank in the column)</v>
      </c>
      <c r="C117" t="str">
        <f>output!B108</f>
        <v>no data</v>
      </c>
    </row>
    <row r="118" spans="2:3">
      <c r="B118" t="str">
        <f>output!A109</f>
        <v>SB1</v>
      </c>
      <c r="C118">
        <f>output!B109</f>
        <v>559739327.58210564</v>
      </c>
    </row>
    <row r="119" spans="2:3">
      <c r="B119" t="str">
        <f>output!A110</f>
        <v>SB2</v>
      </c>
      <c r="C119">
        <f>output!B110</f>
        <v>0</v>
      </c>
    </row>
    <row r="120" spans="2:3">
      <c r="B120" t="str">
        <f>output!A111</f>
        <v>SB3</v>
      </c>
      <c r="C120">
        <f>output!B111</f>
        <v>0</v>
      </c>
    </row>
    <row r="121" spans="2:3">
      <c r="B121" t="str">
        <f>output!A112</f>
        <v>DB1</v>
      </c>
      <c r="C121">
        <f>output!B112</f>
        <v>0</v>
      </c>
    </row>
    <row r="122" spans="2:3">
      <c r="B122" t="str">
        <f>output!A113</f>
        <v>DB2</v>
      </c>
      <c r="C122">
        <f>output!B113</f>
        <v>0</v>
      </c>
    </row>
    <row r="123" spans="2:3">
      <c r="B123" t="str">
        <f>output!A114</f>
        <v>DB3</v>
      </c>
      <c r="C123">
        <f>output!B114</f>
        <v>1006625879.6935198</v>
      </c>
    </row>
    <row r="124" spans="2:3">
      <c r="B124" t="str">
        <f>output!A115</f>
        <v>DB4</v>
      </c>
      <c r="C124">
        <f>output!B115</f>
        <v>635822061.28053582</v>
      </c>
    </row>
    <row r="125" spans="2:3">
      <c r="B125" t="str">
        <f>output!A116</f>
        <v>DB5</v>
      </c>
      <c r="C125">
        <f>output!B116</f>
        <v>0</v>
      </c>
    </row>
    <row r="126" spans="2:3">
      <c r="B126" t="str">
        <f>output!A117</f>
        <v>FB1</v>
      </c>
      <c r="C126">
        <f>output!B117</f>
        <v>0</v>
      </c>
    </row>
    <row r="127" spans="2:3">
      <c r="B127" t="str">
        <f>output!A118</f>
        <v>FB2</v>
      </c>
      <c r="C127">
        <f>output!B118</f>
        <v>963449861.15655899</v>
      </c>
    </row>
    <row r="128" spans="2:3">
      <c r="B128" t="str">
        <f>output!A119</f>
        <v>FB3</v>
      </c>
      <c r="C128">
        <f>output!B119</f>
        <v>530264196.35802585</v>
      </c>
    </row>
    <row r="129" spans="2:3">
      <c r="B129" t="str">
        <f>output!A120</f>
        <v>FB4</v>
      </c>
      <c r="C129">
        <f>output!B120</f>
        <v>658310332.01025736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6DC6-C43E-D142-A1DC-964CFD86106E}">
  <dimension ref="A1:C90"/>
  <sheetViews>
    <sheetView topLeftCell="A43" workbookViewId="0">
      <selection activeCell="B25" sqref="B25"/>
    </sheetView>
  </sheetViews>
  <sheetFormatPr baseColWidth="10" defaultRowHeight="13"/>
  <cols>
    <col min="2" max="2" width="67.796875" customWidth="1"/>
  </cols>
  <sheetData>
    <row r="1" spans="1:3" ht="20">
      <c r="A1" s="115">
        <v>1</v>
      </c>
      <c r="B1" s="115" t="s">
        <v>510</v>
      </c>
      <c r="C1" s="116" t="s">
        <v>511</v>
      </c>
    </row>
    <row r="2" spans="1:3" ht="20">
      <c r="A2" s="115">
        <v>2</v>
      </c>
      <c r="B2" s="115" t="s">
        <v>512</v>
      </c>
      <c r="C2" s="116" t="s">
        <v>513</v>
      </c>
    </row>
    <row r="3" spans="1:3" ht="20">
      <c r="A3" s="115">
        <v>4</v>
      </c>
      <c r="B3" s="115" t="s">
        <v>514</v>
      </c>
      <c r="C3" s="116" t="s">
        <v>515</v>
      </c>
    </row>
    <row r="4" spans="1:3" ht="20">
      <c r="A4" s="115">
        <v>5</v>
      </c>
      <c r="B4" s="115" t="s">
        <v>516</v>
      </c>
      <c r="C4" s="116" t="s">
        <v>517</v>
      </c>
    </row>
    <row r="5" spans="1:3" ht="20">
      <c r="A5" s="115">
        <v>6</v>
      </c>
      <c r="B5" s="115" t="s">
        <v>518</v>
      </c>
      <c r="C5" s="116" t="s">
        <v>519</v>
      </c>
    </row>
    <row r="6" spans="1:3" ht="20">
      <c r="A6" s="115">
        <v>7</v>
      </c>
      <c r="B6" s="115" t="s">
        <v>520</v>
      </c>
      <c r="C6" s="116" t="s">
        <v>521</v>
      </c>
    </row>
    <row r="7" spans="1:3" ht="20">
      <c r="A7" s="115">
        <v>8</v>
      </c>
      <c r="B7" s="115" t="s">
        <v>522</v>
      </c>
      <c r="C7" s="116" t="s">
        <v>523</v>
      </c>
    </row>
    <row r="8" spans="1:3" ht="20">
      <c r="A8" s="115">
        <v>9</v>
      </c>
      <c r="B8" s="115" t="s">
        <v>524</v>
      </c>
      <c r="C8" s="116" t="s">
        <v>525</v>
      </c>
    </row>
    <row r="9" spans="1:3" ht="20">
      <c r="A9" s="115">
        <v>10</v>
      </c>
      <c r="B9" s="115" t="s">
        <v>526</v>
      </c>
      <c r="C9" s="116" t="s">
        <v>527</v>
      </c>
    </row>
    <row r="10" spans="1:3" ht="20">
      <c r="A10" s="115">
        <v>11</v>
      </c>
      <c r="B10" s="115" t="s">
        <v>528</v>
      </c>
      <c r="C10" s="116" t="s">
        <v>529</v>
      </c>
    </row>
    <row r="11" spans="1:3" ht="20">
      <c r="A11" s="115">
        <v>12</v>
      </c>
      <c r="B11" s="115" t="s">
        <v>530</v>
      </c>
      <c r="C11" s="116" t="s">
        <v>531</v>
      </c>
    </row>
    <row r="12" spans="1:3" ht="20">
      <c r="A12" s="115">
        <v>13</v>
      </c>
      <c r="B12" s="115" t="s">
        <v>532</v>
      </c>
      <c r="C12" s="116" t="s">
        <v>533</v>
      </c>
    </row>
    <row r="13" spans="1:3" ht="20">
      <c r="A13" s="115">
        <v>14</v>
      </c>
      <c r="B13" s="115" t="s">
        <v>534</v>
      </c>
      <c r="C13" s="116" t="s">
        <v>535</v>
      </c>
    </row>
    <row r="14" spans="1:3" ht="20">
      <c r="A14" s="115">
        <v>15</v>
      </c>
      <c r="B14" s="115" t="s">
        <v>536</v>
      </c>
      <c r="C14" s="116" t="s">
        <v>537</v>
      </c>
    </row>
    <row r="15" spans="1:3" ht="20">
      <c r="A15" s="115">
        <v>16</v>
      </c>
      <c r="B15" s="115" t="s">
        <v>538</v>
      </c>
      <c r="C15" s="116" t="s">
        <v>539</v>
      </c>
    </row>
    <row r="16" spans="1:3" ht="20">
      <c r="A16" s="115">
        <v>17</v>
      </c>
      <c r="B16" s="115" t="s">
        <v>540</v>
      </c>
      <c r="C16" s="116" t="s">
        <v>541</v>
      </c>
    </row>
    <row r="17" spans="1:3" ht="20">
      <c r="A17" s="115">
        <v>18</v>
      </c>
      <c r="B17" s="115" t="s">
        <v>542</v>
      </c>
      <c r="C17" s="116" t="s">
        <v>543</v>
      </c>
    </row>
    <row r="18" spans="1:3" ht="20">
      <c r="A18" s="115">
        <v>19</v>
      </c>
      <c r="B18" s="115" t="s">
        <v>544</v>
      </c>
      <c r="C18" s="116" t="s">
        <v>545</v>
      </c>
    </row>
    <row r="19" spans="1:3" ht="20">
      <c r="A19" s="115">
        <v>20</v>
      </c>
      <c r="B19" s="115" t="s">
        <v>546</v>
      </c>
      <c r="C19" s="116" t="s">
        <v>547</v>
      </c>
    </row>
    <row r="20" spans="1:3" ht="20">
      <c r="A20" s="115">
        <v>21</v>
      </c>
      <c r="B20" s="115" t="s">
        <v>548</v>
      </c>
      <c r="C20" s="116" t="s">
        <v>549</v>
      </c>
    </row>
    <row r="21" spans="1:3" ht="20">
      <c r="A21" s="115">
        <v>22</v>
      </c>
      <c r="B21" s="115" t="s">
        <v>550</v>
      </c>
      <c r="C21" s="116" t="s">
        <v>551</v>
      </c>
    </row>
    <row r="22" spans="1:3" ht="20">
      <c r="A22" s="115">
        <v>23</v>
      </c>
      <c r="B22" s="115" t="s">
        <v>552</v>
      </c>
      <c r="C22" s="116" t="s">
        <v>553</v>
      </c>
    </row>
    <row r="23" spans="1:3" ht="20">
      <c r="A23" s="115">
        <v>24</v>
      </c>
      <c r="B23" s="115" t="s">
        <v>554</v>
      </c>
      <c r="C23" s="116" t="s">
        <v>555</v>
      </c>
    </row>
    <row r="24" spans="1:3" ht="20">
      <c r="A24" s="115">
        <v>25</v>
      </c>
      <c r="B24" s="115" t="s">
        <v>556</v>
      </c>
      <c r="C24" s="116" t="s">
        <v>557</v>
      </c>
    </row>
    <row r="25" spans="1:3" ht="20">
      <c r="A25" s="115">
        <v>26</v>
      </c>
      <c r="B25" s="115" t="s">
        <v>558</v>
      </c>
      <c r="C25" s="116" t="s">
        <v>559</v>
      </c>
    </row>
    <row r="26" spans="1:3" ht="20">
      <c r="A26" s="115">
        <v>27</v>
      </c>
      <c r="B26" s="115" t="s">
        <v>560</v>
      </c>
      <c r="C26" s="116" t="s">
        <v>561</v>
      </c>
    </row>
    <row r="27" spans="1:3" ht="20">
      <c r="A27" s="115">
        <v>28</v>
      </c>
      <c r="B27" s="115" t="s">
        <v>562</v>
      </c>
      <c r="C27" s="116" t="s">
        <v>563</v>
      </c>
    </row>
    <row r="28" spans="1:3" ht="20">
      <c r="A28" s="115">
        <v>29</v>
      </c>
      <c r="B28" s="115" t="s">
        <v>564</v>
      </c>
      <c r="C28" s="116" t="s">
        <v>565</v>
      </c>
    </row>
    <row r="29" spans="1:3" ht="20">
      <c r="A29" s="115">
        <v>30</v>
      </c>
      <c r="B29" s="115" t="s">
        <v>566</v>
      </c>
      <c r="C29" s="116" t="s">
        <v>567</v>
      </c>
    </row>
    <row r="30" spans="1:3" ht="20">
      <c r="A30" s="115">
        <v>31</v>
      </c>
      <c r="B30" s="115" t="s">
        <v>568</v>
      </c>
      <c r="C30" s="116" t="s">
        <v>569</v>
      </c>
    </row>
    <row r="31" spans="1:3" ht="20">
      <c r="A31" s="115">
        <v>32</v>
      </c>
      <c r="B31" s="115" t="s">
        <v>570</v>
      </c>
      <c r="C31" s="116" t="s">
        <v>571</v>
      </c>
    </row>
    <row r="32" spans="1:3" ht="20">
      <c r="A32" s="115">
        <v>33</v>
      </c>
      <c r="B32" s="115" t="s">
        <v>572</v>
      </c>
      <c r="C32" s="116" t="s">
        <v>573</v>
      </c>
    </row>
    <row r="33" spans="1:3" ht="20">
      <c r="A33" s="115">
        <v>34</v>
      </c>
      <c r="B33" s="115" t="s">
        <v>574</v>
      </c>
      <c r="C33" s="116" t="s">
        <v>575</v>
      </c>
    </row>
    <row r="34" spans="1:3" ht="20">
      <c r="A34" s="115">
        <v>35</v>
      </c>
      <c r="B34" s="115" t="s">
        <v>576</v>
      </c>
      <c r="C34" s="116" t="s">
        <v>577</v>
      </c>
    </row>
    <row r="35" spans="1:3" ht="20">
      <c r="A35" s="115">
        <v>36</v>
      </c>
      <c r="B35" s="115" t="s">
        <v>578</v>
      </c>
      <c r="C35" s="116" t="s">
        <v>579</v>
      </c>
    </row>
    <row r="36" spans="1:3" ht="20">
      <c r="A36" s="115">
        <v>37</v>
      </c>
      <c r="B36" s="115" t="s">
        <v>580</v>
      </c>
      <c r="C36" s="116" t="s">
        <v>581</v>
      </c>
    </row>
    <row r="37" spans="1:3" ht="20">
      <c r="A37" s="115">
        <v>38</v>
      </c>
      <c r="B37" s="115" t="s">
        <v>582</v>
      </c>
      <c r="C37" s="116" t="s">
        <v>583</v>
      </c>
    </row>
    <row r="38" spans="1:3" ht="20">
      <c r="A38" s="115">
        <v>39</v>
      </c>
      <c r="B38" s="115" t="s">
        <v>584</v>
      </c>
      <c r="C38" s="116" t="s">
        <v>585</v>
      </c>
    </row>
    <row r="39" spans="1:3" ht="20">
      <c r="A39" s="115">
        <v>40</v>
      </c>
      <c r="B39" s="115" t="s">
        <v>586</v>
      </c>
      <c r="C39" s="116" t="s">
        <v>587</v>
      </c>
    </row>
    <row r="40" spans="1:3" ht="20">
      <c r="A40" s="115">
        <v>41</v>
      </c>
      <c r="B40" s="115" t="s">
        <v>588</v>
      </c>
      <c r="C40" s="116" t="s">
        <v>589</v>
      </c>
    </row>
    <row r="41" spans="1:3" ht="20">
      <c r="A41" s="115">
        <v>42</v>
      </c>
      <c r="B41" s="115" t="s">
        <v>590</v>
      </c>
      <c r="C41" s="116" t="s">
        <v>591</v>
      </c>
    </row>
    <row r="42" spans="1:3" ht="20">
      <c r="A42" s="115">
        <v>43</v>
      </c>
      <c r="B42" s="115" t="s">
        <v>592</v>
      </c>
      <c r="C42" s="116" t="s">
        <v>593</v>
      </c>
    </row>
    <row r="43" spans="1:3" ht="20">
      <c r="A43" s="115">
        <v>44</v>
      </c>
      <c r="B43" s="115" t="s">
        <v>594</v>
      </c>
      <c r="C43" s="116" t="s">
        <v>595</v>
      </c>
    </row>
    <row r="44" spans="1:3" ht="20">
      <c r="A44" s="115">
        <v>45</v>
      </c>
      <c r="B44" s="115" t="s">
        <v>596</v>
      </c>
      <c r="C44" s="116" t="s">
        <v>597</v>
      </c>
    </row>
    <row r="45" spans="1:3" ht="20">
      <c r="A45" s="115">
        <v>46</v>
      </c>
      <c r="B45" s="115" t="s">
        <v>598</v>
      </c>
      <c r="C45" s="116" t="s">
        <v>599</v>
      </c>
    </row>
    <row r="46" spans="1:3" ht="20">
      <c r="A46" s="115">
        <v>47</v>
      </c>
      <c r="B46" s="115" t="s">
        <v>600</v>
      </c>
      <c r="C46" s="116" t="s">
        <v>601</v>
      </c>
    </row>
    <row r="47" spans="1:3" ht="20">
      <c r="A47" s="115">
        <v>48</v>
      </c>
      <c r="B47" s="115" t="s">
        <v>602</v>
      </c>
      <c r="C47" s="116" t="s">
        <v>603</v>
      </c>
    </row>
    <row r="48" spans="1:3" ht="20">
      <c r="A48" s="115">
        <v>49</v>
      </c>
      <c r="B48" s="115" t="s">
        <v>604</v>
      </c>
      <c r="C48" s="116" t="s">
        <v>605</v>
      </c>
    </row>
    <row r="50" spans="1:3" ht="20">
      <c r="A50" s="115"/>
      <c r="B50" s="115"/>
      <c r="C50" s="116"/>
    </row>
    <row r="51" spans="1:3" ht="20">
      <c r="A51" s="115"/>
      <c r="B51" s="115"/>
      <c r="C51" s="116"/>
    </row>
    <row r="52" spans="1:3" ht="20">
      <c r="A52" s="115"/>
      <c r="B52" s="115"/>
      <c r="C52" s="116"/>
    </row>
    <row r="53" spans="1:3" ht="20">
      <c r="A53" s="115"/>
      <c r="B53" s="115"/>
      <c r="C53" s="116"/>
    </row>
    <row r="54" spans="1:3" ht="20">
      <c r="A54" s="115"/>
      <c r="B54" s="115"/>
      <c r="C54" s="116"/>
    </row>
    <row r="55" spans="1:3" ht="20">
      <c r="A55" s="115"/>
      <c r="B55" s="115"/>
      <c r="C55" s="116"/>
    </row>
    <row r="56" spans="1:3" ht="20">
      <c r="A56" s="115"/>
      <c r="B56" s="115"/>
      <c r="C56" s="116"/>
    </row>
    <row r="57" spans="1:3" ht="20">
      <c r="A57" s="115"/>
      <c r="B57" s="115"/>
      <c r="C57" s="116"/>
    </row>
    <row r="58" spans="1:3" ht="20">
      <c r="A58" s="115"/>
      <c r="B58" s="115"/>
      <c r="C58" s="116"/>
    </row>
    <row r="59" spans="1:3" ht="20">
      <c r="A59" s="115"/>
      <c r="B59" s="115"/>
      <c r="C59" s="116"/>
    </row>
    <row r="60" spans="1:3" ht="20">
      <c r="A60" s="115"/>
      <c r="B60" s="115"/>
      <c r="C60" s="116"/>
    </row>
    <row r="61" spans="1:3" ht="20">
      <c r="A61" s="115"/>
      <c r="B61" s="115"/>
      <c r="C61" s="116"/>
    </row>
    <row r="62" spans="1:3" ht="20">
      <c r="A62" s="115"/>
      <c r="B62" s="115"/>
      <c r="C62" s="116"/>
    </row>
    <row r="63" spans="1:3" ht="20">
      <c r="A63" s="115"/>
      <c r="B63" s="115"/>
      <c r="C63" s="116"/>
    </row>
    <row r="64" spans="1:3" ht="20">
      <c r="A64" s="115"/>
      <c r="B64" s="115"/>
      <c r="C64" s="116"/>
    </row>
    <row r="65" spans="1:3" ht="20">
      <c r="A65" s="115"/>
      <c r="B65" s="115"/>
      <c r="C65" s="116"/>
    </row>
    <row r="66" spans="1:3" ht="20">
      <c r="A66" s="115"/>
      <c r="B66" s="115"/>
      <c r="C66" s="116"/>
    </row>
    <row r="67" spans="1:3" ht="20">
      <c r="A67" s="115"/>
      <c r="B67" s="115"/>
      <c r="C67" s="116"/>
    </row>
    <row r="68" spans="1:3" ht="20">
      <c r="A68" s="115"/>
      <c r="B68" s="115"/>
      <c r="C68" s="116"/>
    </row>
    <row r="69" spans="1:3" ht="20">
      <c r="A69" s="115"/>
      <c r="B69" s="115"/>
      <c r="C69" s="116"/>
    </row>
    <row r="70" spans="1:3" ht="20">
      <c r="A70" s="115"/>
      <c r="B70" s="115"/>
      <c r="C70" s="116"/>
    </row>
    <row r="71" spans="1:3" ht="20">
      <c r="A71" s="115"/>
      <c r="B71" s="115"/>
      <c r="C71" s="116"/>
    </row>
    <row r="72" spans="1:3" ht="20">
      <c r="A72" s="115"/>
      <c r="B72" s="115"/>
      <c r="C72" s="116"/>
    </row>
    <row r="73" spans="1:3" ht="20">
      <c r="A73" s="115"/>
      <c r="B73" s="115"/>
      <c r="C73" s="116"/>
    </row>
    <row r="74" spans="1:3" ht="20">
      <c r="A74" s="115"/>
      <c r="B74" s="115"/>
      <c r="C74" s="116"/>
    </row>
    <row r="75" spans="1:3" ht="20">
      <c r="A75" s="115"/>
      <c r="B75" s="115"/>
      <c r="C75" s="116"/>
    </row>
    <row r="76" spans="1:3" ht="20">
      <c r="A76" s="115"/>
      <c r="B76" s="115"/>
      <c r="C76" s="116"/>
    </row>
    <row r="77" spans="1:3" ht="20">
      <c r="A77" s="115"/>
      <c r="B77" s="115"/>
      <c r="C77" s="116"/>
    </row>
    <row r="78" spans="1:3" ht="20">
      <c r="A78" s="115"/>
      <c r="B78" s="115"/>
      <c r="C78" s="116"/>
    </row>
    <row r="79" spans="1:3" ht="20">
      <c r="A79" s="115"/>
      <c r="B79" s="115"/>
      <c r="C79" s="116"/>
    </row>
    <row r="80" spans="1:3" ht="20">
      <c r="A80" s="115"/>
      <c r="B80" s="115"/>
      <c r="C80" s="116"/>
    </row>
    <row r="81" spans="1:3" ht="20">
      <c r="A81" s="115"/>
      <c r="B81" s="115"/>
      <c r="C81" s="116"/>
    </row>
    <row r="82" spans="1:3" ht="20">
      <c r="A82" s="115"/>
      <c r="B82" s="115"/>
      <c r="C82" s="116"/>
    </row>
    <row r="83" spans="1:3" ht="20">
      <c r="A83" s="115"/>
      <c r="B83" s="115"/>
      <c r="C83" s="116"/>
    </row>
    <row r="84" spans="1:3" ht="20">
      <c r="A84" s="115"/>
      <c r="B84" s="115"/>
      <c r="C84" s="116"/>
    </row>
    <row r="85" spans="1:3" ht="20">
      <c r="A85" s="115"/>
      <c r="B85" s="115"/>
      <c r="C85" s="116"/>
    </row>
    <row r="86" spans="1:3" ht="20">
      <c r="A86" s="115"/>
      <c r="B86" s="115"/>
      <c r="C86" s="116"/>
    </row>
    <row r="87" spans="1:3" ht="20">
      <c r="A87" s="115"/>
      <c r="B87" s="115"/>
      <c r="C87" s="116"/>
    </row>
    <row r="88" spans="1:3" ht="20">
      <c r="A88" s="115"/>
      <c r="B88" s="115"/>
      <c r="C88" s="116"/>
    </row>
    <row r="89" spans="1:3" ht="20">
      <c r="A89" s="115"/>
      <c r="B89" s="115"/>
      <c r="C89" s="116"/>
    </row>
    <row r="90" spans="1:3" ht="20">
      <c r="A90" s="115"/>
      <c r="B90" s="115"/>
      <c r="C90" s="116"/>
    </row>
  </sheetData>
  <hyperlinks>
    <hyperlink ref="C1" r:id="rId1" display="http://finance.yahoo.com/q?s=ASB" xr:uid="{E344B510-B7E0-F040-8D59-9420BC88C039}"/>
    <hyperlink ref="C2" r:id="rId2" display="http://finance.yahoo.com/q?s=AUB" xr:uid="{A5B46659-0343-4646-8CCF-8B03448D87B9}"/>
    <hyperlink ref="C3" r:id="rId3" display="http://finance.yahoo.com/q?s=BANC" xr:uid="{1C408A21-CC1E-E749-AD94-65B56D1A1E2C}"/>
    <hyperlink ref="C4" r:id="rId4" display="http://finance.yahoo.com/q?s=BAC" xr:uid="{E82903A2-9190-A34E-B873-039504F44D93}"/>
    <hyperlink ref="C5" r:id="rId5" display="http://finance.yahoo.com/q?s=BOH" xr:uid="{CBB47CC3-DF62-9F4A-BCEC-BD09C6AC47D1}"/>
    <hyperlink ref="C6" r:id="rId6" display="http://finance.yahoo.com/q?s=BKU" xr:uid="{F2A7F4D3-5140-314C-B5C6-1F0C4F6C2E6D}"/>
    <hyperlink ref="C7" r:id="rId7" display="http://finance.yahoo.com/q?s=BHB" xr:uid="{645DC7B1-9021-6346-A460-DABCC80DED18}"/>
    <hyperlink ref="C8" r:id="rId8" display="http://finance.yahoo.com/q?s=BHLB" xr:uid="{DF8891F2-7B09-5644-9BE5-5465CFACB281}"/>
    <hyperlink ref="C9" r:id="rId9" display="http://finance.yahoo.com/q?s=BRBS" xr:uid="{6AA8607D-6E43-014E-9B23-15E2769FBEE7}"/>
    <hyperlink ref="C10" r:id="rId10" display="http://finance.yahoo.com/q?s=BY" xr:uid="{58A54AFD-93C2-1246-9BFB-931B88CABC82}"/>
    <hyperlink ref="C11" r:id="rId11" display="http://finance.yahoo.com/q?s=CADE" xr:uid="{7BF48129-DA43-5F46-83F8-79B8C19A8920}"/>
    <hyperlink ref="C12" r:id="rId12" display="http://finance.yahoo.com/q?s=CPF" xr:uid="{849C2A1F-61DA-A246-92E4-6C05025E2430}"/>
    <hyperlink ref="C13" r:id="rId13" display="http://finance.yahoo.com/q?s=C" xr:uid="{E2E9D699-884A-E84F-95FE-382D6B32D15C}"/>
    <hyperlink ref="C14" r:id="rId14" display="http://finance.yahoo.com/q?s=CFG" xr:uid="{773619DD-1A35-CD4A-84CF-208A9F8CC50D}"/>
    <hyperlink ref="C15" r:id="rId15" display="http://finance.yahoo.com/q?s=CMA" xr:uid="{7EF73089-CB2F-164F-95CA-8603207FE458}"/>
    <hyperlink ref="C16" r:id="rId16" display="http://finance.yahoo.com/q?s=CBU" xr:uid="{36995BBE-5E79-F048-AE9C-810C16236F38}"/>
    <hyperlink ref="C17" r:id="rId17" display="http://finance.yahoo.com/q?s=CFR" xr:uid="{C7A643EF-3C5B-544B-9DED-003E0BEB6227}"/>
    <hyperlink ref="C18" r:id="rId18" display="http://finance.yahoo.com/q?s=CUBI" xr:uid="{9F2DC9D2-EB6B-DE4C-A544-47A523ACFBBF}"/>
    <hyperlink ref="C19" r:id="rId19" display="http://finance.yahoo.com/q?s=EVBN" xr:uid="{A7CC54D2-7595-8040-B008-E8034FC4CA55}"/>
    <hyperlink ref="C20" r:id="rId20" display="http://finance.yahoo.com/q?s=FNB" xr:uid="{C00C8F23-8579-1C40-8601-625701D918EE}"/>
    <hyperlink ref="C21" r:id="rId21" display="http://finance.yahoo.com/q?s=FBK" xr:uid="{FEDF7AF7-1E57-464E-9427-A031C93F7ADF}"/>
    <hyperlink ref="C22" r:id="rId22" display="http://finance.yahoo.com/q?s=FCF" xr:uid="{F6BEB173-C8D1-9C42-ADAB-CDFAA5E83558}"/>
    <hyperlink ref="C23" r:id="rId23" display="http://finance.yahoo.com/q?s=FHN" xr:uid="{02946D07-576C-F84A-9C9C-B6A009C9ABF5}"/>
    <hyperlink ref="C24" r:id="rId24" display="http://finance.yahoo.com/q?s=GBCI" xr:uid="{68DA51AA-6D40-2847-B375-49F1E72D1A1A}"/>
    <hyperlink ref="C25" r:id="rId25" display="http://finance.yahoo.com/q?s=GNTY" xr:uid="{A448C41D-9544-E747-9156-CBF7FCA3617A}"/>
    <hyperlink ref="C26" r:id="rId26" display="http://finance.yahoo.com/q?s=HTH" xr:uid="{2318AD6C-2D1E-ED45-A010-491219480B75}"/>
    <hyperlink ref="C27" r:id="rId27" display="http://finance.yahoo.com/q?s=HOMB" xr:uid="{BFF1D8BC-3840-054D-9A7C-84BA17C2694C}"/>
    <hyperlink ref="C28" r:id="rId28" display="http://finance.yahoo.com/q?s=JPM" xr:uid="{C2AFECDF-2E7E-5245-B9F8-5D5AC14F12CC}"/>
    <hyperlink ref="C29" r:id="rId29" display="http://finance.yahoo.com/q?s=KEY" xr:uid="{7239BDEA-3788-EE4D-B8EF-3F909032BEA0}"/>
    <hyperlink ref="C30" r:id="rId30" display="http://finance.yahoo.com/q?s=LOB" xr:uid="{2664D8BB-BB44-4440-B073-73E2F65F0FC4}"/>
    <hyperlink ref="C31" r:id="rId31" display="http://finance.yahoo.com/q?s=MTB" xr:uid="{A20F65EA-32DF-D74C-8DC5-35CE40AFA701}"/>
    <hyperlink ref="C32" r:id="rId32" display="http://finance.yahoo.com/q?s=MCB" xr:uid="{3B62D0E2-82C8-7C44-9810-439BAAEBCEBC}"/>
    <hyperlink ref="C33" r:id="rId33" display="http://finance.yahoo.com/q?s=NBHC" xr:uid="{98CE6F65-B08A-F546-984D-16936E7BE359}"/>
    <hyperlink ref="C34" r:id="rId34" display="http://finance.yahoo.com/q?s=NIC" xr:uid="{493861C0-1D14-CA48-AEF5-22B04640C1C5}"/>
    <hyperlink ref="C35" r:id="rId35" display="http://finance.yahoo.com/q?s=PRK" xr:uid="{D4B841F2-2C4A-2840-8753-EC703BB7A43F}"/>
    <hyperlink ref="C36" r:id="rId36" display="http://finance.yahoo.com/q?s=PNC" xr:uid="{FCA7C395-0962-1845-A9E8-DC239EA86CCF}"/>
    <hyperlink ref="C37" r:id="rId37" display="http://finance.yahoo.com/q?s=PB" xr:uid="{0EDEAAF6-D667-B444-841C-8B87E6DA484E}"/>
    <hyperlink ref="C38" r:id="rId38" display="http://finance.yahoo.com/q?s=PFS" xr:uid="{125EE3E5-586D-C541-B43E-32E7E5FB6842}"/>
    <hyperlink ref="C39" r:id="rId39" display="http://finance.yahoo.com/q?s=RF" xr:uid="{150E4DEC-E765-E44B-9F6E-B95D2C47D409}"/>
    <hyperlink ref="C40" r:id="rId40" display="http://finance.yahoo.com/q?s=SFBS" xr:uid="{DA06183E-4F42-EE4D-BE69-DE9265B7BDF6}"/>
    <hyperlink ref="C41" r:id="rId41" display="http://finance.yahoo.com/q?s=SNV" xr:uid="{B8045CFE-CD1E-F84D-A5BF-6F411F05773D}"/>
    <hyperlink ref="C42" r:id="rId42" display="http://finance.yahoo.com/q?s=TMP" xr:uid="{5EE0BF70-0FF3-C044-A6A3-668C6A7E340B}"/>
    <hyperlink ref="C43" r:id="rId43" display="http://finance.yahoo.com/q?s=TFC" xr:uid="{6DE9FFE0-9B25-D043-9394-CF00E8C0EFDB}"/>
    <hyperlink ref="C44" r:id="rId44" display="http://finance.yahoo.com/q?s=USB" xr:uid="{507FED1F-E8AD-D545-A543-2CD21B5046A2}"/>
    <hyperlink ref="C45" r:id="rId45" display="http://finance.yahoo.com/q?s=WBS" xr:uid="{DC2BC5F8-F0FD-8543-A93C-6444ED3B19F3}"/>
    <hyperlink ref="C46" r:id="rId46" display="http://finance.yahoo.com/q?s=WFC" xr:uid="{B3FC2E97-C689-D047-AD88-A9EED8C4598D}"/>
    <hyperlink ref="C47" r:id="rId47" display="http://finance.yahoo.com/q?s=WAL" xr:uid="{E3EDAA61-A16A-714C-B1EB-39E8C77FB9E6}"/>
    <hyperlink ref="C48" r:id="rId48" display="http://finance.yahoo.com/q?s=NYCB" xr:uid="{F09FC086-24F6-8E45-90F9-8E481441027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888D-CB16-1A40-BBC4-49333CAE69F3}">
  <dimension ref="A1:D123"/>
  <sheetViews>
    <sheetView topLeftCell="A34" workbookViewId="0">
      <selection activeCell="B91" sqref="B91"/>
    </sheetView>
  </sheetViews>
  <sheetFormatPr baseColWidth="10" defaultColWidth="63.3984375" defaultRowHeight="35" customHeight="1"/>
  <cols>
    <col min="1" max="1" width="79.19921875" style="142" customWidth="1"/>
    <col min="2" max="2" width="49.59765625" style="142" customWidth="1"/>
    <col min="3" max="3" width="14.3984375" style="142" customWidth="1"/>
    <col min="4" max="16384" width="63.3984375" style="142"/>
  </cols>
  <sheetData>
    <row r="1" spans="1:2" ht="35" customHeight="1">
      <c r="A1" s="143" t="s">
        <v>438</v>
      </c>
      <c r="B1" s="143" t="str">
        <f>xInput_Bank</f>
        <v>BankUnited Inc.</v>
      </c>
    </row>
    <row r="2" spans="1:2" ht="35" customHeight="1">
      <c r="A2" s="143" t="s">
        <v>364</v>
      </c>
      <c r="B2" s="143" t="s">
        <v>463</v>
      </c>
    </row>
    <row r="3" spans="1:2" ht="35" customHeight="1">
      <c r="A3" s="142" t="s">
        <v>608</v>
      </c>
      <c r="B3" s="142" t="str">
        <f>VLOOKUP(B1,Banks!B1:C48,2,FALSE)</f>
        <v>BKU</v>
      </c>
    </row>
    <row r="4" spans="1:2" ht="35" customHeight="1">
      <c r="A4" s="142" t="s">
        <v>18</v>
      </c>
      <c r="B4" s="144" t="s">
        <v>708</v>
      </c>
    </row>
    <row r="5" spans="1:2" ht="35" customHeight="1">
      <c r="A5" s="142" t="s">
        <v>609</v>
      </c>
      <c r="B5" s="144" t="s">
        <v>708</v>
      </c>
    </row>
    <row r="6" spans="1:2" ht="35" customHeight="1">
      <c r="A6" s="142" t="s">
        <v>610</v>
      </c>
      <c r="B6" s="144" t="s">
        <v>708</v>
      </c>
    </row>
    <row r="7" spans="1:2" ht="35" customHeight="1">
      <c r="A7" s="145" t="s">
        <v>411</v>
      </c>
      <c r="B7" s="144" t="s">
        <v>708</v>
      </c>
    </row>
    <row r="8" spans="1:2" ht="35" customHeight="1">
      <c r="A8" s="135" t="s">
        <v>22</v>
      </c>
      <c r="B8" s="144">
        <f>'source-format-balance'!B17</f>
        <v>37026712000</v>
      </c>
    </row>
    <row r="9" spans="1:2" ht="35" customHeight="1">
      <c r="A9" s="135" t="s">
        <v>23</v>
      </c>
      <c r="B9" s="144">
        <f>'source-format-balance'!B7-'source-format-balance'!B4</f>
        <v>572647000</v>
      </c>
    </row>
    <row r="10" spans="1:2" ht="35" customHeight="1">
      <c r="A10" s="135" t="s">
        <v>86</v>
      </c>
      <c r="B10" s="144">
        <f>'source-format-balance'!B15</f>
        <v>10666935000</v>
      </c>
    </row>
    <row r="11" spans="1:2" ht="35" customHeight="1">
      <c r="A11" s="135" t="s">
        <v>359</v>
      </c>
      <c r="B11" s="144">
        <f>IF('source-format-balance'!B4=0,'source-format-balance'!B16*HLOOKUP(B3,ratios!A1:AX2,2,FALSE),'source-format-balance'!B4)</f>
        <v>17165191313.287918</v>
      </c>
    </row>
    <row r="12" spans="1:2" ht="35" customHeight="1">
      <c r="A12" s="135" t="s">
        <v>360</v>
      </c>
      <c r="B12" s="144">
        <f>IF('source-format-balance'!B4=0,'source-format-balance'!B16-output!B11,'source-format-balance'!B16)</f>
        <v>8621938686.7120819</v>
      </c>
    </row>
    <row r="13" spans="1:2" ht="35" customHeight="1">
      <c r="A13" s="135" t="s">
        <v>24</v>
      </c>
      <c r="B13" s="144">
        <f>'source-format-balance'!B31</f>
        <v>34590731000</v>
      </c>
    </row>
    <row r="14" spans="1:2" ht="35" customHeight="1">
      <c r="A14" s="135" t="s">
        <v>25</v>
      </c>
      <c r="B14" s="144">
        <f>B15+B18</f>
        <v>34590731000</v>
      </c>
    </row>
    <row r="15" spans="1:2" ht="35" customHeight="1">
      <c r="A15" s="135" t="s">
        <v>254</v>
      </c>
      <c r="B15" s="144">
        <f>'source-format-balance'!B23</f>
        <v>0</v>
      </c>
    </row>
    <row r="16" spans="1:2" ht="35" customHeight="1">
      <c r="A16" s="135" t="s">
        <v>371</v>
      </c>
      <c r="B16" s="144">
        <f>B15*HLOOKUP(B3,ratios!A1:AX46,2,FALSE)</f>
        <v>0</v>
      </c>
    </row>
    <row r="17" spans="1:3" ht="35" customHeight="1">
      <c r="A17" s="135" t="s">
        <v>372</v>
      </c>
      <c r="B17" s="144">
        <f>B15-B16</f>
        <v>0</v>
      </c>
    </row>
    <row r="18" spans="1:3" ht="35" customHeight="1">
      <c r="A18" s="135" t="s">
        <v>255</v>
      </c>
      <c r="B18" s="144">
        <f>'source-format-balance'!B28</f>
        <v>34590731000</v>
      </c>
    </row>
    <row r="19" spans="1:3" ht="35" customHeight="1">
      <c r="A19" s="135" t="s">
        <v>371</v>
      </c>
      <c r="B19" s="144">
        <f>B18*HLOOKUP(B3,ratios!A1:AX46,3,FALSE)</f>
        <v>13433100833.262314</v>
      </c>
    </row>
    <row r="20" spans="1:3" ht="35" customHeight="1">
      <c r="A20" s="135" t="s">
        <v>372</v>
      </c>
      <c r="B20" s="144">
        <f>B18-B19</f>
        <v>21157630166.737686</v>
      </c>
    </row>
    <row r="21" spans="1:3" ht="35" customHeight="1">
      <c r="A21" s="135" t="s">
        <v>131</v>
      </c>
      <c r="B21" s="144">
        <f>'source-format-balance'!B32+'source-format-balance'!B33</f>
        <v>757000</v>
      </c>
    </row>
    <row r="22" spans="1:3" ht="35" customHeight="1">
      <c r="A22" s="146" t="s">
        <v>709</v>
      </c>
      <c r="B22" s="144" t="s">
        <v>710</v>
      </c>
    </row>
    <row r="23" spans="1:3" ht="35" customHeight="1">
      <c r="A23" s="135" t="s">
        <v>355</v>
      </c>
      <c r="B23" s="144">
        <f>'source-format-income'!B23</f>
        <v>284971000</v>
      </c>
      <c r="C23" s="147"/>
    </row>
    <row r="24" spans="1:3" ht="35" customHeight="1">
      <c r="A24" s="148" t="s">
        <v>346</v>
      </c>
      <c r="B24" s="144">
        <f>'source-format-income'!B17</f>
        <v>711880000</v>
      </c>
      <c r="C24" s="147"/>
    </row>
    <row r="25" spans="1:3" ht="35" customHeight="1">
      <c r="A25" s="135" t="s">
        <v>347</v>
      </c>
      <c r="B25" s="144">
        <f>B26+B27</f>
        <v>912960000</v>
      </c>
    </row>
    <row r="26" spans="1:3" ht="35" customHeight="1">
      <c r="A26" s="135" t="s">
        <v>344</v>
      </c>
      <c r="B26" s="144">
        <f>'source-format-income'!B12</f>
        <v>1230451000</v>
      </c>
    </row>
    <row r="27" spans="1:3" ht="35" customHeight="1">
      <c r="A27" s="135" t="s">
        <v>345</v>
      </c>
      <c r="B27" s="144">
        <f>'source-format-income'!B13*-1</f>
        <v>-317491000</v>
      </c>
    </row>
    <row r="28" spans="1:3" ht="35" customHeight="1">
      <c r="A28" s="135" t="s">
        <v>348</v>
      </c>
      <c r="B28" s="144">
        <f>'source-format-income'!B1-'source-format-income'!B17</f>
        <v>278716000</v>
      </c>
    </row>
    <row r="29" spans="1:3" ht="35" customHeight="1">
      <c r="A29" s="135" t="s">
        <v>349</v>
      </c>
      <c r="B29" s="144">
        <f>((B25+B28-B24)*HLOOKUP(B3,ratios!A1:AX46,4,FALSE))*-1</f>
        <v>-214962806.05742273</v>
      </c>
    </row>
    <row r="30" spans="1:3" ht="35" customHeight="1">
      <c r="A30" s="135" t="s">
        <v>350</v>
      </c>
      <c r="B30" s="144">
        <f>(B25+B28-B24+B29)*-1</f>
        <v>-264833193.94257727</v>
      </c>
    </row>
    <row r="31" spans="1:3" ht="35" customHeight="1">
      <c r="A31" s="135" t="s">
        <v>351</v>
      </c>
      <c r="B31" s="144">
        <f>(B23-B24-B32)*HLOOKUP(B3,ratios!A1:AX46,5,FALSE)</f>
        <v>-45142865.202052042</v>
      </c>
    </row>
    <row r="32" spans="1:3" ht="35" customHeight="1">
      <c r="A32" s="135" t="s">
        <v>352</v>
      </c>
      <c r="B32" s="144">
        <f>'source-format-income'!B20*-1</f>
        <v>-375132000</v>
      </c>
    </row>
    <row r="33" spans="1:2" ht="35" customHeight="1">
      <c r="A33" s="135" t="s">
        <v>353</v>
      </c>
      <c r="B33" s="144">
        <f>B23-B24-B31-B32</f>
        <v>-6634134.7979479432</v>
      </c>
    </row>
    <row r="34" spans="1:2" ht="35" customHeight="1">
      <c r="A34" s="145" t="s">
        <v>412</v>
      </c>
      <c r="B34" s="144" t="s">
        <v>708</v>
      </c>
    </row>
    <row r="35" spans="1:2" ht="35" customHeight="1">
      <c r="A35" s="137" t="s">
        <v>147</v>
      </c>
      <c r="B35" s="144" t="s">
        <v>708</v>
      </c>
    </row>
    <row r="36" spans="1:2" ht="35" customHeight="1">
      <c r="A36" s="135" t="s">
        <v>132</v>
      </c>
      <c r="B36" s="144">
        <f>B21</f>
        <v>757000</v>
      </c>
    </row>
    <row r="37" spans="1:2" ht="35" customHeight="1">
      <c r="A37" s="136" t="s">
        <v>15</v>
      </c>
      <c r="B37" s="144">
        <f>B11*(0.3+0.5*HLOOKUP(B3,ratios!A1:AX46,6,FALSE))</f>
        <v>9775354684.6839905</v>
      </c>
    </row>
    <row r="38" spans="1:2" ht="35" customHeight="1">
      <c r="A38" s="137" t="s">
        <v>127</v>
      </c>
      <c r="B38" s="144" t="s">
        <v>708</v>
      </c>
    </row>
    <row r="39" spans="1:2" ht="35" customHeight="1">
      <c r="A39" s="136" t="s">
        <v>80</v>
      </c>
      <c r="B39" s="144">
        <f>B11*(0.4+0.6*HLOOKUP(B3,ratios!A1:AX46,7,FALSE))</f>
        <v>6866076525.3151674</v>
      </c>
    </row>
    <row r="40" spans="1:2" ht="35" customHeight="1">
      <c r="A40" s="135" t="s">
        <v>81</v>
      </c>
      <c r="B40" s="144">
        <f>B39*HLOOKUP(B3,ratios!A1:AX46,8,FALSE)</f>
        <v>4806068968.4813957</v>
      </c>
    </row>
    <row r="41" spans="1:2" ht="35" customHeight="1">
      <c r="A41" s="135" t="s">
        <v>82</v>
      </c>
      <c r="B41" s="144">
        <f>B39-B40</f>
        <v>2060007556.8337717</v>
      </c>
    </row>
    <row r="42" spans="1:2" ht="35" customHeight="1">
      <c r="A42" s="136" t="s">
        <v>361</v>
      </c>
      <c r="B42" s="144">
        <f>B11-B39</f>
        <v>10299114787.972752</v>
      </c>
    </row>
    <row r="43" spans="1:2" ht="35" customHeight="1">
      <c r="A43" s="135" t="s">
        <v>83</v>
      </c>
      <c r="B43" s="144">
        <f>$B$42*HLOOKUP($B$3,ratios!$A$1:$AX$46,11,FALSE)/HLOOKUP($B$3,ratios!$A$1:$AX$46,14,FALSE)</f>
        <v>5620978070.5180426</v>
      </c>
    </row>
    <row r="44" spans="1:2" ht="35" customHeight="1">
      <c r="A44" s="135" t="s">
        <v>84</v>
      </c>
      <c r="B44" s="144">
        <f>$B$42*HLOOKUP($B$3,ratios!$A$1:$AX$46,12,FALSE)/HLOOKUP($B$3,ratios!$A$1:$AX$46,14,FALSE)</f>
        <v>1006997173.4281197</v>
      </c>
    </row>
    <row r="45" spans="1:2" ht="35" customHeight="1">
      <c r="A45" s="135" t="s">
        <v>85</v>
      </c>
      <c r="B45" s="144">
        <f>$B$42*HLOOKUP($B$3,ratios!$A$1:$AX$46,13,FALSE)/HLOOKUP($B$3,ratios!$A$1:$AX$46,14,FALSE)</f>
        <v>3671139544.0265889</v>
      </c>
    </row>
    <row r="46" spans="1:2" ht="35" customHeight="1">
      <c r="A46" s="135" t="s">
        <v>110</v>
      </c>
      <c r="B46" s="144">
        <f>B42*(0.2+0.6*HLOOKUP(B3,ratios!A1:AX46,16,FALSE))</f>
        <v>6219347275.332592</v>
      </c>
    </row>
    <row r="47" spans="1:2" ht="35" customHeight="1">
      <c r="A47" s="136" t="s">
        <v>194</v>
      </c>
      <c r="B47" s="144" t="s">
        <v>708</v>
      </c>
    </row>
    <row r="48" spans="1:2" ht="35" customHeight="1">
      <c r="A48" s="135" t="s">
        <v>83</v>
      </c>
      <c r="B48" s="144">
        <f>B43*(HLOOKUP($B$3,ratios!$A$1:$AX$46,18,FALSE))</f>
        <v>1854920671.5137012</v>
      </c>
    </row>
    <row r="49" spans="1:4" ht="35" customHeight="1">
      <c r="A49" s="135" t="s">
        <v>84</v>
      </c>
      <c r="B49" s="144">
        <f>B44*(HLOOKUP($B$3,ratios!$A$1:$AX$46,19,FALSE)*1.2)</f>
        <v>1009363024.0881892</v>
      </c>
    </row>
    <row r="50" spans="1:4" ht="35" customHeight="1">
      <c r="A50" s="135" t="s">
        <v>85</v>
      </c>
      <c r="B50" s="144">
        <f>B45*(HLOOKUP($B$3,ratios!$A$1:$AX$46,20,FALSE)*1.5)</f>
        <v>5164288229.3468704</v>
      </c>
    </row>
    <row r="51" spans="1:4" ht="35" customHeight="1">
      <c r="A51" s="135" t="s">
        <v>711</v>
      </c>
      <c r="B51" s="144" t="s">
        <v>708</v>
      </c>
    </row>
    <row r="52" spans="1:4" ht="35" customHeight="1">
      <c r="A52" s="137" t="s">
        <v>155</v>
      </c>
      <c r="B52" s="144" t="s">
        <v>708</v>
      </c>
    </row>
    <row r="53" spans="1:4" ht="35" customHeight="1">
      <c r="A53" s="135" t="s">
        <v>14</v>
      </c>
      <c r="B53" s="144">
        <f>B11</f>
        <v>17165191313.287918</v>
      </c>
    </row>
    <row r="54" spans="1:4" ht="35" customHeight="1">
      <c r="A54" s="135" t="s">
        <v>148</v>
      </c>
      <c r="B54" s="144">
        <f>$B$53*HLOOKUP($B$3,ratios!$A$1:$AX$46,24,FALSE)/HLOOKUP($B$3,ratios!$A$1:$AX$46,31,FALSE)</f>
        <v>2019449530.6569796</v>
      </c>
    </row>
    <row r="55" spans="1:4" ht="35" customHeight="1">
      <c r="A55" s="135" t="s">
        <v>149</v>
      </c>
      <c r="B55" s="144">
        <f>$B$53*HLOOKUP($B$3,ratios!$A$1:$AX$46,25,FALSE)/HLOOKUP($B$3,ratios!$A$1:$AX$46,31,FALSE)</f>
        <v>3100179232.7087846</v>
      </c>
    </row>
    <row r="56" spans="1:4" ht="35" customHeight="1">
      <c r="A56" s="135" t="s">
        <v>154</v>
      </c>
      <c r="B56" s="144">
        <f>$B$53*HLOOKUP($B$3,ratios!$A$1:$AX$46,26,FALSE)/HLOOKUP($B$3,ratios!$A$1:$AX$46,31,FALSE)</f>
        <v>1723042077.2883539</v>
      </c>
    </row>
    <row r="57" spans="1:4" ht="35" customHeight="1">
      <c r="A57" s="135" t="s">
        <v>152</v>
      </c>
      <c r="B57" s="144">
        <f>$B$53*HLOOKUP($B$3,ratios!$A$1:$AX$46,27,FALSE)/HLOOKUP($B$3,ratios!$A$1:$AX$46,31,FALSE)</f>
        <v>3920139086.3084545</v>
      </c>
    </row>
    <row r="58" spans="1:4" ht="35" customHeight="1">
      <c r="A58" s="135" t="s">
        <v>153</v>
      </c>
      <c r="B58" s="144">
        <f>$B$53*HLOOKUP($B$3,ratios!$A$1:$AX$46,28,FALSE)/HLOOKUP($B$3,ratios!$A$1:$AX$46,31,FALSE)</f>
        <v>2080588572.6765447</v>
      </c>
    </row>
    <row r="59" spans="1:4" ht="35" customHeight="1">
      <c r="A59" s="135" t="s">
        <v>150</v>
      </c>
      <c r="B59" s="144">
        <f>$B$53*HLOOKUP($B$3,ratios!$A$1:$AX$46,29,FALSE)/HLOOKUP($B$3,ratios!$A$1:$AX$46,31,FALSE)</f>
        <v>789658291.92112041</v>
      </c>
    </row>
    <row r="60" spans="1:4" ht="35" customHeight="1">
      <c r="A60" s="135" t="s">
        <v>151</v>
      </c>
      <c r="B60" s="144">
        <f>$B$53*HLOOKUP($B$3,ratios!$A$1:$AX$46,30,FALSE)/HLOOKUP($B$3,ratios!$A$1:$AX$46,31,FALSE)</f>
        <v>3532134521.7276816</v>
      </c>
    </row>
    <row r="61" spans="1:4" ht="35" customHeight="1">
      <c r="A61" s="135" t="s">
        <v>196</v>
      </c>
      <c r="B61" s="144">
        <f>B42</f>
        <v>10299114787.972752</v>
      </c>
    </row>
    <row r="62" spans="1:4" ht="35" customHeight="1">
      <c r="A62" s="135" t="s">
        <v>148</v>
      </c>
      <c r="B62" s="144">
        <f>D62*$B$61/SUM($D$62:$D$68)</f>
        <v>1921072416.2819068</v>
      </c>
      <c r="C62" s="142">
        <v>33</v>
      </c>
      <c r="D62" s="149">
        <f>B54*HLOOKUP($B$3,ratios!$A$1:$AX$46,C62,FALSE)</f>
        <v>1600495668.1205683</v>
      </c>
    </row>
    <row r="63" spans="1:4" ht="35" customHeight="1">
      <c r="A63" s="135" t="s">
        <v>149</v>
      </c>
      <c r="B63" s="144">
        <f t="shared" ref="B63:B68" si="0">D63*$B$61/SUM($D$62:$D$68)</f>
        <v>2660443223.9488773</v>
      </c>
      <c r="C63" s="142">
        <v>34</v>
      </c>
      <c r="D63" s="149">
        <f>B55*HLOOKUP($B$3,ratios!$A$1:$AX$46,C63,FALSE)</f>
        <v>2216484823.3321648</v>
      </c>
    </row>
    <row r="64" spans="1:4" ht="35" customHeight="1">
      <c r="A64" s="135" t="s">
        <v>154</v>
      </c>
      <c r="B64" s="144">
        <f t="shared" si="0"/>
        <v>1290069294.3134227</v>
      </c>
      <c r="C64" s="142">
        <v>35</v>
      </c>
      <c r="D64" s="149">
        <f>B56*HLOOKUP($B$3,ratios!$A$1:$AX$46,C64,FALSE)</f>
        <v>1074790465.7962675</v>
      </c>
    </row>
    <row r="65" spans="1:4" ht="35" customHeight="1">
      <c r="A65" s="135" t="s">
        <v>152</v>
      </c>
      <c r="B65" s="144">
        <f t="shared" si="0"/>
        <v>2038366806.0232353</v>
      </c>
      <c r="C65" s="142">
        <v>36</v>
      </c>
      <c r="D65" s="149">
        <f>B57*HLOOKUP($B$3,ratios!$A$1:$AX$46,C65,FALSE)</f>
        <v>1698216691.5888965</v>
      </c>
    </row>
    <row r="66" spans="1:4" ht="35" customHeight="1">
      <c r="A66" s="135" t="s">
        <v>153</v>
      </c>
      <c r="B66" s="144">
        <f t="shared" si="0"/>
        <v>371891970.56940234</v>
      </c>
      <c r="C66" s="142">
        <v>37</v>
      </c>
      <c r="D66" s="149">
        <f>B58*HLOOKUP($B$3,ratios!$A$1:$AX$46,C66,FALSE)</f>
        <v>309832926.05759132</v>
      </c>
    </row>
    <row r="67" spans="1:4" ht="35" customHeight="1">
      <c r="A67" s="135" t="s">
        <v>150</v>
      </c>
      <c r="B67" s="144">
        <f t="shared" si="0"/>
        <v>534649495.7592231</v>
      </c>
      <c r="C67" s="142">
        <v>38</v>
      </c>
      <c r="D67" s="149">
        <f>B59*HLOOKUP($B$3,ratios!$A$1:$AX$46,C67,FALSE)</f>
        <v>445430476.57809526</v>
      </c>
    </row>
    <row r="68" spans="1:4" ht="35" customHeight="1">
      <c r="A68" s="135" t="s">
        <v>151</v>
      </c>
      <c r="B68" s="144">
        <f t="shared" si="0"/>
        <v>1482621581.0766835</v>
      </c>
      <c r="C68" s="142">
        <v>39</v>
      </c>
      <c r="D68" s="149">
        <f>B60*HLOOKUP($B$3,ratios!$A$1:$AX$46,C68,FALSE)</f>
        <v>1235210811.3487616</v>
      </c>
    </row>
    <row r="69" spans="1:4" ht="35" customHeight="1">
      <c r="A69" s="135" t="s">
        <v>711</v>
      </c>
      <c r="B69" s="144" t="s">
        <v>708</v>
      </c>
    </row>
    <row r="70" spans="1:4" ht="35" customHeight="1">
      <c r="A70" s="137" t="s">
        <v>329</v>
      </c>
      <c r="B70" s="144" t="s">
        <v>708</v>
      </c>
    </row>
    <row r="71" spans="1:4" ht="35" customHeight="1">
      <c r="A71" s="135" t="s">
        <v>330</v>
      </c>
      <c r="B71" s="144">
        <f>B53*0.1*HLOOKUP($B$3,ratios!$A$1:$AX$46,42,FALSE)</f>
        <v>1673638283.2854481</v>
      </c>
    </row>
    <row r="72" spans="1:4" ht="35" customHeight="1">
      <c r="A72" s="135" t="s">
        <v>331</v>
      </c>
      <c r="B72" s="144">
        <f>B53*0.08*HLOOKUP($B$3,ratios!$A$1:$AX$46,43,FALSE)</f>
        <v>1285741603.0304303</v>
      </c>
    </row>
    <row r="73" spans="1:4" ht="35" customHeight="1">
      <c r="A73" s="135" t="s">
        <v>332</v>
      </c>
      <c r="B73" s="144">
        <f>B53*0.07*HLOOKUP($B$3,ratios!$A$1:$AX$46,44,FALSE)</f>
        <v>885614371.66367543</v>
      </c>
    </row>
    <row r="74" spans="1:4" ht="35" customHeight="1">
      <c r="A74" s="135" t="s">
        <v>333</v>
      </c>
      <c r="B74" s="144">
        <f>B53*0.06*HLOOKUP($B$3,ratios!$A$1:$AX$46,45,FALSE)</f>
        <v>651840186.52556896</v>
      </c>
    </row>
    <row r="75" spans="1:4" ht="35" customHeight="1">
      <c r="A75" s="135" t="s">
        <v>334</v>
      </c>
      <c r="B75" s="144">
        <f>B53*0.03*HLOOKUP($B$3,ratios!$A$1:$AX$46,46,FALSE)</f>
        <v>94378523.701140523</v>
      </c>
    </row>
    <row r="76" spans="1:4" ht="35" customHeight="1">
      <c r="A76" s="137" t="s">
        <v>128</v>
      </c>
      <c r="B76" s="144"/>
    </row>
    <row r="77" spans="1:4" ht="35" customHeight="1">
      <c r="A77" s="135" t="s">
        <v>235</v>
      </c>
      <c r="B77" s="144">
        <f>SUM(B78:B80)</f>
        <v>213938844220.71393</v>
      </c>
    </row>
    <row r="78" spans="1:4" ht="35" customHeight="1">
      <c r="A78" s="135" t="s">
        <v>49</v>
      </c>
      <c r="B78" s="144">
        <f>B8*5*HLOOKUP($B$3,ratios!$A$1:$AX$93,49,FALSE)</f>
        <v>105688112784.52228</v>
      </c>
    </row>
    <row r="79" spans="1:4" ht="35" customHeight="1">
      <c r="A79" s="135" t="s">
        <v>50</v>
      </c>
      <c r="B79" s="144">
        <f>B8*5*HLOOKUP($B$3,ratios!$A$1:$AX$93,50,FALSE)</f>
        <v>80657825888.884476</v>
      </c>
    </row>
    <row r="80" spans="1:4" ht="35" customHeight="1">
      <c r="A80" s="135" t="s">
        <v>51</v>
      </c>
      <c r="B80" s="144">
        <f>B8*5*HLOOKUP($B$3,ratios!$A$1:$AX$93,51,FALSE)</f>
        <v>27592905547.307178</v>
      </c>
    </row>
    <row r="81" spans="1:2" ht="35" customHeight="1">
      <c r="A81" s="135" t="s">
        <v>236</v>
      </c>
      <c r="B81" s="144">
        <f>SUM(B82:B84)</f>
        <v>263936594160.4422</v>
      </c>
    </row>
    <row r="82" spans="1:2" ht="35" customHeight="1">
      <c r="A82" s="135" t="s">
        <v>49</v>
      </c>
      <c r="B82" s="144">
        <f>$B$8*4*HLOOKUP($B$3,ratios!$A$1:$AX$93,53,FALSE)</f>
        <v>97925424617.045609</v>
      </c>
    </row>
    <row r="83" spans="1:2" ht="35" customHeight="1">
      <c r="A83" s="135" t="s">
        <v>50</v>
      </c>
      <c r="B83" s="144">
        <f>$B$8*4*HLOOKUP($B$3,ratios!$A$1:$AX$93,54,FALSE)</f>
        <v>76794786158.968765</v>
      </c>
    </row>
    <row r="84" spans="1:2" ht="35" customHeight="1">
      <c r="A84" s="135" t="s">
        <v>51</v>
      </c>
      <c r="B84" s="144">
        <f>$B$8*4*HLOOKUP($B$3,ratios!$A$1:$AX$93,55,FALSE)</f>
        <v>89216383384.427826</v>
      </c>
    </row>
    <row r="85" spans="1:2" ht="35" customHeight="1">
      <c r="A85" s="135" t="s">
        <v>237</v>
      </c>
      <c r="B85" s="144" t="s">
        <v>708</v>
      </c>
    </row>
    <row r="86" spans="1:2" ht="35" customHeight="1">
      <c r="A86" s="135" t="s">
        <v>86</v>
      </c>
      <c r="B86" s="144">
        <f>B10</f>
        <v>10666935000</v>
      </c>
    </row>
    <row r="87" spans="1:2" ht="35" customHeight="1">
      <c r="A87" s="135" t="s">
        <v>238</v>
      </c>
      <c r="B87" s="144">
        <f>B86*HLOOKUP($B$3,ratios!$A$1:$AX$93,58,FALSE)</f>
        <v>10131079138.290195</v>
      </c>
    </row>
    <row r="88" spans="1:2" ht="35" customHeight="1">
      <c r="A88" s="135" t="s">
        <v>239</v>
      </c>
      <c r="B88" s="144">
        <f>B86-B87</f>
        <v>535855861.70980453</v>
      </c>
    </row>
    <row r="89" spans="1:2" ht="35" customHeight="1">
      <c r="A89" s="135" t="s">
        <v>130</v>
      </c>
      <c r="B89" s="144">
        <f>5*HLOOKUP($B$3,ratios!$A$1:$AX$93,60,FALSE)</f>
        <v>2.9148288612587407</v>
      </c>
    </row>
    <row r="90" spans="1:2" ht="35" customHeight="1">
      <c r="A90" s="135" t="s">
        <v>253</v>
      </c>
      <c r="B90" s="144">
        <f>SUM(B9:B10)</f>
        <v>11239582000</v>
      </c>
    </row>
    <row r="91" spans="1:2" ht="35" customHeight="1">
      <c r="A91" s="135" t="s">
        <v>259</v>
      </c>
      <c r="B91" s="144">
        <f>B15</f>
        <v>0</v>
      </c>
    </row>
    <row r="92" spans="1:2" ht="35" customHeight="1">
      <c r="A92" s="135" t="s">
        <v>404</v>
      </c>
      <c r="B92" s="144">
        <f>B15</f>
        <v>0</v>
      </c>
    </row>
    <row r="93" spans="1:2" ht="35" customHeight="1">
      <c r="A93" s="135" t="s">
        <v>405</v>
      </c>
      <c r="B93" s="144">
        <v>0</v>
      </c>
    </row>
    <row r="94" spans="1:2" ht="35" customHeight="1">
      <c r="A94" s="135" t="s">
        <v>711</v>
      </c>
      <c r="B94" s="144" t="s">
        <v>708</v>
      </c>
    </row>
    <row r="95" spans="1:2" ht="35" customHeight="1">
      <c r="A95" s="137" t="s">
        <v>129</v>
      </c>
      <c r="B95" s="144"/>
    </row>
    <row r="96" spans="1:2" ht="35" customHeight="1">
      <c r="A96" s="135" t="s">
        <v>54</v>
      </c>
      <c r="B96" s="144">
        <f>SUM(B97:B100)</f>
        <v>275841000.92135334</v>
      </c>
    </row>
    <row r="97" spans="1:2" ht="35" customHeight="1">
      <c r="A97" s="135" t="s">
        <v>52</v>
      </c>
      <c r="B97" s="144">
        <f>B11*0.02*HLOOKUP($B$3,ratios!$A$1:$AX$93,68,FALSE)</f>
        <v>30578494.620128077</v>
      </c>
    </row>
    <row r="98" spans="1:2" ht="35" customHeight="1">
      <c r="A98" s="135" t="s">
        <v>79</v>
      </c>
      <c r="B98" s="144">
        <f>B11*0.02*HLOOKUP($B$3,ratios!$A$1:$AX$93,69,FALSE)</f>
        <v>12921326.214176347</v>
      </c>
    </row>
    <row r="99" spans="1:2" ht="35" customHeight="1">
      <c r="A99" s="135" t="s">
        <v>53</v>
      </c>
      <c r="B99" s="144">
        <f>B11*0.02*HLOOKUP($B$3,ratios!$A$1:$AX$93,70,FALSE)</f>
        <v>186696107.99207431</v>
      </c>
    </row>
    <row r="100" spans="1:2" ht="35" customHeight="1">
      <c r="A100" s="135" t="s">
        <v>146</v>
      </c>
      <c r="B100" s="144">
        <f>B11*0.02*HLOOKUP($B$3,ratios!$A$1:$AX$93,71,FALSE)</f>
        <v>45645072.094974615</v>
      </c>
    </row>
    <row r="101" spans="1:2" ht="35" customHeight="1">
      <c r="A101" s="135" t="s">
        <v>62</v>
      </c>
      <c r="B101" s="144">
        <f>B11*0.8*HLOOKUP($B$3,ratios!$A$1:$AX$93,72,FALSE)</f>
        <v>13342809911.245504</v>
      </c>
    </row>
    <row r="102" spans="1:2" ht="35" customHeight="1">
      <c r="A102" s="138" t="s">
        <v>711</v>
      </c>
      <c r="B102" s="144" t="s">
        <v>708</v>
      </c>
    </row>
    <row r="103" spans="1:2" ht="35" customHeight="1">
      <c r="A103" s="137" t="s">
        <v>354</v>
      </c>
      <c r="B103" s="144"/>
    </row>
    <row r="104" spans="1:2" ht="35" customHeight="1">
      <c r="A104" s="135" t="s">
        <v>274</v>
      </c>
      <c r="B104" s="144">
        <f>B11*0.02*HLOOKUP($B$3,ratios!$A$1:$AX$93,75,FALSE)</f>
        <v>261496651.2326892</v>
      </c>
    </row>
    <row r="105" spans="1:2" ht="35" customHeight="1">
      <c r="A105" s="135" t="s">
        <v>275</v>
      </c>
      <c r="B105" s="144">
        <f>B11*0.02*HLOOKUP($B$3,ratios!$A$1:$AX$93,76,FALSE)</f>
        <v>13893892.530704176</v>
      </c>
    </row>
    <row r="106" spans="1:2" ht="35" customHeight="1">
      <c r="A106" s="135" t="s">
        <v>342</v>
      </c>
      <c r="B106" s="144">
        <f>5*HLOOKUP($B$3,ratios!$A$1:$AX$93,77,FALSE)</f>
        <v>2.5124788126169424</v>
      </c>
    </row>
    <row r="107" spans="1:2" ht="35" customHeight="1">
      <c r="A107" s="138" t="s">
        <v>711</v>
      </c>
      <c r="B107" s="144" t="s">
        <v>708</v>
      </c>
    </row>
    <row r="108" spans="1:2" ht="35" customHeight="1">
      <c r="A108" s="139" t="s">
        <v>210</v>
      </c>
      <c r="B108" s="144" t="s">
        <v>708</v>
      </c>
    </row>
    <row r="109" spans="1:2" ht="35" customHeight="1">
      <c r="A109" s="135" t="s">
        <v>26</v>
      </c>
      <c r="B109" s="144">
        <f>IF(HLOOKUP($B$3,ratios!$A$1:$AX$93,80,FALSE)&gt;0.5,HLOOKUP($B$3,ratios!$A$1:$AX$93,80,FALSE)*B20*0.05,0)</f>
        <v>559739327.58210564</v>
      </c>
    </row>
    <row r="110" spans="1:2" ht="35" customHeight="1">
      <c r="A110" s="135" t="s">
        <v>29</v>
      </c>
      <c r="B110" s="144">
        <f>IF(HLOOKUP($B$3,ratios!$A$1:$AX$93,81,FALSE)&gt;0.5,HLOOKUP($B$3,ratios!$A$1:$AX$93,81,FALSE)*B20*0.05,0)</f>
        <v>0</v>
      </c>
    </row>
    <row r="111" spans="1:2" ht="35" customHeight="1">
      <c r="A111" s="135" t="s">
        <v>30</v>
      </c>
      <c r="B111" s="144">
        <f>IF(HLOOKUP($B$3,ratios!$A$1:$AX$93,82,FALSE)&gt;0.5,HLOOKUP($B$3,ratios!$A$1:$AX$93,82,FALSE)*B20*0.05,0)</f>
        <v>0</v>
      </c>
    </row>
    <row r="112" spans="1:2" ht="35" customHeight="1">
      <c r="A112" s="135" t="s">
        <v>33</v>
      </c>
      <c r="B112" s="144">
        <f>IF(HLOOKUP($B$3,ratios!$A$1:$AX$93,83,FALSE)&gt;0.5,HLOOKUP($B$3,ratios!$A$1:$AX$93,83,FALSE)*B20*0.05,0)</f>
        <v>0</v>
      </c>
    </row>
    <row r="113" spans="1:2" ht="35" customHeight="1">
      <c r="A113" s="135" t="s">
        <v>34</v>
      </c>
      <c r="B113" s="144">
        <f>IF(HLOOKUP($B$3,ratios!$A$1:$AX$93,84,FALSE)&gt;0.5,HLOOKUP($B$3,ratios!$A$1:$AX$93,84,FALSE)*B20*0.05,0)</f>
        <v>0</v>
      </c>
    </row>
    <row r="114" spans="1:2" ht="35" customHeight="1">
      <c r="A114" s="135" t="s">
        <v>35</v>
      </c>
      <c r="B114" s="144">
        <f>IF(HLOOKUP($B$3,ratios!$A$1:$AX$93,85,FALSE)&gt;0.5,HLOOKUP($B$3,ratios!$A$1:$AX$93,85,FALSE)*B20*0.05,0)</f>
        <v>1006625879.6935198</v>
      </c>
    </row>
    <row r="115" spans="1:2" ht="35" customHeight="1">
      <c r="A115" s="135" t="s">
        <v>36</v>
      </c>
      <c r="B115" s="144">
        <f>IF(HLOOKUP($B$3,ratios!$A$1:$AX$93,86,FALSE)&gt;0.5,HLOOKUP($B$3,ratios!$A$1:$AX$93,86,FALSE)*B20*0.05,0)</f>
        <v>635822061.28053582</v>
      </c>
    </row>
    <row r="116" spans="1:2" ht="35" customHeight="1">
      <c r="A116" s="135" t="s">
        <v>37</v>
      </c>
      <c r="B116" s="144">
        <f>IF(HLOOKUP($B$3,ratios!$A$1:$AX$93,87,FALSE)&gt;0.5,HLOOKUP($B$3,ratios!$A$1:$AX$93,87,FALSE)*B20*0.05,0)</f>
        <v>0</v>
      </c>
    </row>
    <row r="117" spans="1:2" ht="35" customHeight="1">
      <c r="A117" s="135" t="s">
        <v>27</v>
      </c>
      <c r="B117" s="144">
        <f>IF(HLOOKUP($B$3,ratios!$A$1:$AX$93,88,FALSE)&gt;0.5,HLOOKUP($B$3,ratios!$A$1:$AX$93,88,FALSE)*B20*0.05,0)</f>
        <v>0</v>
      </c>
    </row>
    <row r="118" spans="1:2" ht="35" customHeight="1">
      <c r="A118" s="135" t="s">
        <v>32</v>
      </c>
      <c r="B118" s="144">
        <f>IF(HLOOKUP($B$3,ratios!$A$1:$AX$93,89,FALSE)&gt;0.5,HLOOKUP($B$3,ratios!$A$1:$AX$93,89,FALSE)*B20*0.05,0)</f>
        <v>963449861.15655899</v>
      </c>
    </row>
    <row r="119" spans="1:2" ht="35" customHeight="1">
      <c r="A119" s="135" t="s">
        <v>28</v>
      </c>
      <c r="B119" s="144">
        <f>IF(HLOOKUP($B$3,ratios!$A$1:$AX$93,90,FALSE)&gt;0.5,HLOOKUP($B$3,ratios!$A$1:$AX$93,90,FALSE)*B20*0.05,0)</f>
        <v>530264196.35802585</v>
      </c>
    </row>
    <row r="120" spans="1:2" ht="35" customHeight="1">
      <c r="A120" s="135" t="s">
        <v>31</v>
      </c>
      <c r="B120" s="144">
        <f>IF(HLOOKUP($B$3,ratios!$A$1:$AX$93,91,FALSE)&gt;0.5,HLOOKUP($B$3,ratios!$A$1:$AX$93,91,FALSE)*B20*0.05,0)</f>
        <v>658310332.01025736</v>
      </c>
    </row>
    <row r="121" spans="1:2" ht="35" customHeight="1">
      <c r="A121" s="137"/>
      <c r="B121" s="147"/>
    </row>
    <row r="122" spans="1:2" ht="35" customHeight="1">
      <c r="A122" s="135"/>
      <c r="B122" s="147"/>
    </row>
    <row r="123" spans="1:2" ht="35" customHeight="1">
      <c r="B123" s="147"/>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FEA9C6E-E2F1-0642-898E-248001D487F4}">
          <x14:formula1>
            <xm:f>Banks!$B$1:$B$48</xm:f>
          </x14:formula1>
          <xm:sqref>B1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48A49-12C4-BC46-AA56-8C5BE53C0579}">
  <dimension ref="A1:AX93"/>
  <sheetViews>
    <sheetView workbookViewId="0">
      <selection activeCell="E19" sqref="E19"/>
    </sheetView>
  </sheetViews>
  <sheetFormatPr baseColWidth="10" defaultColWidth="33" defaultRowHeight="30" customHeight="1"/>
  <cols>
    <col min="1" max="1" width="49.796875" style="133" customWidth="1"/>
    <col min="2" max="2" width="21.796875" style="133" customWidth="1"/>
    <col min="3" max="16384" width="33" style="133"/>
  </cols>
  <sheetData>
    <row r="1" spans="1:50" ht="30" customHeight="1">
      <c r="B1" s="134" t="s">
        <v>511</v>
      </c>
      <c r="C1" s="134" t="s">
        <v>513</v>
      </c>
      <c r="D1" s="134" t="s">
        <v>629</v>
      </c>
      <c r="E1" s="134" t="s">
        <v>515</v>
      </c>
      <c r="F1" s="134" t="s">
        <v>517</v>
      </c>
      <c r="G1" s="134" t="s">
        <v>519</v>
      </c>
      <c r="H1" s="134" t="s">
        <v>521</v>
      </c>
      <c r="I1" s="134" t="s">
        <v>523</v>
      </c>
      <c r="J1" s="134" t="s">
        <v>525</v>
      </c>
      <c r="K1" s="134" t="s">
        <v>527</v>
      </c>
      <c r="L1" s="134" t="s">
        <v>529</v>
      </c>
      <c r="M1" s="134" t="s">
        <v>531</v>
      </c>
      <c r="N1" s="134" t="s">
        <v>533</v>
      </c>
      <c r="O1" s="134" t="s">
        <v>535</v>
      </c>
      <c r="P1" s="134" t="s">
        <v>537</v>
      </c>
      <c r="Q1" s="134" t="s">
        <v>539</v>
      </c>
      <c r="R1" s="134" t="s">
        <v>541</v>
      </c>
      <c r="S1" s="134" t="s">
        <v>543</v>
      </c>
      <c r="T1" s="134" t="s">
        <v>545</v>
      </c>
      <c r="U1" s="134" t="s">
        <v>547</v>
      </c>
      <c r="V1" s="134" t="s">
        <v>549</v>
      </c>
      <c r="W1" s="134" t="s">
        <v>551</v>
      </c>
      <c r="X1" s="134" t="s">
        <v>553</v>
      </c>
      <c r="Y1" s="134" t="s">
        <v>555</v>
      </c>
      <c r="Z1" s="134" t="s">
        <v>557</v>
      </c>
      <c r="AA1" s="134" t="s">
        <v>559</v>
      </c>
      <c r="AB1" s="134" t="s">
        <v>561</v>
      </c>
      <c r="AC1" s="134" t="s">
        <v>563</v>
      </c>
      <c r="AD1" s="134" t="s">
        <v>565</v>
      </c>
      <c r="AE1" s="134" t="s">
        <v>567</v>
      </c>
      <c r="AF1" s="134" t="s">
        <v>569</v>
      </c>
      <c r="AG1" s="134" t="s">
        <v>571</v>
      </c>
      <c r="AH1" s="134" t="s">
        <v>573</v>
      </c>
      <c r="AI1" s="134" t="s">
        <v>575</v>
      </c>
      <c r="AJ1" s="134" t="s">
        <v>577</v>
      </c>
      <c r="AK1" s="134" t="s">
        <v>579</v>
      </c>
      <c r="AL1" s="134" t="s">
        <v>581</v>
      </c>
      <c r="AM1" s="134" t="s">
        <v>583</v>
      </c>
      <c r="AN1" s="134" t="s">
        <v>585</v>
      </c>
      <c r="AO1" s="134" t="s">
        <v>587</v>
      </c>
      <c r="AP1" s="134" t="s">
        <v>589</v>
      </c>
      <c r="AQ1" s="134" t="s">
        <v>591</v>
      </c>
      <c r="AR1" s="134" t="s">
        <v>593</v>
      </c>
      <c r="AS1" s="134" t="s">
        <v>595</v>
      </c>
      <c r="AT1" s="134" t="s">
        <v>597</v>
      </c>
      <c r="AU1" s="134" t="s">
        <v>599</v>
      </c>
      <c r="AV1" s="134" t="s">
        <v>601</v>
      </c>
      <c r="AW1" s="134" t="s">
        <v>603</v>
      </c>
      <c r="AX1" s="134" t="s">
        <v>605</v>
      </c>
    </row>
    <row r="2" spans="1:50" ht="30" customHeight="1">
      <c r="A2" s="133" t="s">
        <v>630</v>
      </c>
      <c r="B2" s="133">
        <v>0.93800135135040519</v>
      </c>
      <c r="C2" s="133">
        <v>7.5177474534815047E-2</v>
      </c>
      <c r="D2" s="133">
        <v>2.8729248750662961E-3</v>
      </c>
      <c r="E2" s="133">
        <v>0.78208809558303016</v>
      </c>
      <c r="F2" s="133">
        <v>0.61438803340818859</v>
      </c>
      <c r="G2" s="133">
        <v>0.13255357590534744</v>
      </c>
      <c r="H2" s="133">
        <v>0.66564954352376238</v>
      </c>
      <c r="I2" s="133">
        <v>0.18712062671559015</v>
      </c>
      <c r="J2" s="133">
        <v>0.91502007989208856</v>
      </c>
      <c r="K2" s="133">
        <v>0.98339159375033536</v>
      </c>
      <c r="L2" s="133">
        <v>0.40743773473217659</v>
      </c>
      <c r="M2" s="133">
        <v>0.69071836719422353</v>
      </c>
      <c r="N2" s="133">
        <v>0.97521319392710959</v>
      </c>
      <c r="O2" s="133">
        <v>0.31603424513228695</v>
      </c>
      <c r="P2" s="133">
        <v>0.55309219424203959</v>
      </c>
      <c r="Q2" s="133">
        <v>0.8566981952659275</v>
      </c>
      <c r="R2" s="133">
        <v>0.39652749928888131</v>
      </c>
      <c r="S2" s="133">
        <v>0.61460700207456143</v>
      </c>
      <c r="T2" s="133">
        <v>0.50487010798332643</v>
      </c>
      <c r="U2" s="133">
        <v>0.92841356879427062</v>
      </c>
      <c r="V2" s="133">
        <v>0.53596700933387409</v>
      </c>
      <c r="W2" s="133">
        <v>0.72506179309617702</v>
      </c>
      <c r="X2" s="133">
        <v>0.67227203252948697</v>
      </c>
      <c r="Y2" s="133">
        <v>0.21185953831973481</v>
      </c>
      <c r="Z2" s="133">
        <v>0.1707601853796441</v>
      </c>
      <c r="AA2" s="133">
        <v>0.21300207787668712</v>
      </c>
      <c r="AB2" s="133">
        <v>0.66451318428704231</v>
      </c>
      <c r="AC2" s="133">
        <v>0.48003180766325759</v>
      </c>
      <c r="AD2" s="133">
        <v>0.15131495973838838</v>
      </c>
      <c r="AE2" s="133">
        <v>0.65778982088584725</v>
      </c>
      <c r="AF2" s="133">
        <v>0.16966800192678055</v>
      </c>
      <c r="AG2" s="133">
        <v>0.90187501644691581</v>
      </c>
      <c r="AH2" s="133">
        <v>4.6392787726858509E-2</v>
      </c>
      <c r="AI2" s="133">
        <v>8.49685743265024E-2</v>
      </c>
      <c r="AJ2" s="133">
        <v>9.3590922244907393E-2</v>
      </c>
      <c r="AK2" s="133">
        <v>0.45829242183418983</v>
      </c>
      <c r="AL2" s="133">
        <v>0.76095580360274206</v>
      </c>
      <c r="AM2" s="133">
        <v>0.98081975297385138</v>
      </c>
      <c r="AN2" s="133">
        <v>0.64931984984052493</v>
      </c>
      <c r="AO2" s="133">
        <v>0.72195253620482536</v>
      </c>
      <c r="AP2" s="133">
        <v>0.28034602310916701</v>
      </c>
      <c r="AQ2" s="133">
        <v>0.30397064134711027</v>
      </c>
      <c r="AR2" s="133">
        <v>0.62148863937484122</v>
      </c>
      <c r="AS2" s="133">
        <v>0.71920792245384246</v>
      </c>
      <c r="AT2" s="133">
        <v>0.47492242041201138</v>
      </c>
      <c r="AU2" s="133">
        <v>0.69397453769540296</v>
      </c>
      <c r="AV2" s="133">
        <v>0.3765564727089713</v>
      </c>
      <c r="AW2" s="133">
        <v>0.87617081822571341</v>
      </c>
      <c r="AX2" s="133">
        <v>0.4182671194984523</v>
      </c>
    </row>
    <row r="3" spans="1:50" ht="30" customHeight="1">
      <c r="A3" s="133" t="s">
        <v>631</v>
      </c>
      <c r="B3" s="133">
        <v>0.48273154616385539</v>
      </c>
      <c r="C3" s="133">
        <v>2.7584699682397185E-2</v>
      </c>
      <c r="D3" s="133">
        <v>0.46520945203112785</v>
      </c>
      <c r="E3" s="133">
        <v>0.39118707433564304</v>
      </c>
      <c r="F3" s="133">
        <v>0.20959513261067264</v>
      </c>
      <c r="G3" s="133">
        <v>0.45152175190186117</v>
      </c>
      <c r="H3" s="133">
        <v>0.38834394200175515</v>
      </c>
      <c r="I3" s="133">
        <v>0.21505694334867143</v>
      </c>
      <c r="J3" s="133">
        <v>0.23542727029019495</v>
      </c>
      <c r="K3" s="133">
        <v>0.36224927423407383</v>
      </c>
      <c r="L3" s="133">
        <v>0.11982730720321844</v>
      </c>
      <c r="M3" s="133">
        <v>0.47490437735570457</v>
      </c>
      <c r="N3" s="133">
        <v>8.0485211744859675E-2</v>
      </c>
      <c r="O3" s="133">
        <v>0.95847165354828978</v>
      </c>
      <c r="P3" s="133">
        <v>0.3079077854812271</v>
      </c>
      <c r="Q3" s="133">
        <v>0.71015447129339337</v>
      </c>
      <c r="R3" s="133">
        <v>0.28933559419985555</v>
      </c>
      <c r="S3" s="133">
        <v>0.59665024342351602</v>
      </c>
      <c r="T3" s="133">
        <v>0.73740972881081912</v>
      </c>
      <c r="U3" s="133">
        <v>0.99343355864697891</v>
      </c>
      <c r="V3" s="133">
        <v>0.59366973992530325</v>
      </c>
      <c r="W3" s="133">
        <v>0.85858371146172041</v>
      </c>
      <c r="X3" s="133">
        <v>0.80385965599106868</v>
      </c>
      <c r="Y3" s="133">
        <v>0.59310267263421235</v>
      </c>
      <c r="Z3" s="133">
        <v>0.33785606799486134</v>
      </c>
      <c r="AA3" s="133">
        <v>0.20385279175771776</v>
      </c>
      <c r="AB3" s="133">
        <v>0.41720587058269509</v>
      </c>
      <c r="AC3" s="133">
        <v>0.31864546064825205</v>
      </c>
      <c r="AD3" s="133">
        <v>0.88555056586667324</v>
      </c>
      <c r="AE3" s="133">
        <v>0.2259301141029656</v>
      </c>
      <c r="AF3" s="133">
        <v>0.13966079939256004</v>
      </c>
      <c r="AG3" s="133">
        <v>0.88022903713733436</v>
      </c>
      <c r="AH3" s="133">
        <v>3.3716892504521367E-2</v>
      </c>
      <c r="AI3" s="133">
        <v>0.19719073187997249</v>
      </c>
      <c r="AJ3" s="133">
        <v>0.51780532369123311</v>
      </c>
      <c r="AK3" s="133">
        <v>0.51866638873218029</v>
      </c>
      <c r="AL3" s="133">
        <v>0.80830650387579672</v>
      </c>
      <c r="AM3" s="133">
        <v>5.3667581666399067E-2</v>
      </c>
      <c r="AN3" s="133">
        <v>0.56218754007070293</v>
      </c>
      <c r="AO3" s="133">
        <v>0.57706428492376072</v>
      </c>
      <c r="AP3" s="133">
        <v>0.87048565757576202</v>
      </c>
      <c r="AQ3" s="133">
        <v>0.14464961884261363</v>
      </c>
      <c r="AR3" s="133">
        <v>0.60597437903559304</v>
      </c>
      <c r="AS3" s="133">
        <v>0.22988498107889987</v>
      </c>
      <c r="AT3" s="133">
        <v>0.32570814965130912</v>
      </c>
      <c r="AU3" s="133">
        <v>0.13244722486111504</v>
      </c>
      <c r="AV3" s="133">
        <v>0.21299193702167041</v>
      </c>
      <c r="AW3" s="133">
        <v>0.95312913056798143</v>
      </c>
      <c r="AX3" s="133">
        <v>0.82229758083614013</v>
      </c>
    </row>
    <row r="4" spans="1:50" ht="30" customHeight="1">
      <c r="A4" s="135" t="s">
        <v>349</v>
      </c>
      <c r="B4" s="133">
        <v>5.8659385749882498E-2</v>
      </c>
      <c r="C4" s="133">
        <v>0.9618580235237304</v>
      </c>
      <c r="D4" s="133">
        <v>0.70022458291900125</v>
      </c>
      <c r="E4" s="133">
        <v>0.89569671454521327</v>
      </c>
      <c r="F4" s="133">
        <v>0.24510641698364077</v>
      </c>
      <c r="G4" s="133">
        <v>0.85693280062213462</v>
      </c>
      <c r="H4" s="133">
        <v>0.44802959186283908</v>
      </c>
      <c r="I4" s="133">
        <v>0.50345085503466847</v>
      </c>
      <c r="J4" s="133">
        <v>0.21043782212900219</v>
      </c>
      <c r="K4" s="133">
        <v>0.95419969510473657</v>
      </c>
      <c r="L4" s="133">
        <v>3.3536677712171947E-2</v>
      </c>
      <c r="M4" s="133">
        <v>0.33816057887905426</v>
      </c>
      <c r="N4" s="133">
        <v>0.86402101440519852</v>
      </c>
      <c r="O4" s="133">
        <v>0.99482806134447666</v>
      </c>
      <c r="P4" s="133">
        <v>0.85417896291463247</v>
      </c>
      <c r="Q4" s="133">
        <v>0.26071545266698914</v>
      </c>
      <c r="R4" s="133">
        <v>0.44146738791722984</v>
      </c>
      <c r="S4" s="133">
        <v>0.57358526912277752</v>
      </c>
      <c r="T4" s="133">
        <v>5.3542105186102029E-2</v>
      </c>
      <c r="U4" s="133">
        <v>0.50803138489847577</v>
      </c>
      <c r="V4" s="133">
        <v>0.55987078997093986</v>
      </c>
      <c r="W4" s="133">
        <v>0.24642320822279395</v>
      </c>
      <c r="X4" s="133">
        <v>0.1560531421324588</v>
      </c>
      <c r="Y4" s="133">
        <v>0.23977020472353272</v>
      </c>
      <c r="Z4" s="133">
        <v>0.63856107666048845</v>
      </c>
      <c r="AA4" s="133">
        <v>0.94763009674058873</v>
      </c>
      <c r="AB4" s="133">
        <v>0.32111468845395019</v>
      </c>
      <c r="AC4" s="133">
        <v>0.27413067988084139</v>
      </c>
      <c r="AD4" s="133">
        <v>0.32415355446294647</v>
      </c>
      <c r="AE4" s="133">
        <v>0.91281143668676246</v>
      </c>
      <c r="AF4" s="133">
        <v>0.73251669692212174</v>
      </c>
      <c r="AG4" s="133">
        <v>0.85118484769236646</v>
      </c>
      <c r="AH4" s="133">
        <v>0.23639765037065119</v>
      </c>
      <c r="AI4" s="133">
        <v>0.85613093614796498</v>
      </c>
      <c r="AJ4" s="133">
        <v>0.65186058109986078</v>
      </c>
      <c r="AK4" s="133">
        <v>0.65453640142147584</v>
      </c>
      <c r="AL4" s="133">
        <v>9.3275047641813824E-2</v>
      </c>
      <c r="AM4" s="133">
        <v>0.66303019222972392</v>
      </c>
      <c r="AN4" s="133">
        <v>0.10853655261056394</v>
      </c>
      <c r="AO4" s="133">
        <v>0.63177490195248498</v>
      </c>
      <c r="AP4" s="133">
        <v>6.5436588134537454E-2</v>
      </c>
      <c r="AQ4" s="133">
        <v>3.2418555073999045E-2</v>
      </c>
      <c r="AR4" s="133">
        <v>0.843818121967152</v>
      </c>
      <c r="AS4" s="133">
        <v>0.23783999463844296</v>
      </c>
      <c r="AT4" s="133">
        <v>0.55194896258309101</v>
      </c>
      <c r="AU4" s="133">
        <v>0.71627913701804391</v>
      </c>
      <c r="AV4" s="133">
        <v>0.95239916342582065</v>
      </c>
      <c r="AW4" s="133">
        <v>0.14824802323734743</v>
      </c>
      <c r="AX4" s="133">
        <v>0.6137299851517749</v>
      </c>
    </row>
    <row r="5" spans="1:50" ht="30" customHeight="1">
      <c r="A5" s="135" t="s">
        <v>351</v>
      </c>
      <c r="B5" s="133">
        <v>0.86157770634015096</v>
      </c>
      <c r="C5" s="133">
        <v>0.53029855095495593</v>
      </c>
      <c r="D5" s="133">
        <v>0.54024760624365686</v>
      </c>
      <c r="E5" s="133">
        <v>0.47454837848438836</v>
      </c>
      <c r="F5" s="133">
        <v>0.20467624229292869</v>
      </c>
      <c r="G5" s="133">
        <v>0.19465125567649466</v>
      </c>
      <c r="H5" s="133">
        <v>0.87187100840241882</v>
      </c>
      <c r="I5" s="133">
        <v>0.44123449552986382</v>
      </c>
      <c r="J5" s="133">
        <v>0.97868471193093565</v>
      </c>
      <c r="K5" s="133">
        <v>0.44118391416143543</v>
      </c>
      <c r="L5" s="133">
        <v>0.82782947421891051</v>
      </c>
      <c r="M5" s="133">
        <v>0.90019361957106658</v>
      </c>
      <c r="N5" s="133">
        <v>0.10387446621782437</v>
      </c>
      <c r="O5" s="133">
        <v>0.39573380457912899</v>
      </c>
      <c r="P5" s="133">
        <v>0.13837534557726083</v>
      </c>
      <c r="Q5" s="133">
        <v>0.34671592478541302</v>
      </c>
      <c r="R5" s="133">
        <v>0.74905794005988335</v>
      </c>
      <c r="S5" s="133">
        <v>7.9414641778970951E-2</v>
      </c>
      <c r="T5" s="133">
        <v>0.80063835456767141</v>
      </c>
      <c r="U5" s="133">
        <v>0.60290226752414056</v>
      </c>
      <c r="V5" s="133">
        <v>0.72152079615328202</v>
      </c>
      <c r="W5" s="133">
        <v>0.40890575566594489</v>
      </c>
      <c r="X5" s="133">
        <v>0.66265624034635906</v>
      </c>
      <c r="Y5" s="133">
        <v>0.98182941897351639</v>
      </c>
      <c r="Z5" s="133">
        <v>0.98889552609521558</v>
      </c>
      <c r="AA5" s="133">
        <v>0.2869808541408827</v>
      </c>
      <c r="AB5" s="133">
        <v>3.8192980144525879E-2</v>
      </c>
      <c r="AC5" s="133">
        <v>0.12940315530716229</v>
      </c>
      <c r="AD5" s="133">
        <v>0.45210749171763098</v>
      </c>
      <c r="AE5" s="133">
        <v>0.53023262583629127</v>
      </c>
      <c r="AF5" s="133">
        <v>0.48112858635467171</v>
      </c>
      <c r="AG5" s="133">
        <v>0.17206816576383921</v>
      </c>
      <c r="AH5" s="133">
        <v>0.14331526360417868</v>
      </c>
      <c r="AI5" s="133">
        <v>0.78594215157875447</v>
      </c>
      <c r="AJ5" s="133">
        <v>0.43344193528978581</v>
      </c>
      <c r="AK5" s="133">
        <v>0.79313309965869472</v>
      </c>
      <c r="AL5" s="133">
        <v>0.27022298455421823</v>
      </c>
      <c r="AM5" s="133">
        <v>0.60813828511704415</v>
      </c>
      <c r="AN5" s="133">
        <v>0.47634083640200542</v>
      </c>
      <c r="AO5" s="133">
        <v>0.91254624132442586</v>
      </c>
      <c r="AP5" s="133">
        <v>0.81067906721660532</v>
      </c>
      <c r="AQ5" s="133">
        <v>0.98142453625563042</v>
      </c>
      <c r="AR5" s="133">
        <v>4.2186196185671099E-2</v>
      </c>
      <c r="AS5" s="133">
        <v>0.77726772570009772</v>
      </c>
      <c r="AT5" s="133">
        <v>0.65016641425995081</v>
      </c>
      <c r="AU5" s="133">
        <v>0.94976231109268716</v>
      </c>
      <c r="AV5" s="133">
        <v>0.39064791821823008</v>
      </c>
      <c r="AW5" s="133">
        <v>0.7012217694931363</v>
      </c>
      <c r="AX5" s="133">
        <v>0.43043037446544097</v>
      </c>
    </row>
    <row r="6" spans="1:50" ht="30" customHeight="1">
      <c r="A6" s="136" t="s">
        <v>15</v>
      </c>
      <c r="B6" s="133">
        <v>0.52645303500086793</v>
      </c>
      <c r="C6" s="133">
        <v>0.30670202773754196</v>
      </c>
      <c r="D6" s="133">
        <v>0.19567403852238507</v>
      </c>
      <c r="E6" s="133">
        <v>0.65785837325694319</v>
      </c>
      <c r="F6" s="133">
        <v>0.21483573235925191</v>
      </c>
      <c r="G6" s="133">
        <v>0.45530588317949694</v>
      </c>
      <c r="H6" s="133">
        <v>0.53897416070355042</v>
      </c>
      <c r="I6" s="133">
        <v>0.68608936141098376</v>
      </c>
      <c r="J6" s="133">
        <v>0.76300256217165718</v>
      </c>
      <c r="K6" s="133">
        <v>7.1228802819598425E-3</v>
      </c>
      <c r="L6" s="133">
        <v>0.53818947319322819</v>
      </c>
      <c r="M6" s="133">
        <v>1.6946928208620538E-2</v>
      </c>
      <c r="N6" s="133">
        <v>0.36791182986002802</v>
      </c>
      <c r="O6" s="133">
        <v>0.64339568028726246</v>
      </c>
      <c r="P6" s="133">
        <v>0.32517583822522089</v>
      </c>
      <c r="Q6" s="133">
        <v>0.44831298877980763</v>
      </c>
      <c r="R6" s="133">
        <v>0.1557750905806522</v>
      </c>
      <c r="S6" s="133">
        <v>0.99469735209556265</v>
      </c>
      <c r="T6" s="133">
        <v>0.82311103711802003</v>
      </c>
      <c r="U6" s="133">
        <v>0.28116345468970605</v>
      </c>
      <c r="V6" s="133">
        <v>0.76459168665140076</v>
      </c>
      <c r="W6" s="133">
        <v>0.93727384435958561</v>
      </c>
      <c r="X6" s="133">
        <v>0.3266850162599112</v>
      </c>
      <c r="Y6" s="133">
        <v>0.58233294140146818</v>
      </c>
      <c r="Z6" s="133">
        <v>0.53739446375495381</v>
      </c>
      <c r="AA6" s="133">
        <v>0.50692114952944634</v>
      </c>
      <c r="AB6" s="133">
        <v>0.65813108294055944</v>
      </c>
      <c r="AC6" s="133">
        <v>0.42121259752209406</v>
      </c>
      <c r="AD6" s="133">
        <v>0.4448600253560161</v>
      </c>
      <c r="AE6" s="133">
        <v>0.31944225385972302</v>
      </c>
      <c r="AF6" s="133">
        <v>0.16184411240047081</v>
      </c>
      <c r="AG6" s="133">
        <v>2.9882715732242882E-2</v>
      </c>
      <c r="AH6" s="133">
        <v>0.92537961615301456</v>
      </c>
      <c r="AI6" s="133">
        <v>2.6492330758482563E-2</v>
      </c>
      <c r="AJ6" s="133">
        <v>0.59396609362829655</v>
      </c>
      <c r="AK6" s="133">
        <v>0.52685836375963269</v>
      </c>
      <c r="AL6" s="133">
        <v>0.74398782308982569</v>
      </c>
      <c r="AM6" s="133">
        <v>0.90117739785111783</v>
      </c>
      <c r="AN6" s="133">
        <v>0.94770252584001258</v>
      </c>
      <c r="AO6" s="133">
        <v>0.41506524386713728</v>
      </c>
      <c r="AP6" s="133">
        <v>5.9330491771967253E-3</v>
      </c>
      <c r="AQ6" s="133">
        <v>0.51377404169369623</v>
      </c>
      <c r="AR6" s="133">
        <v>0.61882602357111605</v>
      </c>
      <c r="AS6" s="133">
        <v>0.27315184566724127</v>
      </c>
      <c r="AT6" s="133">
        <v>0.62239096743902933</v>
      </c>
      <c r="AU6" s="133">
        <v>4.4229650545724142E-2</v>
      </c>
      <c r="AV6" s="133">
        <v>0.84129904355473373</v>
      </c>
      <c r="AW6" s="133">
        <v>0.21476359202495254</v>
      </c>
      <c r="AX6" s="133">
        <v>0.49153064264582069</v>
      </c>
    </row>
    <row r="7" spans="1:50" ht="30" customHeight="1">
      <c r="A7" s="136"/>
    </row>
    <row r="8" spans="1:50" ht="30" customHeight="1">
      <c r="A8" s="136" t="s">
        <v>80</v>
      </c>
      <c r="B8" s="133">
        <v>0.6869962093185813</v>
      </c>
      <c r="C8" s="133">
        <v>8.5973176018756869E-2</v>
      </c>
      <c r="D8" s="133">
        <v>8.5501299092607064E-2</v>
      </c>
      <c r="E8" s="133">
        <v>0.89559353847259049</v>
      </c>
      <c r="F8" s="133">
        <v>0.46280664964482432</v>
      </c>
      <c r="G8" s="133">
        <v>0.7324324927937006</v>
      </c>
      <c r="H8" s="133">
        <v>0.69997311430501241</v>
      </c>
      <c r="I8" s="133">
        <v>0.89656993238609817</v>
      </c>
      <c r="J8" s="133">
        <v>0.22453792435663711</v>
      </c>
      <c r="K8" s="133">
        <v>0.88722805598980448</v>
      </c>
      <c r="L8" s="133">
        <v>0.42347086122914568</v>
      </c>
      <c r="M8" s="133">
        <v>0.64003049408858159</v>
      </c>
      <c r="N8" s="133">
        <v>0.75360002602626175</v>
      </c>
      <c r="O8" s="133">
        <v>0.92410380850400997</v>
      </c>
      <c r="P8" s="133">
        <v>0.58889987707779534</v>
      </c>
      <c r="Q8" s="133">
        <v>0.34167934083031959</v>
      </c>
      <c r="R8" s="133">
        <v>0.50001325191899748</v>
      </c>
      <c r="S8" s="133">
        <v>0.54305795709091165</v>
      </c>
      <c r="T8" s="133">
        <v>0.66438101855592757</v>
      </c>
      <c r="U8" s="133">
        <v>0.72733956287714463</v>
      </c>
      <c r="V8" s="133">
        <v>0.53773567715489234</v>
      </c>
      <c r="W8" s="133">
        <v>0.29158960325240457</v>
      </c>
      <c r="X8" s="133">
        <v>0.10013965616087384</v>
      </c>
      <c r="Y8" s="133">
        <v>3.3351741112926048E-2</v>
      </c>
      <c r="Z8" s="133">
        <v>0.42544131978062405</v>
      </c>
      <c r="AA8" s="133">
        <v>0.79541520351382411</v>
      </c>
      <c r="AB8" s="133">
        <v>0.7895494587574341</v>
      </c>
      <c r="AC8" s="133">
        <v>0.19658893440992886</v>
      </c>
      <c r="AD8" s="133">
        <v>0.41962647110838824</v>
      </c>
      <c r="AE8" s="133">
        <v>6.4131411060686094E-2</v>
      </c>
      <c r="AF8" s="133">
        <v>0.6532537373617644</v>
      </c>
      <c r="AG8" s="133">
        <v>8.0418459948720544E-2</v>
      </c>
      <c r="AH8" s="133">
        <v>0.8939938631672999</v>
      </c>
      <c r="AI8" s="133">
        <v>0.54441660713496798</v>
      </c>
      <c r="AJ8" s="133">
        <v>6.6103072940174479E-2</v>
      </c>
      <c r="AK8" s="133">
        <v>0.17294304115442272</v>
      </c>
      <c r="AL8" s="133">
        <v>0.74376508644441319</v>
      </c>
      <c r="AM8" s="133">
        <v>0.71562707829535499</v>
      </c>
      <c r="AN8" s="133">
        <v>0.43193367796343907</v>
      </c>
      <c r="AO8" s="133">
        <v>0.83501086979144912</v>
      </c>
      <c r="AP8" s="133">
        <v>0.44141177080986793</v>
      </c>
      <c r="AQ8" s="133">
        <v>0.45379642942678944</v>
      </c>
      <c r="AR8" s="133">
        <v>0.57410580741923034</v>
      </c>
      <c r="AS8" s="133">
        <v>0.81037489037849231</v>
      </c>
      <c r="AT8" s="133">
        <v>0.3773412987197865</v>
      </c>
      <c r="AU8" s="133">
        <v>0.75316905237261256</v>
      </c>
      <c r="AV8" s="133">
        <v>0.62173858746075272</v>
      </c>
      <c r="AW8" s="133">
        <v>4.6243706525322503E-2</v>
      </c>
      <c r="AX8" s="133">
        <v>0.41898677155605746</v>
      </c>
    </row>
    <row r="9" spans="1:50" ht="30" customHeight="1">
      <c r="A9" s="135" t="s">
        <v>81</v>
      </c>
      <c r="B9" s="133">
        <v>0.84160378090157861</v>
      </c>
      <c r="C9" s="133">
        <v>1.8158546927162789E-3</v>
      </c>
      <c r="D9" s="133">
        <v>0.31999558198366784</v>
      </c>
      <c r="E9" s="133">
        <v>0.49893035950570075</v>
      </c>
      <c r="F9" s="133">
        <v>0.23815392967850313</v>
      </c>
      <c r="G9" s="133">
        <v>0.37715618504234394</v>
      </c>
      <c r="H9" s="133">
        <v>4.1722477063687036E-2</v>
      </c>
      <c r="I9" s="133">
        <v>0.80769606820331608</v>
      </c>
      <c r="J9" s="133">
        <v>5.0094261778204419E-2</v>
      </c>
      <c r="K9" s="133">
        <v>0.99660931149508503</v>
      </c>
      <c r="L9" s="133">
        <v>0.48839059107640026</v>
      </c>
      <c r="M9" s="133">
        <v>0.98067523586249927</v>
      </c>
      <c r="N9" s="133">
        <v>0.25594917937606876</v>
      </c>
      <c r="O9" s="133">
        <v>0.66138700384067606</v>
      </c>
      <c r="P9" s="133">
        <v>1.04538009424473E-2</v>
      </c>
      <c r="Q9" s="133">
        <v>0.76303398807574674</v>
      </c>
      <c r="R9" s="133">
        <v>0.41061938956306099</v>
      </c>
      <c r="S9" s="133">
        <v>0.19511249272145803</v>
      </c>
      <c r="T9" s="133">
        <v>0.91441679087947225</v>
      </c>
      <c r="U9" s="133">
        <v>0.79364032595090384</v>
      </c>
      <c r="V9" s="133">
        <v>0.4396515793427731</v>
      </c>
      <c r="W9" s="133">
        <v>0.40330425722350505</v>
      </c>
      <c r="X9" s="133">
        <v>0.60739140646799727</v>
      </c>
      <c r="Y9" s="133">
        <v>0.97591902286757537</v>
      </c>
      <c r="Z9" s="133">
        <v>0.20986330046818003</v>
      </c>
      <c r="AA9" s="133">
        <v>0.11870749438006556</v>
      </c>
      <c r="AB9" s="133">
        <v>0.22369188395036421</v>
      </c>
      <c r="AC9" s="133">
        <v>0.72039438206894502</v>
      </c>
      <c r="AD9" s="133">
        <v>0.28200059329497373</v>
      </c>
      <c r="AE9" s="133">
        <v>0.47622316651224506</v>
      </c>
      <c r="AF9" s="133">
        <v>0.18859989853520698</v>
      </c>
      <c r="AG9" s="133">
        <v>0.8413136967070457</v>
      </c>
      <c r="AH9" s="133">
        <v>0.68933731975420254</v>
      </c>
      <c r="AI9" s="133">
        <v>0.12811806807880144</v>
      </c>
      <c r="AJ9" s="133">
        <v>0.30564026355868812</v>
      </c>
      <c r="AK9" s="133">
        <v>0.14625668202562481</v>
      </c>
      <c r="AL9" s="133">
        <v>0.6788052622870282</v>
      </c>
      <c r="AM9" s="133">
        <v>0.55519468288989215</v>
      </c>
      <c r="AN9" s="133">
        <v>0.13867487569160519</v>
      </c>
      <c r="AO9" s="133">
        <v>0.83363578501772184</v>
      </c>
      <c r="AP9" s="133">
        <v>0.36582403434422461</v>
      </c>
      <c r="AQ9" s="133">
        <v>0.60997907535023954</v>
      </c>
      <c r="AR9" s="133">
        <v>6.0844068186419742E-2</v>
      </c>
      <c r="AS9" s="133">
        <v>0.43505363984196022</v>
      </c>
      <c r="AT9" s="133">
        <v>0.55151351269994542</v>
      </c>
      <c r="AU9" s="133">
        <v>0.54333903517836801</v>
      </c>
      <c r="AV9" s="133">
        <v>0.9987025303318432</v>
      </c>
      <c r="AW9" s="133">
        <v>0.13142862803433908</v>
      </c>
      <c r="AX9" s="133">
        <v>0.71346670590494021</v>
      </c>
    </row>
    <row r="10" spans="1:50" ht="30" customHeight="1">
      <c r="A10" s="135"/>
    </row>
    <row r="11" spans="1:50" ht="30" customHeight="1">
      <c r="A11" s="135" t="s">
        <v>83</v>
      </c>
      <c r="B11" s="133">
        <v>0.76509408743589213</v>
      </c>
      <c r="C11" s="133">
        <v>0.63894308440440561</v>
      </c>
      <c r="D11" s="133">
        <v>0.40193771236748388</v>
      </c>
      <c r="E11" s="133">
        <v>0.82634551019455349</v>
      </c>
      <c r="F11" s="133">
        <v>0.62486175220469387</v>
      </c>
      <c r="G11" s="133">
        <v>0.72420412136339241</v>
      </c>
      <c r="H11" s="133">
        <v>0.78198456445019859</v>
      </c>
      <c r="I11" s="133">
        <v>0.40244720066505824</v>
      </c>
      <c r="J11" s="133">
        <v>0.70618298117516709</v>
      </c>
      <c r="K11" s="133">
        <v>7.7885457005734127E-3</v>
      </c>
      <c r="L11" s="133">
        <v>0.31941364186105181</v>
      </c>
      <c r="M11" s="133">
        <v>0.24913010063948271</v>
      </c>
      <c r="N11" s="133">
        <v>0.26769030864594578</v>
      </c>
      <c r="O11" s="133">
        <v>0.70779614921644396</v>
      </c>
      <c r="P11" s="133">
        <v>0.13628976715013563</v>
      </c>
      <c r="Q11" s="133">
        <v>0.45988137986314048</v>
      </c>
      <c r="R11" s="133">
        <v>7.0418819773412467E-2</v>
      </c>
      <c r="S11" s="133">
        <v>0.6397523410824798</v>
      </c>
      <c r="T11" s="133">
        <v>0.82847584722801004</v>
      </c>
      <c r="U11" s="133">
        <v>0.53212267476265851</v>
      </c>
      <c r="V11" s="133">
        <v>0.91422724676335154</v>
      </c>
      <c r="W11" s="133">
        <v>0.61790769782172483</v>
      </c>
      <c r="X11" s="133">
        <v>0.24940079146666649</v>
      </c>
      <c r="Y11" s="133">
        <v>0.70744743914186636</v>
      </c>
      <c r="Z11" s="133">
        <v>0.68543030267730354</v>
      </c>
      <c r="AA11" s="133">
        <v>0.16444126898425704</v>
      </c>
      <c r="AB11" s="133">
        <v>8.062519180932981E-2</v>
      </c>
      <c r="AC11" s="133">
        <v>9.1247276501789987E-2</v>
      </c>
      <c r="AD11" s="133">
        <v>0.70763640404596284</v>
      </c>
      <c r="AE11" s="133">
        <v>0.82641118948554226</v>
      </c>
      <c r="AF11" s="133">
        <v>0.61973770764377867</v>
      </c>
      <c r="AG11" s="133">
        <v>0.24519224149122287</v>
      </c>
      <c r="AH11" s="133">
        <v>0.32631607732761825</v>
      </c>
      <c r="AI11" s="133">
        <v>0.20497803901462064</v>
      </c>
      <c r="AJ11" s="133">
        <v>0.71066169134267909</v>
      </c>
      <c r="AK11" s="133">
        <v>0.50656474824076125</v>
      </c>
      <c r="AL11" s="133">
        <v>0.81546047730415816</v>
      </c>
      <c r="AM11" s="133">
        <v>0.34899638376082831</v>
      </c>
      <c r="AN11" s="133">
        <v>0.87583579794087862</v>
      </c>
      <c r="AO11" s="133">
        <v>0.1749626072958721</v>
      </c>
      <c r="AP11" s="133">
        <v>0.36405198465662203</v>
      </c>
      <c r="AQ11" s="133">
        <v>0.36319948417314318</v>
      </c>
      <c r="AR11" s="133">
        <v>0.57266142853666457</v>
      </c>
      <c r="AS11" s="133">
        <v>0.30568490213166732</v>
      </c>
      <c r="AT11" s="133">
        <v>0.41647650669307434</v>
      </c>
      <c r="AU11" s="133">
        <v>0.92503802442686811</v>
      </c>
      <c r="AV11" s="133">
        <v>0.19702307591823842</v>
      </c>
      <c r="AW11" s="133">
        <v>0.46781844536191775</v>
      </c>
      <c r="AX11" s="133">
        <v>0.11881528208386172</v>
      </c>
    </row>
    <row r="12" spans="1:50" ht="30" customHeight="1">
      <c r="A12" s="135" t="s">
        <v>84</v>
      </c>
      <c r="B12" s="133">
        <v>0.16629682948392799</v>
      </c>
      <c r="C12" s="133">
        <v>0.58500014471618811</v>
      </c>
      <c r="D12" s="133">
        <v>0.1745509880659063</v>
      </c>
      <c r="E12" s="133">
        <v>0.9127945739369282</v>
      </c>
      <c r="F12" s="133">
        <v>0.10263027969244309</v>
      </c>
      <c r="G12" s="133">
        <v>0.90753281637501715</v>
      </c>
      <c r="H12" s="133">
        <v>0.1400923889377842</v>
      </c>
      <c r="I12" s="133">
        <v>0.84143230566010596</v>
      </c>
      <c r="J12" s="133">
        <v>0.67590755525084278</v>
      </c>
      <c r="K12" s="133">
        <v>0.70159706754261453</v>
      </c>
      <c r="L12" s="133">
        <v>0.93959710879962</v>
      </c>
      <c r="M12" s="133">
        <v>0.47967476106396079</v>
      </c>
      <c r="N12" s="133">
        <v>0.72998570214780178</v>
      </c>
      <c r="O12" s="133">
        <v>0.26147869441467753</v>
      </c>
      <c r="P12" s="133">
        <v>0.71020675271982647</v>
      </c>
      <c r="Q12" s="133">
        <v>0.29569459684902721</v>
      </c>
      <c r="R12" s="133">
        <v>0.20356835298378961</v>
      </c>
      <c r="S12" s="133">
        <v>8.8740139087432057E-3</v>
      </c>
      <c r="T12" s="133">
        <v>0.35872543855991046</v>
      </c>
      <c r="U12" s="133">
        <v>3.6891064529658291E-2</v>
      </c>
      <c r="V12" s="133">
        <v>0.83895892550710283</v>
      </c>
      <c r="W12" s="133">
        <v>3.496612142687372E-2</v>
      </c>
      <c r="X12" s="133">
        <v>0.54156035667590019</v>
      </c>
      <c r="Y12" s="133">
        <v>0.59158850222328896</v>
      </c>
      <c r="Z12" s="133">
        <v>0.18240203199753524</v>
      </c>
      <c r="AA12" s="133">
        <v>0.88947470700945885</v>
      </c>
      <c r="AB12" s="133">
        <v>0.65527600269434527</v>
      </c>
      <c r="AC12" s="133">
        <v>0.57984021786066153</v>
      </c>
      <c r="AD12" s="133">
        <v>0.86524826322492787</v>
      </c>
      <c r="AE12" s="133">
        <v>0.14116976347186738</v>
      </c>
      <c r="AF12" s="133">
        <v>0.23419026482992977</v>
      </c>
      <c r="AG12" s="133">
        <v>0.75023663098635252</v>
      </c>
      <c r="AH12" s="133">
        <v>0.23760530754591513</v>
      </c>
      <c r="AI12" s="133">
        <v>0.69734095795622109</v>
      </c>
      <c r="AJ12" s="133">
        <v>0.62897570187075336</v>
      </c>
      <c r="AK12" s="133">
        <v>0.9025750592862829</v>
      </c>
      <c r="AL12" s="133">
        <v>0.81177220365895675</v>
      </c>
      <c r="AM12" s="133">
        <v>0.36628703418134634</v>
      </c>
      <c r="AN12" s="133">
        <v>0.49022155628175546</v>
      </c>
      <c r="AO12" s="133">
        <v>0.94902763233917053</v>
      </c>
      <c r="AP12" s="133">
        <v>0.36492509554998243</v>
      </c>
      <c r="AQ12" s="133">
        <v>0.30016597868729311</v>
      </c>
      <c r="AR12" s="133">
        <v>0.55004227819661644</v>
      </c>
      <c r="AS12" s="133">
        <v>0.74353986539865857</v>
      </c>
      <c r="AT12" s="133">
        <v>0.10940380759276969</v>
      </c>
      <c r="AU12" s="133">
        <v>0.67723501902992023</v>
      </c>
      <c r="AV12" s="133">
        <v>0.79586125310763589</v>
      </c>
      <c r="AW12" s="133">
        <v>0.58295778352383543</v>
      </c>
      <c r="AX12" s="133">
        <v>3.1798123402900114E-2</v>
      </c>
    </row>
    <row r="13" spans="1:50" ht="30" customHeight="1">
      <c r="A13" s="135" t="s">
        <v>85</v>
      </c>
      <c r="B13" s="133">
        <v>2.8845699042640005E-2</v>
      </c>
      <c r="C13" s="133">
        <v>2.5056186933300584E-2</v>
      </c>
      <c r="D13" s="133">
        <v>0.19820663216565271</v>
      </c>
      <c r="E13" s="133">
        <v>0.58195044234415039</v>
      </c>
      <c r="F13" s="133">
        <v>0.66019216823346594</v>
      </c>
      <c r="G13" s="133">
        <v>0.95528860773516999</v>
      </c>
      <c r="H13" s="133">
        <v>0.51072507690942759</v>
      </c>
      <c r="I13" s="133">
        <v>0.36708351879061152</v>
      </c>
      <c r="J13" s="133">
        <v>0.15928366406091321</v>
      </c>
      <c r="K13" s="133">
        <v>0.10913656395437987</v>
      </c>
      <c r="L13" s="133">
        <v>0.55122000188847231</v>
      </c>
      <c r="M13" s="133">
        <v>0.80965899165965283</v>
      </c>
      <c r="N13" s="133">
        <v>0.63970803564175394</v>
      </c>
      <c r="O13" s="133">
        <v>7.3858995611785661E-2</v>
      </c>
      <c r="P13" s="133">
        <v>0.98600536688993656</v>
      </c>
      <c r="Q13" s="133">
        <v>0.94745660595429315</v>
      </c>
      <c r="R13" s="133">
        <v>0.27891738661194565</v>
      </c>
      <c r="S13" s="133">
        <v>0.50986499390076856</v>
      </c>
      <c r="T13" s="133">
        <v>0.57553173528352264</v>
      </c>
      <c r="U13" s="133">
        <v>0.73842941790674099</v>
      </c>
      <c r="V13" s="133">
        <v>0.75742024257688212</v>
      </c>
      <c r="W13" s="133">
        <v>0.22772512968154046</v>
      </c>
      <c r="X13" s="133">
        <v>0.4734839070929755</v>
      </c>
      <c r="Y13" s="133">
        <v>0.66947288808982552</v>
      </c>
      <c r="Z13" s="133">
        <v>0.54502366614654507</v>
      </c>
      <c r="AA13" s="133">
        <v>0.22021006785833841</v>
      </c>
      <c r="AB13" s="133">
        <v>0.59408835531513882</v>
      </c>
      <c r="AC13" s="133">
        <v>0.18202059738828058</v>
      </c>
      <c r="AD13" s="133">
        <v>0.89479416107847642</v>
      </c>
      <c r="AE13" s="133">
        <v>0.1140827368631</v>
      </c>
      <c r="AF13" s="133">
        <v>0.77696909134949455</v>
      </c>
      <c r="AG13" s="133">
        <v>0.94564811921589476</v>
      </c>
      <c r="AH13" s="133">
        <v>0.55099829940569467</v>
      </c>
      <c r="AI13" s="133">
        <v>0.29736776444254664</v>
      </c>
      <c r="AJ13" s="133">
        <v>0.99859897160997502</v>
      </c>
      <c r="AK13" s="133">
        <v>0.64846481188633665</v>
      </c>
      <c r="AL13" s="133">
        <v>0.93765654896224049</v>
      </c>
      <c r="AM13" s="133">
        <v>0.51752108055924706</v>
      </c>
      <c r="AN13" s="133">
        <v>4.6213044981422091E-2</v>
      </c>
      <c r="AO13" s="133">
        <v>0.24970243285372418</v>
      </c>
      <c r="AP13" s="133">
        <v>0.11724144827534888</v>
      </c>
      <c r="AQ13" s="133">
        <v>0.35487882009532346</v>
      </c>
      <c r="AR13" s="133">
        <v>0.37449365083792241</v>
      </c>
      <c r="AS13" s="133">
        <v>0.68807284754803655</v>
      </c>
      <c r="AT13" s="133">
        <v>0.1411109598029554</v>
      </c>
      <c r="AU13" s="133">
        <v>0.24660153627435766</v>
      </c>
      <c r="AV13" s="133">
        <v>0.83810254621968583</v>
      </c>
      <c r="AW13" s="133">
        <v>0.27375699687938249</v>
      </c>
      <c r="AX13" s="133">
        <v>0.22091044437164553</v>
      </c>
    </row>
    <row r="14" spans="1:50" ht="30" customHeight="1">
      <c r="A14" s="135" t="s">
        <v>632</v>
      </c>
      <c r="B14" s="133">
        <f>SUM(B11:B13)</f>
        <v>0.96023661596246013</v>
      </c>
      <c r="C14" s="133">
        <f t="shared" ref="C14:AX14" si="0">SUM(C11:C13)</f>
        <v>1.2489994160538944</v>
      </c>
      <c r="D14" s="133">
        <f t="shared" si="0"/>
        <v>0.77469533259904289</v>
      </c>
      <c r="E14" s="133">
        <f t="shared" si="0"/>
        <v>2.3210905264756319</v>
      </c>
      <c r="F14" s="133">
        <f t="shared" si="0"/>
        <v>1.3876842001306029</v>
      </c>
      <c r="G14" s="133">
        <f t="shared" si="0"/>
        <v>2.5870255454735798</v>
      </c>
      <c r="H14" s="133">
        <f t="shared" si="0"/>
        <v>1.4328020302974105</v>
      </c>
      <c r="I14" s="133">
        <f t="shared" si="0"/>
        <v>1.6109630251157756</v>
      </c>
      <c r="J14" s="133">
        <f t="shared" si="0"/>
        <v>1.5413742004869231</v>
      </c>
      <c r="K14" s="133">
        <f t="shared" si="0"/>
        <v>0.81852217719756781</v>
      </c>
      <c r="L14" s="133">
        <f t="shared" si="0"/>
        <v>1.8102307525491441</v>
      </c>
      <c r="M14" s="133">
        <f t="shared" si="0"/>
        <v>1.5384638533630963</v>
      </c>
      <c r="N14" s="133">
        <f t="shared" si="0"/>
        <v>1.6373840464355016</v>
      </c>
      <c r="O14" s="133">
        <f t="shared" si="0"/>
        <v>1.0431338392429073</v>
      </c>
      <c r="P14" s="133">
        <f t="shared" si="0"/>
        <v>1.8325018867598986</v>
      </c>
      <c r="Q14" s="133">
        <f t="shared" si="0"/>
        <v>1.7030325826664607</v>
      </c>
      <c r="R14" s="133">
        <f t="shared" si="0"/>
        <v>0.55290455936914773</v>
      </c>
      <c r="S14" s="133">
        <f t="shared" si="0"/>
        <v>1.1584913488919915</v>
      </c>
      <c r="T14" s="133">
        <f t="shared" si="0"/>
        <v>1.7627330210714431</v>
      </c>
      <c r="U14" s="133">
        <f t="shared" si="0"/>
        <v>1.3074431571990579</v>
      </c>
      <c r="V14" s="133">
        <f t="shared" si="0"/>
        <v>2.5106064148473362</v>
      </c>
      <c r="W14" s="133">
        <f t="shared" si="0"/>
        <v>0.88059894893013901</v>
      </c>
      <c r="X14" s="133">
        <f t="shared" si="0"/>
        <v>1.2644450552355422</v>
      </c>
      <c r="Y14" s="133">
        <f t="shared" si="0"/>
        <v>1.9685088294549808</v>
      </c>
      <c r="Z14" s="133">
        <f t="shared" si="0"/>
        <v>1.412856000821384</v>
      </c>
      <c r="AA14" s="133">
        <f t="shared" si="0"/>
        <v>1.2741260438520543</v>
      </c>
      <c r="AB14" s="133">
        <f t="shared" si="0"/>
        <v>1.3299895498188139</v>
      </c>
      <c r="AC14" s="133">
        <f t="shared" si="0"/>
        <v>0.8531080917507321</v>
      </c>
      <c r="AD14" s="133">
        <f t="shared" si="0"/>
        <v>2.4676788283493671</v>
      </c>
      <c r="AE14" s="133">
        <f t="shared" si="0"/>
        <v>1.0816636898205096</v>
      </c>
      <c r="AF14" s="133">
        <f t="shared" si="0"/>
        <v>1.630897063823203</v>
      </c>
      <c r="AG14" s="133">
        <f t="shared" si="0"/>
        <v>1.9410769916934703</v>
      </c>
      <c r="AH14" s="133">
        <f t="shared" si="0"/>
        <v>1.1149196842792279</v>
      </c>
      <c r="AI14" s="133">
        <f t="shared" si="0"/>
        <v>1.1996867614133884</v>
      </c>
      <c r="AJ14" s="133">
        <f t="shared" si="0"/>
        <v>2.3382363648234072</v>
      </c>
      <c r="AK14" s="133">
        <f t="shared" si="0"/>
        <v>2.0576046194133806</v>
      </c>
      <c r="AL14" s="133">
        <f t="shared" si="0"/>
        <v>2.5648892299253556</v>
      </c>
      <c r="AM14" s="133">
        <f t="shared" si="0"/>
        <v>1.2328044985014217</v>
      </c>
      <c r="AN14" s="133">
        <f t="shared" si="0"/>
        <v>1.4122703992040559</v>
      </c>
      <c r="AO14" s="133">
        <f t="shared" si="0"/>
        <v>1.3736926724887666</v>
      </c>
      <c r="AP14" s="133">
        <f t="shared" si="0"/>
        <v>0.84621852848195334</v>
      </c>
      <c r="AQ14" s="133">
        <f t="shared" si="0"/>
        <v>1.0182442829557599</v>
      </c>
      <c r="AR14" s="133">
        <f t="shared" si="0"/>
        <v>1.4971973575712034</v>
      </c>
      <c r="AS14" s="133">
        <f t="shared" si="0"/>
        <v>1.7372976150783623</v>
      </c>
      <c r="AT14" s="133">
        <f t="shared" si="0"/>
        <v>0.66699127408879944</v>
      </c>
      <c r="AU14" s="133">
        <f t="shared" si="0"/>
        <v>1.8488745797311459</v>
      </c>
      <c r="AV14" s="133">
        <f t="shared" si="0"/>
        <v>1.8309868752455603</v>
      </c>
      <c r="AW14" s="133">
        <f t="shared" si="0"/>
        <v>1.3245332257651357</v>
      </c>
      <c r="AX14" s="133">
        <f t="shared" si="0"/>
        <v>0.37152384985840736</v>
      </c>
    </row>
    <row r="15" spans="1:50" ht="30" customHeight="1">
      <c r="A15" s="135"/>
    </row>
    <row r="16" spans="1:50" ht="30" customHeight="1">
      <c r="A16" s="135" t="s">
        <v>110</v>
      </c>
      <c r="B16" s="133">
        <v>0.62373279709975271</v>
      </c>
      <c r="C16" s="133">
        <v>0.45361397132016068</v>
      </c>
      <c r="D16" s="133">
        <v>0.38510573228764244</v>
      </c>
      <c r="E16" s="133">
        <v>0.69271513601728929</v>
      </c>
      <c r="F16" s="133">
        <v>0.20447043134783771</v>
      </c>
      <c r="G16" s="133">
        <v>0.52254855407595491</v>
      </c>
      <c r="H16" s="133">
        <v>0.67312003723457725</v>
      </c>
      <c r="I16" s="133">
        <v>0.95071862150451125</v>
      </c>
      <c r="J16" s="133">
        <v>0.39137348741560296</v>
      </c>
      <c r="K16" s="133">
        <v>4.9932538256787118E-2</v>
      </c>
      <c r="L16" s="133">
        <v>0.67956363052505131</v>
      </c>
      <c r="M16" s="133">
        <v>0.62404158768974538</v>
      </c>
      <c r="N16" s="133">
        <v>0.72205044570116095</v>
      </c>
      <c r="O16" s="133">
        <v>0.5436431862002673</v>
      </c>
      <c r="P16" s="133">
        <v>0.48359153500050578</v>
      </c>
      <c r="Q16" s="133">
        <v>0.90394454281516512</v>
      </c>
      <c r="R16" s="133">
        <v>0.53624259770634319</v>
      </c>
      <c r="S16" s="133">
        <v>0.57846658476487811</v>
      </c>
      <c r="T16" s="133">
        <v>0.97983001736885578</v>
      </c>
      <c r="U16" s="133">
        <v>0.89891461490146307</v>
      </c>
      <c r="V16" s="133">
        <v>0.40202765172911925</v>
      </c>
      <c r="W16" s="133">
        <v>0.88478776142222137</v>
      </c>
      <c r="X16" s="133">
        <v>0.52735548962127099</v>
      </c>
      <c r="Y16" s="133">
        <v>0.16124677355856409</v>
      </c>
      <c r="Z16" s="133">
        <v>0.22122516429830408</v>
      </c>
      <c r="AA16" s="133">
        <v>0.7360857655377232</v>
      </c>
      <c r="AB16" s="133">
        <v>0.73858616908397579</v>
      </c>
      <c r="AC16" s="133">
        <v>0.73078199373561759</v>
      </c>
      <c r="AD16" s="133">
        <v>0.69245027631288081</v>
      </c>
      <c r="AE16" s="133">
        <v>0.67839326937377564</v>
      </c>
      <c r="AF16" s="133">
        <v>0.42069428840754775</v>
      </c>
      <c r="AG16" s="133">
        <v>0.50807058392037618</v>
      </c>
      <c r="AH16" s="133">
        <v>0.58178954279600603</v>
      </c>
      <c r="AI16" s="133">
        <v>7.9502238727539365E-2</v>
      </c>
      <c r="AJ16" s="133">
        <v>0.87270913877856826</v>
      </c>
      <c r="AK16" s="133">
        <v>0.3868735481685377</v>
      </c>
      <c r="AL16" s="133">
        <v>0.89012558625452509</v>
      </c>
      <c r="AM16" s="133">
        <v>0.49567667916329727</v>
      </c>
      <c r="AN16" s="133">
        <v>0.60958085422516517</v>
      </c>
      <c r="AO16" s="133">
        <v>0.34061799495721856</v>
      </c>
      <c r="AP16" s="133">
        <v>0.62343760046322394</v>
      </c>
      <c r="AQ16" s="133">
        <v>0.71702859437619104</v>
      </c>
      <c r="AR16" s="133">
        <v>0.69653127895555766</v>
      </c>
      <c r="AS16" s="133">
        <v>0.89826049391115226</v>
      </c>
      <c r="AT16" s="133">
        <v>0.65605110749572748</v>
      </c>
      <c r="AU16" s="133">
        <v>0.78527177139308268</v>
      </c>
      <c r="AV16" s="133">
        <v>0.5003301592297219</v>
      </c>
      <c r="AW16" s="133">
        <v>0.21126620092836867</v>
      </c>
      <c r="AX16" s="133">
        <v>0.21704602523216165</v>
      </c>
    </row>
    <row r="17" spans="1:50" ht="30" customHeight="1">
      <c r="A17" s="135" t="s">
        <v>633</v>
      </c>
    </row>
    <row r="18" spans="1:50" ht="30" customHeight="1">
      <c r="A18" s="135" t="s">
        <v>83</v>
      </c>
      <c r="B18" s="133">
        <v>0.99696906873259161</v>
      </c>
      <c r="C18" s="133">
        <v>0.70082811074421281</v>
      </c>
      <c r="D18" s="133">
        <v>0.44256155193904068</v>
      </c>
      <c r="E18" s="133">
        <v>1.4650369524441986E-2</v>
      </c>
      <c r="F18" s="133">
        <v>0.28998507513444938</v>
      </c>
      <c r="G18" s="133">
        <v>0.64580399804931665</v>
      </c>
      <c r="H18" s="133">
        <v>0.32999962786596448</v>
      </c>
      <c r="I18" s="133">
        <v>0.66941162158231338</v>
      </c>
      <c r="J18" s="133">
        <v>0.74689880481341231</v>
      </c>
      <c r="K18" s="133">
        <v>0.13975399480361073</v>
      </c>
      <c r="L18" s="133">
        <v>0.82813986593511846</v>
      </c>
      <c r="M18" s="133">
        <v>0.25036910395873668</v>
      </c>
      <c r="N18" s="133">
        <v>2.7326620140849522E-2</v>
      </c>
      <c r="O18" s="133">
        <v>8.0198879323843619E-2</v>
      </c>
      <c r="P18" s="133">
        <v>0.17283348038923108</v>
      </c>
      <c r="Q18" s="133">
        <v>0.59998112988266528</v>
      </c>
      <c r="R18" s="133">
        <v>0.46606935233336877</v>
      </c>
      <c r="S18" s="133">
        <v>0.68254903651264798</v>
      </c>
      <c r="T18" s="133">
        <v>0.32445535109544366</v>
      </c>
      <c r="U18" s="133">
        <v>0.49561373552307386</v>
      </c>
      <c r="V18" s="133">
        <v>0.52384025168150039</v>
      </c>
      <c r="W18" s="133">
        <v>0.45641025967163273</v>
      </c>
      <c r="X18" s="133">
        <v>0.80771587872265593</v>
      </c>
      <c r="Y18" s="133">
        <v>0.52349210358682141</v>
      </c>
      <c r="Z18" s="133">
        <v>0.25272667297912399</v>
      </c>
      <c r="AA18" s="133">
        <v>0.9011933753427932</v>
      </c>
      <c r="AB18" s="133">
        <v>0.68124054821052626</v>
      </c>
      <c r="AC18" s="133">
        <v>0.63488693952142061</v>
      </c>
      <c r="AD18" s="133">
        <v>0.92861314845703546</v>
      </c>
      <c r="AE18" s="133">
        <v>0.14186330054458895</v>
      </c>
      <c r="AF18" s="133">
        <v>0.54719726674281777</v>
      </c>
      <c r="AG18" s="133">
        <v>0.93211449283460834</v>
      </c>
      <c r="AH18" s="133">
        <v>0.10588314679286137</v>
      </c>
      <c r="AI18" s="133">
        <v>7.7361153010523709E-2</v>
      </c>
      <c r="AJ18" s="133">
        <v>0.19849535274128915</v>
      </c>
      <c r="AK18" s="133">
        <v>0.60058773959534817</v>
      </c>
      <c r="AL18" s="133">
        <v>0.761671799853193</v>
      </c>
      <c r="AM18" s="133">
        <v>0.3945649681803246</v>
      </c>
      <c r="AN18" s="133">
        <v>0.60706840311472188</v>
      </c>
      <c r="AO18" s="133">
        <v>0.89951136177860336</v>
      </c>
      <c r="AP18" s="133">
        <v>0.59685645927144415</v>
      </c>
      <c r="AQ18" s="133">
        <v>0.20983880806116317</v>
      </c>
      <c r="AR18" s="133">
        <v>0.48220417709891039</v>
      </c>
      <c r="AS18" s="133">
        <v>0.50457333849520913</v>
      </c>
      <c r="AT18" s="133">
        <v>0.31034483134713475</v>
      </c>
      <c r="AU18" s="133">
        <v>0.62049115277525935</v>
      </c>
      <c r="AV18" s="133">
        <v>0.84930474508463083</v>
      </c>
      <c r="AW18" s="133">
        <v>0.99587470460851257</v>
      </c>
      <c r="AX18" s="133">
        <v>0.40079475116211527</v>
      </c>
    </row>
    <row r="19" spans="1:50" ht="30" customHeight="1">
      <c r="A19" s="135" t="s">
        <v>84</v>
      </c>
      <c r="B19" s="133">
        <v>0.94906527136436136</v>
      </c>
      <c r="C19" s="133">
        <v>0.3930277891240217</v>
      </c>
      <c r="D19" s="133">
        <v>1.1794456747209359E-2</v>
      </c>
      <c r="E19" s="133">
        <v>0.23279971704367741</v>
      </c>
      <c r="F19" s="133">
        <v>0.83108119908384381</v>
      </c>
      <c r="G19" s="133">
        <v>0.86741073274490943</v>
      </c>
      <c r="H19" s="133">
        <v>0.83529117618408633</v>
      </c>
      <c r="I19" s="133">
        <v>0.70873600049143137</v>
      </c>
      <c r="J19" s="133">
        <v>0.69504408086724367</v>
      </c>
      <c r="K19" s="133">
        <v>0.40156362566356008</v>
      </c>
      <c r="L19" s="133">
        <v>0.5122942022725242</v>
      </c>
      <c r="M19" s="133">
        <v>0.52178649317791781</v>
      </c>
      <c r="N19" s="133">
        <v>0.78353803188235749</v>
      </c>
      <c r="O19" s="133">
        <v>0.31265145053180099</v>
      </c>
      <c r="P19" s="133">
        <v>0.42899056530434299</v>
      </c>
      <c r="Q19" s="133">
        <v>0.32912186588360914</v>
      </c>
      <c r="R19" s="133">
        <v>0.71985208899105535</v>
      </c>
      <c r="S19" s="133">
        <v>0.73055893964423613</v>
      </c>
      <c r="T19" s="133">
        <v>0.28874738936799715</v>
      </c>
      <c r="U19" s="133">
        <v>0.38125018185438686</v>
      </c>
      <c r="V19" s="133">
        <v>9.0724505769679276E-2</v>
      </c>
      <c r="W19" s="133">
        <v>0.55498180879654824</v>
      </c>
      <c r="X19" s="133">
        <v>0.63555834620478979</v>
      </c>
      <c r="Y19" s="133">
        <v>0.36474599501633553</v>
      </c>
      <c r="Z19" s="133">
        <v>0.88482852366926512</v>
      </c>
      <c r="AA19" s="133">
        <v>0.28848537273428421</v>
      </c>
      <c r="AB19" s="133">
        <v>0.74581303678606614</v>
      </c>
      <c r="AC19" s="133">
        <v>0.77072028497785017</v>
      </c>
      <c r="AD19" s="133">
        <v>0.4714606939883057</v>
      </c>
      <c r="AE19" s="133">
        <v>0.80561009386270899</v>
      </c>
      <c r="AF19" s="133">
        <v>0.39777986289655964</v>
      </c>
      <c r="AG19" s="133">
        <v>3.1221389000055555E-2</v>
      </c>
      <c r="AH19" s="133">
        <v>0.13627240676377439</v>
      </c>
      <c r="AI19" s="133">
        <v>0.60902429337669062</v>
      </c>
      <c r="AJ19" s="133">
        <v>0.50141428026172941</v>
      </c>
      <c r="AK19" s="133">
        <v>0.96066379449732064</v>
      </c>
      <c r="AL19" s="133">
        <v>0.52821568473511216</v>
      </c>
      <c r="AM19" s="133">
        <v>0.69004723284388036</v>
      </c>
      <c r="AN19" s="133">
        <v>0.52506666747569286</v>
      </c>
      <c r="AO19" s="133">
        <v>0.40208206700232296</v>
      </c>
      <c r="AP19" s="133">
        <v>7.4120308720069583E-2</v>
      </c>
      <c r="AQ19" s="133">
        <v>0.24796472218597077</v>
      </c>
      <c r="AR19" s="133">
        <v>3.0056966671402008E-2</v>
      </c>
      <c r="AS19" s="133">
        <v>0.79143641481425253</v>
      </c>
      <c r="AT19" s="133">
        <v>0.1332556327568003</v>
      </c>
      <c r="AU19" s="133">
        <v>0.62974606445055425</v>
      </c>
      <c r="AV19" s="133">
        <v>0.2409587131845381</v>
      </c>
      <c r="AW19" s="133">
        <v>0.93183378138557982</v>
      </c>
      <c r="AX19" s="133">
        <v>0.62530265664792462</v>
      </c>
    </row>
    <row r="20" spans="1:50" ht="30" customHeight="1">
      <c r="A20" s="135" t="s">
        <v>85</v>
      </c>
      <c r="B20" s="133">
        <v>0.75859989962861674</v>
      </c>
      <c r="C20" s="133">
        <v>4.0668136378731123E-2</v>
      </c>
      <c r="D20" s="133">
        <v>0.49605720697947964</v>
      </c>
      <c r="E20" s="133">
        <v>0.91086881936381781</v>
      </c>
      <c r="F20" s="133">
        <v>0.32848139504087659</v>
      </c>
      <c r="G20" s="133">
        <v>2.4364030048024565E-2</v>
      </c>
      <c r="H20" s="133">
        <v>0.93781747554830741</v>
      </c>
      <c r="I20" s="133">
        <v>0.54149958933901754</v>
      </c>
      <c r="J20" s="133">
        <v>0.16792892852575914</v>
      </c>
      <c r="K20" s="133">
        <v>0.9149055937817846</v>
      </c>
      <c r="L20" s="133">
        <v>0.29622172859431584</v>
      </c>
      <c r="M20" s="133">
        <v>0.66118543428383147</v>
      </c>
      <c r="N20" s="133">
        <v>0.21543563674865318</v>
      </c>
      <c r="O20" s="133">
        <v>0.69786875465391029</v>
      </c>
      <c r="P20" s="133">
        <v>0.7291404167508494</v>
      </c>
      <c r="Q20" s="133">
        <v>0.62567417468411213</v>
      </c>
      <c r="R20" s="133">
        <v>0.85575501695423672</v>
      </c>
      <c r="S20" s="133">
        <v>0.87048030765142792</v>
      </c>
      <c r="T20" s="133">
        <v>0.6211785518656513</v>
      </c>
      <c r="U20" s="133">
        <v>0.24525350229049303</v>
      </c>
      <c r="V20" s="133">
        <v>0.33397850056704781</v>
      </c>
      <c r="W20" s="133">
        <v>0.63127592983388026</v>
      </c>
      <c r="X20" s="133">
        <v>0.91899419210809252</v>
      </c>
      <c r="Y20" s="133">
        <v>0.73512906649504128</v>
      </c>
      <c r="Z20" s="133">
        <v>0.58582364725971048</v>
      </c>
      <c r="AA20" s="133">
        <v>0.55796506849549332</v>
      </c>
      <c r="AB20" s="133">
        <v>0.71938503170359624</v>
      </c>
      <c r="AC20" s="133">
        <v>0.92451764241363166</v>
      </c>
      <c r="AD20" s="133">
        <v>0.91922909352235427</v>
      </c>
      <c r="AE20" s="133">
        <v>0.62015798184863236</v>
      </c>
      <c r="AF20" s="133">
        <v>0.36668360365066899</v>
      </c>
      <c r="AG20" s="133">
        <v>0.85933640329733185</v>
      </c>
      <c r="AH20" s="133">
        <v>0.82328388464565427</v>
      </c>
      <c r="AI20" s="133">
        <v>0.42836873512034201</v>
      </c>
      <c r="AJ20" s="133">
        <v>0.19586614576412387</v>
      </c>
      <c r="AK20" s="133">
        <v>0.20106934955504485</v>
      </c>
      <c r="AL20" s="133">
        <v>0.11276417918735782</v>
      </c>
      <c r="AM20" s="133">
        <v>0.94366146680612817</v>
      </c>
      <c r="AN20" s="133">
        <v>0.70955419020622723</v>
      </c>
      <c r="AO20" s="133">
        <v>0.4433028863229338</v>
      </c>
      <c r="AP20" s="133">
        <v>0.92512319195946802</v>
      </c>
      <c r="AQ20" s="133">
        <v>0.76892856538982712</v>
      </c>
      <c r="AR20" s="133">
        <v>7.7344624379535154E-2</v>
      </c>
      <c r="AS20" s="133">
        <v>3.5669051206464464E-2</v>
      </c>
      <c r="AT20" s="133">
        <v>0.32880908386003505</v>
      </c>
      <c r="AU20" s="133">
        <v>0.16991281910893219</v>
      </c>
      <c r="AV20" s="133">
        <v>0.64262092898168277</v>
      </c>
      <c r="AW20" s="133">
        <v>0.64480530568131911</v>
      </c>
      <c r="AX20" s="133">
        <v>0.93660612896462092</v>
      </c>
    </row>
    <row r="21" spans="1:50" ht="30" customHeight="1">
      <c r="A21" s="135" t="s">
        <v>632</v>
      </c>
      <c r="B21" s="133">
        <f>SUM(B18:B20)</f>
        <v>2.7046342397255696</v>
      </c>
      <c r="C21" s="133">
        <f t="shared" ref="C21:AX21" si="1">SUM(C18:C20)</f>
        <v>1.1345240362469657</v>
      </c>
      <c r="D21" s="133">
        <f t="shared" si="1"/>
        <v>0.95041321566572967</v>
      </c>
      <c r="E21" s="133">
        <f t="shared" si="1"/>
        <v>1.1583189059319372</v>
      </c>
      <c r="F21" s="133">
        <f t="shared" si="1"/>
        <v>1.4495476692591698</v>
      </c>
      <c r="G21" s="133">
        <f t="shared" si="1"/>
        <v>1.5375787608422506</v>
      </c>
      <c r="H21" s="133">
        <f t="shared" si="1"/>
        <v>2.103108279598358</v>
      </c>
      <c r="I21" s="133">
        <f t="shared" si="1"/>
        <v>1.9196472114127623</v>
      </c>
      <c r="J21" s="133">
        <f t="shared" si="1"/>
        <v>1.6098718142064152</v>
      </c>
      <c r="K21" s="133">
        <f t="shared" si="1"/>
        <v>1.4562232142489555</v>
      </c>
      <c r="L21" s="133">
        <f t="shared" si="1"/>
        <v>1.6366557968019586</v>
      </c>
      <c r="M21" s="133">
        <f t="shared" si="1"/>
        <v>1.433341031420486</v>
      </c>
      <c r="N21" s="133">
        <f t="shared" si="1"/>
        <v>1.0263002887718602</v>
      </c>
      <c r="O21" s="133">
        <f t="shared" si="1"/>
        <v>1.0907190845095549</v>
      </c>
      <c r="P21" s="133">
        <f t="shared" si="1"/>
        <v>1.3309644624444235</v>
      </c>
      <c r="Q21" s="133">
        <f t="shared" si="1"/>
        <v>1.5547771704503865</v>
      </c>
      <c r="R21" s="133">
        <f t="shared" si="1"/>
        <v>2.0416764582786611</v>
      </c>
      <c r="S21" s="133">
        <f t="shared" si="1"/>
        <v>2.2835882838083119</v>
      </c>
      <c r="T21" s="133">
        <f t="shared" si="1"/>
        <v>1.234381292329092</v>
      </c>
      <c r="U21" s="133">
        <f t="shared" si="1"/>
        <v>1.1221174196679538</v>
      </c>
      <c r="V21" s="133">
        <f t="shared" si="1"/>
        <v>0.94854325801822748</v>
      </c>
      <c r="W21" s="133">
        <f t="shared" si="1"/>
        <v>1.6426679983020613</v>
      </c>
      <c r="X21" s="133">
        <f t="shared" si="1"/>
        <v>2.3622684170355384</v>
      </c>
      <c r="Y21" s="133">
        <f t="shared" si="1"/>
        <v>1.6233671650981982</v>
      </c>
      <c r="Z21" s="133">
        <f t="shared" si="1"/>
        <v>1.7233788439080995</v>
      </c>
      <c r="AA21" s="133">
        <f t="shared" si="1"/>
        <v>1.7476438165725707</v>
      </c>
      <c r="AB21" s="133">
        <f t="shared" si="1"/>
        <v>2.1464386167001885</v>
      </c>
      <c r="AC21" s="133">
        <f t="shared" si="1"/>
        <v>2.3301248669129024</v>
      </c>
      <c r="AD21" s="133">
        <f t="shared" si="1"/>
        <v>2.3193029359676953</v>
      </c>
      <c r="AE21" s="133">
        <f t="shared" si="1"/>
        <v>1.5676313762559304</v>
      </c>
      <c r="AF21" s="133">
        <f t="shared" si="1"/>
        <v>1.3116607332900463</v>
      </c>
      <c r="AG21" s="133">
        <f t="shared" si="1"/>
        <v>1.8226722851319956</v>
      </c>
      <c r="AH21" s="133">
        <f t="shared" si="1"/>
        <v>1.06543943820229</v>
      </c>
      <c r="AI21" s="133">
        <f t="shared" si="1"/>
        <v>1.1147541815075563</v>
      </c>
      <c r="AJ21" s="133">
        <f t="shared" si="1"/>
        <v>0.89577577876714243</v>
      </c>
      <c r="AK21" s="133">
        <f t="shared" si="1"/>
        <v>1.7623208836477136</v>
      </c>
      <c r="AL21" s="133">
        <f t="shared" si="1"/>
        <v>1.402651663775663</v>
      </c>
      <c r="AM21" s="133">
        <f t="shared" si="1"/>
        <v>2.0282736678303332</v>
      </c>
      <c r="AN21" s="133">
        <f t="shared" si="1"/>
        <v>1.841689260796642</v>
      </c>
      <c r="AO21" s="133">
        <f t="shared" si="1"/>
        <v>1.7448963151038601</v>
      </c>
      <c r="AP21" s="133">
        <f t="shared" si="1"/>
        <v>1.5960999599509818</v>
      </c>
      <c r="AQ21" s="133">
        <f t="shared" si="1"/>
        <v>1.2267320956369612</v>
      </c>
      <c r="AR21" s="133">
        <f t="shared" si="1"/>
        <v>0.58960576814984755</v>
      </c>
      <c r="AS21" s="133">
        <f t="shared" si="1"/>
        <v>1.331678804515926</v>
      </c>
      <c r="AT21" s="133">
        <f t="shared" si="1"/>
        <v>0.7724095479639701</v>
      </c>
      <c r="AU21" s="133">
        <f t="shared" si="1"/>
        <v>1.4201500363347459</v>
      </c>
      <c r="AV21" s="133">
        <f t="shared" si="1"/>
        <v>1.7328843872508517</v>
      </c>
      <c r="AW21" s="133">
        <f t="shared" si="1"/>
        <v>2.5725137916754117</v>
      </c>
      <c r="AX21" s="133">
        <f t="shared" si="1"/>
        <v>1.962703536774661</v>
      </c>
    </row>
    <row r="22" spans="1:50" ht="30" customHeight="1">
      <c r="A22" s="135"/>
    </row>
    <row r="23" spans="1:50" ht="30" customHeight="1">
      <c r="A23" s="133" t="s">
        <v>634</v>
      </c>
    </row>
    <row r="24" spans="1:50" ht="30" customHeight="1">
      <c r="A24" s="135" t="s">
        <v>148</v>
      </c>
      <c r="B24" s="133">
        <v>0.34716786820043877</v>
      </c>
      <c r="C24" s="133">
        <v>0.98710826931089268</v>
      </c>
      <c r="D24" s="133">
        <v>0.15547742973455958</v>
      </c>
      <c r="E24" s="133">
        <v>0.76483597966976979</v>
      </c>
      <c r="F24" s="133">
        <v>0.87913345954937783</v>
      </c>
      <c r="G24" s="133">
        <v>4.7472421655203378E-2</v>
      </c>
      <c r="H24" s="133">
        <v>0.39479206608259632</v>
      </c>
      <c r="I24" s="133">
        <v>0.93886617232707215</v>
      </c>
      <c r="J24" s="133">
        <v>0.88636279572109189</v>
      </c>
      <c r="K24" s="133">
        <v>0.31292413190273649</v>
      </c>
      <c r="L24" s="133">
        <v>0.89408074409593552</v>
      </c>
      <c r="M24" s="133">
        <v>0.3004448382029874</v>
      </c>
      <c r="N24" s="133">
        <v>0.19450869502378243</v>
      </c>
      <c r="O24" s="133">
        <v>0.30697531422751245</v>
      </c>
      <c r="P24" s="133">
        <v>0.35844472804182848</v>
      </c>
      <c r="Q24" s="133">
        <v>0.51001235724127347</v>
      </c>
      <c r="R24" s="133">
        <v>0.85103120993222536</v>
      </c>
      <c r="S24" s="133">
        <v>0.24298495648947693</v>
      </c>
      <c r="T24" s="133">
        <v>0.68774903591402492</v>
      </c>
      <c r="U24" s="133">
        <v>0.82058302419289586</v>
      </c>
      <c r="V24" s="133">
        <v>1.2777667413447213E-2</v>
      </c>
      <c r="W24" s="133">
        <v>0.6084512185772033</v>
      </c>
      <c r="X24" s="133">
        <v>0.23105345985886683</v>
      </c>
      <c r="Y24" s="133">
        <v>0.89929237556770591</v>
      </c>
      <c r="Z24" s="133">
        <v>0.40024360851254037</v>
      </c>
      <c r="AA24" s="133">
        <v>0.79493354797556581</v>
      </c>
      <c r="AB24" s="133">
        <v>0.48973887401399674</v>
      </c>
      <c r="AC24" s="133">
        <v>0.81870421608567134</v>
      </c>
      <c r="AD24" s="133">
        <v>0.96137195985010326</v>
      </c>
      <c r="AE24" s="133">
        <v>0.62774505083032794</v>
      </c>
      <c r="AF24" s="133">
        <v>0.4079686485124866</v>
      </c>
      <c r="AG24" s="133">
        <v>0.31005218828350334</v>
      </c>
      <c r="AH24" s="133">
        <v>0.98201616277224135</v>
      </c>
      <c r="AI24" s="133">
        <v>0.86556973727871112</v>
      </c>
      <c r="AJ24" s="133">
        <v>0.44109360458315428</v>
      </c>
      <c r="AK24" s="133">
        <v>0.34960437325227012</v>
      </c>
      <c r="AL24" s="133">
        <v>0.93294218365788917</v>
      </c>
      <c r="AM24" s="133">
        <v>0.21054984209201144</v>
      </c>
      <c r="AN24" s="133">
        <v>0.46459829665088537</v>
      </c>
      <c r="AO24" s="133">
        <v>0.22216177383392677</v>
      </c>
      <c r="AP24" s="133">
        <v>0.71217424358244952</v>
      </c>
      <c r="AQ24" s="133">
        <v>0.37646542193581334</v>
      </c>
      <c r="AR24" s="133">
        <v>0.15572856379352684</v>
      </c>
      <c r="AS24" s="133">
        <v>0.31201437195249049</v>
      </c>
      <c r="AT24" s="133">
        <v>0.2405156715165967</v>
      </c>
      <c r="AU24" s="133">
        <v>0.11833651320748384</v>
      </c>
      <c r="AV24" s="133">
        <v>0.78687205787650583</v>
      </c>
      <c r="AW24" s="133">
        <v>9.8854055030119015E-2</v>
      </c>
      <c r="AX24" s="133">
        <v>0.98050187371432695</v>
      </c>
    </row>
    <row r="25" spans="1:50" ht="30" customHeight="1">
      <c r="A25" s="135" t="s">
        <v>149</v>
      </c>
      <c r="B25" s="133">
        <v>0.72979958439806047</v>
      </c>
      <c r="C25" s="133">
        <v>0.53713199666857325</v>
      </c>
      <c r="D25" s="133">
        <v>0.30700782344347111</v>
      </c>
      <c r="E25" s="133">
        <v>4.4979146360669242E-2</v>
      </c>
      <c r="F25" s="133">
        <v>0.98627621550016453</v>
      </c>
      <c r="G25" s="133">
        <v>0.45618658076030072</v>
      </c>
      <c r="H25" s="133">
        <v>0.60606920149635235</v>
      </c>
      <c r="I25" s="133">
        <v>0.19312700730830745</v>
      </c>
      <c r="J25" s="133">
        <v>0.7361189008105582</v>
      </c>
      <c r="K25" s="133">
        <v>0.24308805357840058</v>
      </c>
      <c r="L25" s="133">
        <v>0.76641803069469849</v>
      </c>
      <c r="M25" s="133">
        <v>0.36042151333424954</v>
      </c>
      <c r="N25" s="133">
        <v>0.95554171059327875</v>
      </c>
      <c r="O25" s="133">
        <v>0.55791882281835159</v>
      </c>
      <c r="P25" s="133">
        <v>0.6901441092536531</v>
      </c>
      <c r="Q25" s="133">
        <v>0.13371215752449117</v>
      </c>
      <c r="R25" s="133">
        <v>0.20368633726312291</v>
      </c>
      <c r="S25" s="133">
        <v>0.65383895249654411</v>
      </c>
      <c r="T25" s="133">
        <v>0.2556628229531468</v>
      </c>
      <c r="U25" s="133">
        <v>0.14327137946483193</v>
      </c>
      <c r="V25" s="133">
        <v>0.82765311205279812</v>
      </c>
      <c r="W25" s="133">
        <v>5.8297764203240621E-2</v>
      </c>
      <c r="X25" s="133">
        <v>0.21477048355911788</v>
      </c>
      <c r="Y25" s="133">
        <v>0.66294955385018572</v>
      </c>
      <c r="Z25" s="133">
        <v>0.65873029183247089</v>
      </c>
      <c r="AA25" s="133">
        <v>0.24617077081631222</v>
      </c>
      <c r="AB25" s="133">
        <v>0.70502263942023502</v>
      </c>
      <c r="AC25" s="133">
        <v>0.50763849328799338</v>
      </c>
      <c r="AD25" s="133">
        <v>0.69556442871374036</v>
      </c>
      <c r="AE25" s="133">
        <v>0.1597245425284809</v>
      </c>
      <c r="AF25" s="133">
        <v>0.36549325279480449</v>
      </c>
      <c r="AG25" s="133">
        <v>0.88559990726771909</v>
      </c>
      <c r="AH25" s="133">
        <v>0.63064985776248961</v>
      </c>
      <c r="AI25" s="133">
        <v>0.99586607563789709</v>
      </c>
      <c r="AJ25" s="133">
        <v>0.91314302215365961</v>
      </c>
      <c r="AK25" s="133">
        <v>0.43412891458960046</v>
      </c>
      <c r="AL25" s="133">
        <v>0.13407010282691512</v>
      </c>
      <c r="AM25" s="133">
        <v>0.53879305208134864</v>
      </c>
      <c r="AN25" s="133">
        <v>0.87372409003898632</v>
      </c>
      <c r="AO25" s="133">
        <v>0.12601474646346866</v>
      </c>
      <c r="AP25" s="133">
        <v>0.53557021813335881</v>
      </c>
      <c r="AQ25" s="133">
        <v>0.94529337562566162</v>
      </c>
      <c r="AR25" s="133">
        <v>0.7063911316616146</v>
      </c>
      <c r="AS25" s="133">
        <v>0.30781321845006804</v>
      </c>
      <c r="AT25" s="133">
        <v>0.93650324403456009</v>
      </c>
      <c r="AU25" s="133">
        <v>0.13945603339930035</v>
      </c>
      <c r="AV25" s="133">
        <v>0.59742385514357543</v>
      </c>
      <c r="AW25" s="133">
        <v>0.61787847431675991</v>
      </c>
      <c r="AX25" s="133">
        <v>2.6332275265964267E-2</v>
      </c>
    </row>
    <row r="26" spans="1:50" ht="30" customHeight="1">
      <c r="A26" s="135" t="s">
        <v>154</v>
      </c>
      <c r="B26" s="133">
        <v>0.81579354277084859</v>
      </c>
      <c r="C26" s="133">
        <v>0.42051479185029828</v>
      </c>
      <c r="D26" s="133">
        <v>0.46922061932413239</v>
      </c>
      <c r="E26" s="133">
        <v>0.60120735465554587</v>
      </c>
      <c r="F26" s="133">
        <v>0.97874426008619142</v>
      </c>
      <c r="G26" s="133">
        <v>0.57736797398442763</v>
      </c>
      <c r="H26" s="133">
        <v>0.33684592326435459</v>
      </c>
      <c r="I26" s="133">
        <v>0.53990082417605023</v>
      </c>
      <c r="J26" s="133">
        <v>0.58476819651671907</v>
      </c>
      <c r="K26" s="133">
        <v>0.85451681633822607</v>
      </c>
      <c r="L26" s="133">
        <v>0.51902364775689036</v>
      </c>
      <c r="M26" s="133">
        <v>0.44878376440582513</v>
      </c>
      <c r="N26" s="133">
        <v>0.11942123349600509</v>
      </c>
      <c r="O26" s="133">
        <v>0.69629536543378956</v>
      </c>
      <c r="P26" s="133">
        <v>0.84572399000041731</v>
      </c>
      <c r="Q26" s="133">
        <v>0.88547227950124352</v>
      </c>
      <c r="R26" s="133">
        <v>0.73928567617210839</v>
      </c>
      <c r="S26" s="133">
        <v>0.14664945138022012</v>
      </c>
      <c r="T26" s="133">
        <v>2.6995662713543478E-2</v>
      </c>
      <c r="U26" s="133">
        <v>0.21830021860538018</v>
      </c>
      <c r="V26" s="133">
        <v>0.94221196660602879</v>
      </c>
      <c r="W26" s="133">
        <v>0.32350544555939897</v>
      </c>
      <c r="X26" s="133">
        <v>0.79103523150091382</v>
      </c>
      <c r="Y26" s="133">
        <v>0.33746213508537914</v>
      </c>
      <c r="Z26" s="133">
        <v>0.57295717400840351</v>
      </c>
      <c r="AA26" s="133">
        <v>0.37632124272362888</v>
      </c>
      <c r="AB26" s="133">
        <v>0.39809225390925596</v>
      </c>
      <c r="AC26" s="133">
        <v>0.88957900063309403</v>
      </c>
      <c r="AD26" s="133">
        <v>0.51124421358785244</v>
      </c>
      <c r="AE26" s="133">
        <v>0.37226907214219929</v>
      </c>
      <c r="AF26" s="133">
        <v>0.9911870403824623</v>
      </c>
      <c r="AG26" s="133">
        <v>0.93479268713216335</v>
      </c>
      <c r="AH26" s="133">
        <v>0.19742388256205556</v>
      </c>
      <c r="AI26" s="133">
        <v>0.42120909388311212</v>
      </c>
      <c r="AJ26" s="133">
        <v>0.35278305847532976</v>
      </c>
      <c r="AK26" s="133">
        <v>0.14298492436725196</v>
      </c>
      <c r="AL26" s="133">
        <v>0.39534507694670828</v>
      </c>
      <c r="AM26" s="133">
        <v>0.81505148641472502</v>
      </c>
      <c r="AN26" s="133">
        <v>0.55778722895489974</v>
      </c>
      <c r="AO26" s="133">
        <v>0.76796160628423071</v>
      </c>
      <c r="AP26" s="133">
        <v>0.8428345884181736</v>
      </c>
      <c r="AQ26" s="133">
        <v>0.99918276107299331</v>
      </c>
      <c r="AR26" s="133">
        <v>0.37369109410744927</v>
      </c>
      <c r="AS26" s="133">
        <v>0.42660460739832406</v>
      </c>
      <c r="AT26" s="133">
        <v>0.57849353007581805</v>
      </c>
      <c r="AU26" s="133">
        <v>0.80525321180364773</v>
      </c>
      <c r="AV26" s="133">
        <v>0.44688580044854664</v>
      </c>
      <c r="AW26" s="133">
        <v>0.92791570860775385</v>
      </c>
      <c r="AX26" s="133">
        <v>0.20718074988538793</v>
      </c>
    </row>
    <row r="27" spans="1:50" ht="30" customHeight="1">
      <c r="A27" s="135" t="s">
        <v>152</v>
      </c>
      <c r="B27" s="133">
        <v>3.2272042844871174E-2</v>
      </c>
      <c r="C27" s="133">
        <v>0.70386654226161427</v>
      </c>
      <c r="D27" s="133">
        <v>0.33038255769258529</v>
      </c>
      <c r="E27" s="133">
        <v>0.5646623508664671</v>
      </c>
      <c r="F27" s="133">
        <v>0.37099579394525872</v>
      </c>
      <c r="G27" s="133">
        <v>0.92791456272261952</v>
      </c>
      <c r="H27" s="133">
        <v>0.76636716378416669</v>
      </c>
      <c r="I27" s="133">
        <v>0.48682730148764919</v>
      </c>
      <c r="J27" s="133">
        <v>0.28458918419250234</v>
      </c>
      <c r="K27" s="133">
        <v>0.12053424922948142</v>
      </c>
      <c r="L27" s="133">
        <v>0.25516395582040297</v>
      </c>
      <c r="M27" s="133">
        <v>0.21612003518767364</v>
      </c>
      <c r="N27" s="133">
        <v>0.62263032681898889</v>
      </c>
      <c r="O27" s="133">
        <v>0.50738775993417362</v>
      </c>
      <c r="P27" s="133">
        <v>0.33024488900538074</v>
      </c>
      <c r="Q27" s="133">
        <v>0.83232629989945106</v>
      </c>
      <c r="R27" s="133">
        <v>0.45392153087044951</v>
      </c>
      <c r="S27" s="133">
        <v>0.3522699089497181</v>
      </c>
      <c r="T27" s="133">
        <v>0.59630578616836649</v>
      </c>
      <c r="U27" s="133">
        <v>0.42669718385986577</v>
      </c>
      <c r="V27" s="133">
        <v>4.1153490191827569E-3</v>
      </c>
      <c r="W27" s="133">
        <v>4.7240385869588675E-2</v>
      </c>
      <c r="X27" s="133">
        <v>0.25536153850257615</v>
      </c>
      <c r="Y27" s="133">
        <v>0.83886340079099997</v>
      </c>
      <c r="Z27" s="133">
        <v>0.13665716784625637</v>
      </c>
      <c r="AA27" s="133">
        <v>0.18482731195830848</v>
      </c>
      <c r="AB27" s="133">
        <v>0.27947345208665231</v>
      </c>
      <c r="AC27" s="133">
        <v>0.76712847108082438</v>
      </c>
      <c r="AD27" s="133">
        <v>6.8318808671595788E-3</v>
      </c>
      <c r="AE27" s="133">
        <v>0.12850599704781951</v>
      </c>
      <c r="AF27" s="133">
        <v>0.42169642443222666</v>
      </c>
      <c r="AG27" s="133">
        <v>0.39262161099018145</v>
      </c>
      <c r="AH27" s="133">
        <v>0.60773617320590045</v>
      </c>
      <c r="AI27" s="133">
        <v>0.31051955030167477</v>
      </c>
      <c r="AJ27" s="133">
        <v>0.94143990961320878</v>
      </c>
      <c r="AK27" s="133">
        <v>0.96324088254434936</v>
      </c>
      <c r="AL27" s="133">
        <v>0.91705091263874061</v>
      </c>
      <c r="AM27" s="133">
        <v>0.93785305372567851</v>
      </c>
      <c r="AN27" s="133">
        <v>0.67431863173947859</v>
      </c>
      <c r="AO27" s="133">
        <v>0.42678554845719041</v>
      </c>
      <c r="AP27" s="133">
        <v>0.9981969130578483</v>
      </c>
      <c r="AQ27" s="133">
        <v>6.4142942532089298E-2</v>
      </c>
      <c r="AR27" s="133">
        <v>0.57199663492936637</v>
      </c>
      <c r="AS27" s="133">
        <v>0.94612979062230695</v>
      </c>
      <c r="AT27" s="133">
        <v>0.2117302949018236</v>
      </c>
      <c r="AU27" s="133">
        <v>0.85424639433536131</v>
      </c>
      <c r="AV27" s="133">
        <v>0.50175931331222501</v>
      </c>
      <c r="AW27" s="133">
        <v>0.38360695294209601</v>
      </c>
      <c r="AX27" s="133">
        <v>0.14331014213463578</v>
      </c>
    </row>
    <row r="28" spans="1:50" ht="30" customHeight="1">
      <c r="A28" s="135" t="s">
        <v>153</v>
      </c>
      <c r="B28" s="133">
        <v>0.84212856674713743</v>
      </c>
      <c r="C28" s="133">
        <v>0.16484652481252793</v>
      </c>
      <c r="D28" s="133">
        <v>0.83452031533087023</v>
      </c>
      <c r="E28" s="133">
        <v>0.22792217883717603</v>
      </c>
      <c r="F28" s="133">
        <v>0.16139381228333349</v>
      </c>
      <c r="G28" s="133">
        <v>0.20684553408896766</v>
      </c>
      <c r="H28" s="133">
        <v>0.40674443644431679</v>
      </c>
      <c r="I28" s="133">
        <v>5.0052930062122081E-2</v>
      </c>
      <c r="J28" s="133">
        <v>0.59971552121294802</v>
      </c>
      <c r="K28" s="133">
        <v>0.40895316659634295</v>
      </c>
      <c r="L28" s="133">
        <v>0.98478114101507996</v>
      </c>
      <c r="M28" s="133">
        <v>0.30521021027452511</v>
      </c>
      <c r="N28" s="133">
        <v>0.93432336162547935</v>
      </c>
      <c r="O28" s="133">
        <v>0.87413155912847529</v>
      </c>
      <c r="P28" s="133">
        <v>0.56931764682182684</v>
      </c>
      <c r="Q28" s="133">
        <v>0.88087445519924135</v>
      </c>
      <c r="R28" s="133">
        <v>0.18357491897196954</v>
      </c>
      <c r="S28" s="133">
        <v>0.66050925399525329</v>
      </c>
      <c r="T28" s="133">
        <v>0.50872657944104305</v>
      </c>
      <c r="U28" s="133">
        <v>0.60352526800677742</v>
      </c>
      <c r="V28" s="133">
        <v>0.68882020765640628</v>
      </c>
      <c r="W28" s="133">
        <v>0.60264813368809445</v>
      </c>
      <c r="X28" s="133">
        <v>0.23695507337983601</v>
      </c>
      <c r="Y28" s="133">
        <v>0.39058880488731307</v>
      </c>
      <c r="Z28" s="133">
        <v>0.45172051416426307</v>
      </c>
      <c r="AA28" s="133">
        <v>0.60039568654455044</v>
      </c>
      <c r="AB28" s="133">
        <v>0.34641110888955962</v>
      </c>
      <c r="AC28" s="133">
        <v>0.45885871569514591</v>
      </c>
      <c r="AD28" s="133">
        <v>0.59871553796654564</v>
      </c>
      <c r="AE28" s="133">
        <v>0.61022319506677669</v>
      </c>
      <c r="AF28" s="133">
        <v>8.3056570521812256E-3</v>
      </c>
      <c r="AG28" s="133">
        <v>0.2273428125101592</v>
      </c>
      <c r="AH28" s="133">
        <v>0.61244204970209137</v>
      </c>
      <c r="AI28" s="133">
        <v>0.97761726368474267</v>
      </c>
      <c r="AJ28" s="133">
        <v>0.81502427118596044</v>
      </c>
      <c r="AK28" s="133">
        <v>0.61589148170619956</v>
      </c>
      <c r="AL28" s="133">
        <v>0.81825189705165069</v>
      </c>
      <c r="AM28" s="133">
        <v>0.67034914260012857</v>
      </c>
      <c r="AN28" s="133">
        <v>0.65991141773148598</v>
      </c>
      <c r="AO28" s="133">
        <v>1.373574854941273E-2</v>
      </c>
      <c r="AP28" s="133">
        <v>0.51859852107823312</v>
      </c>
      <c r="AQ28" s="133">
        <v>0.46657434406480247</v>
      </c>
      <c r="AR28" s="133">
        <v>7.8501771816617993E-2</v>
      </c>
      <c r="AS28" s="133">
        <v>0.76598750411052852</v>
      </c>
      <c r="AT28" s="133">
        <v>0.94871342774543788</v>
      </c>
      <c r="AU28" s="133">
        <v>0.10221503595499204</v>
      </c>
      <c r="AV28" s="133">
        <v>2.9328813130340636E-2</v>
      </c>
      <c r="AW28" s="133">
        <v>8.4033047408082262E-2</v>
      </c>
      <c r="AX28" s="133">
        <v>0.45203271010896473</v>
      </c>
    </row>
    <row r="29" spans="1:50" ht="30" customHeight="1">
      <c r="A29" s="135" t="s">
        <v>150</v>
      </c>
      <c r="B29" s="133">
        <v>0.5247425249930352</v>
      </c>
      <c r="C29" s="133">
        <v>0.70847148429486095</v>
      </c>
      <c r="D29" s="133">
        <v>0.27885219088818458</v>
      </c>
      <c r="E29" s="133">
        <v>0.33502716684568123</v>
      </c>
      <c r="F29" s="133">
        <v>0.84700188708635205</v>
      </c>
      <c r="G29" s="133">
        <v>6.8906370573424192E-2</v>
      </c>
      <c r="H29" s="133">
        <v>0.1543741617872334</v>
      </c>
      <c r="I29" s="133">
        <v>0.43573923185778696</v>
      </c>
      <c r="J29" s="133">
        <v>4.0509211437071424E-2</v>
      </c>
      <c r="K29" s="133">
        <v>0.1558197564374294</v>
      </c>
      <c r="L29" s="133">
        <v>0.23638853271878912</v>
      </c>
      <c r="M29" s="133">
        <v>4.7260231745291925E-2</v>
      </c>
      <c r="N29" s="133">
        <v>0.6045419345604176</v>
      </c>
      <c r="O29" s="133">
        <v>0.91467870574506105</v>
      </c>
      <c r="P29" s="133">
        <v>0.47261609072074873</v>
      </c>
      <c r="Q29" s="133">
        <v>0.35024869940844261</v>
      </c>
      <c r="R29" s="133">
        <v>0.48742336058821789</v>
      </c>
      <c r="S29" s="133">
        <v>0.28653781506317444</v>
      </c>
      <c r="T29" s="133">
        <v>0.12827608409191871</v>
      </c>
      <c r="U29" s="133">
        <v>0.7911789918235308</v>
      </c>
      <c r="V29" s="133">
        <v>0.43408184665008465</v>
      </c>
      <c r="W29" s="133">
        <v>0.5587953908338108</v>
      </c>
      <c r="X29" s="133">
        <v>0.19686834724585822</v>
      </c>
      <c r="Y29" s="133">
        <v>0.2433156543674182</v>
      </c>
      <c r="Z29" s="133">
        <v>0.86710275983921092</v>
      </c>
      <c r="AA29" s="133">
        <v>0.57472626642374047</v>
      </c>
      <c r="AB29" s="133">
        <v>0.70866736033462085</v>
      </c>
      <c r="AC29" s="133">
        <v>0.45143233456649368</v>
      </c>
      <c r="AD29" s="133">
        <v>0.39677523243070301</v>
      </c>
      <c r="AE29" s="133">
        <v>4.5602367280696665E-2</v>
      </c>
      <c r="AF29" s="133">
        <v>0.86054951483075381</v>
      </c>
      <c r="AG29" s="133">
        <v>0.830914843436936</v>
      </c>
      <c r="AH29" s="133">
        <v>0.74640020810324526</v>
      </c>
      <c r="AI29" s="133">
        <v>0.69434616399562887</v>
      </c>
      <c r="AJ29" s="133">
        <v>0.32980167230253643</v>
      </c>
      <c r="AK29" s="133">
        <v>9.0893220408913122E-2</v>
      </c>
      <c r="AL29" s="133">
        <v>0.63865528295817753</v>
      </c>
      <c r="AM29" s="133">
        <v>0.21887981875200679</v>
      </c>
      <c r="AN29" s="133">
        <v>0.47684554565356685</v>
      </c>
      <c r="AO29" s="133">
        <v>0.26205197223395971</v>
      </c>
      <c r="AP29" s="133">
        <v>0.15362952671264718</v>
      </c>
      <c r="AQ29" s="133">
        <v>0.9485151214205122</v>
      </c>
      <c r="AR29" s="133">
        <v>0.51503534008163054</v>
      </c>
      <c r="AS29" s="133">
        <v>0.25401637994309489</v>
      </c>
      <c r="AT29" s="133">
        <v>0.24131665810520142</v>
      </c>
      <c r="AU29" s="133">
        <v>0.32491599019926198</v>
      </c>
      <c r="AV29" s="133">
        <v>0.7478133609870814</v>
      </c>
      <c r="AW29" s="133">
        <v>0.62029078179988306</v>
      </c>
      <c r="AX29" s="133">
        <v>0.60020957579071244</v>
      </c>
    </row>
    <row r="30" spans="1:50" ht="30" customHeight="1">
      <c r="A30" s="135" t="s">
        <v>405</v>
      </c>
      <c r="B30" s="133">
        <v>0.29024869025943334</v>
      </c>
      <c r="C30" s="133">
        <v>0.92503485693204812</v>
      </c>
      <c r="D30" s="133">
        <v>0.20934797941737548</v>
      </c>
      <c r="E30" s="133">
        <v>0.16712310498568639</v>
      </c>
      <c r="F30" s="133">
        <v>0.32312177521978203</v>
      </c>
      <c r="G30" s="133">
        <v>0.68457721804221894</v>
      </c>
      <c r="H30" s="133">
        <v>0.69051425368421104</v>
      </c>
      <c r="I30" s="133">
        <v>0.93813386991648262</v>
      </c>
      <c r="J30" s="133">
        <v>6.0017421955695038E-2</v>
      </c>
      <c r="K30" s="133">
        <v>0.82633188548849912</v>
      </c>
      <c r="L30" s="133">
        <v>0.70739360984182265</v>
      </c>
      <c r="M30" s="133">
        <v>0.45734332420430301</v>
      </c>
      <c r="N30" s="133">
        <v>0.30340486339918682</v>
      </c>
      <c r="O30" s="133">
        <v>0.25045050538643021</v>
      </c>
      <c r="P30" s="133">
        <v>0.27015167349833469</v>
      </c>
      <c r="Q30" s="133">
        <v>0.62780079902225483</v>
      </c>
      <c r="R30" s="133">
        <v>0.41355979634263029</v>
      </c>
      <c r="S30" s="133">
        <v>0.63941765825152064</v>
      </c>
      <c r="T30" s="133">
        <v>0.98868805362226209</v>
      </c>
      <c r="U30" s="133">
        <v>0.3324976599024555</v>
      </c>
      <c r="V30" s="133">
        <v>0.54040761085177946</v>
      </c>
      <c r="W30" s="133">
        <v>0.7439551211183687</v>
      </c>
      <c r="X30" s="133">
        <v>0.72490705871613459</v>
      </c>
      <c r="Y30" s="133">
        <v>0.66591482909075062</v>
      </c>
      <c r="Z30" s="133">
        <v>0.36807274874783336</v>
      </c>
      <c r="AA30" s="133">
        <v>0.6618347353077666</v>
      </c>
      <c r="AB30" s="133">
        <v>0.5002769887296028</v>
      </c>
      <c r="AC30" s="133">
        <v>0.21443996803039478</v>
      </c>
      <c r="AD30" s="133">
        <v>0.14733126890041981</v>
      </c>
      <c r="AE30" s="133">
        <v>0.93992326800738923</v>
      </c>
      <c r="AF30" s="133">
        <v>0.547358056548227</v>
      </c>
      <c r="AG30" s="133">
        <v>0.18034911065842729</v>
      </c>
      <c r="AH30" s="133">
        <v>0.89576200193298194</v>
      </c>
      <c r="AI30" s="133">
        <v>0.99000448594355539</v>
      </c>
      <c r="AJ30" s="133">
        <v>0.53514519787617598</v>
      </c>
      <c r="AK30" s="133">
        <v>0.69757164660394844</v>
      </c>
      <c r="AL30" s="133">
        <v>0.42810142094031223</v>
      </c>
      <c r="AM30" s="133">
        <v>0.34383830247152913</v>
      </c>
      <c r="AN30" s="133">
        <v>0.22730088151649097</v>
      </c>
      <c r="AO30" s="133">
        <v>0.69055429198055107</v>
      </c>
      <c r="AP30" s="133">
        <v>4.2811640056138578E-2</v>
      </c>
      <c r="AQ30" s="133">
        <v>0.40029795120116995</v>
      </c>
      <c r="AR30" s="133">
        <v>6.4603753023430688E-2</v>
      </c>
      <c r="AS30" s="133">
        <v>0.87880369482337717</v>
      </c>
      <c r="AT30" s="133">
        <v>0.13156726977142774</v>
      </c>
      <c r="AU30" s="133">
        <v>0.57714308505207002</v>
      </c>
      <c r="AV30" s="133">
        <v>0.40497980846875448</v>
      </c>
      <c r="AW30" s="133">
        <v>0.34041052683347672</v>
      </c>
      <c r="AX30" s="133">
        <v>0.48447489070186611</v>
      </c>
    </row>
    <row r="31" spans="1:50" ht="30" customHeight="1">
      <c r="A31" s="135" t="s">
        <v>635</v>
      </c>
      <c r="B31" s="133">
        <f>SUM(B24:B30)</f>
        <v>3.5821528202138246</v>
      </c>
      <c r="C31" s="133">
        <f t="shared" ref="C31:AX31" si="2">SUM(C24:C30)</f>
        <v>4.4469744661308148</v>
      </c>
      <c r="D31" s="133">
        <f t="shared" si="2"/>
        <v>2.5848089158311787</v>
      </c>
      <c r="E31" s="133">
        <f t="shared" si="2"/>
        <v>2.7057572822209957</v>
      </c>
      <c r="F31" s="133">
        <f t="shared" si="2"/>
        <v>4.5466672036704594</v>
      </c>
      <c r="G31" s="133">
        <f t="shared" si="2"/>
        <v>2.9692706618271618</v>
      </c>
      <c r="H31" s="133">
        <f t="shared" si="2"/>
        <v>3.3557072065432312</v>
      </c>
      <c r="I31" s="133">
        <f t="shared" si="2"/>
        <v>3.5826473371354708</v>
      </c>
      <c r="J31" s="133">
        <f t="shared" si="2"/>
        <v>3.1920812318465868</v>
      </c>
      <c r="K31" s="133">
        <f t="shared" si="2"/>
        <v>2.9221680595711161</v>
      </c>
      <c r="L31" s="133">
        <f t="shared" si="2"/>
        <v>4.3632496619436196</v>
      </c>
      <c r="M31" s="133">
        <f t="shared" si="2"/>
        <v>2.1355839173548556</v>
      </c>
      <c r="N31" s="133">
        <f t="shared" si="2"/>
        <v>3.7343721255171389</v>
      </c>
      <c r="O31" s="133">
        <f t="shared" si="2"/>
        <v>4.1078380326737935</v>
      </c>
      <c r="P31" s="133">
        <f t="shared" si="2"/>
        <v>3.5366431273421899</v>
      </c>
      <c r="Q31" s="133">
        <f t="shared" si="2"/>
        <v>4.220447047796398</v>
      </c>
      <c r="R31" s="133">
        <f t="shared" si="2"/>
        <v>3.3324828301407239</v>
      </c>
      <c r="S31" s="133">
        <f t="shared" si="2"/>
        <v>2.9822079966259079</v>
      </c>
      <c r="T31" s="133">
        <f t="shared" si="2"/>
        <v>3.1924040249043055</v>
      </c>
      <c r="U31" s="133">
        <f t="shared" si="2"/>
        <v>3.3360537258557375</v>
      </c>
      <c r="V31" s="133">
        <f t="shared" si="2"/>
        <v>3.4500677602497274</v>
      </c>
      <c r="W31" s="133">
        <f t="shared" si="2"/>
        <v>2.9428934598497056</v>
      </c>
      <c r="X31" s="133">
        <f t="shared" si="2"/>
        <v>2.6509511927633032</v>
      </c>
      <c r="Y31" s="133">
        <f t="shared" si="2"/>
        <v>4.0383867536397524</v>
      </c>
      <c r="Z31" s="133">
        <f t="shared" si="2"/>
        <v>3.4554842649509787</v>
      </c>
      <c r="AA31" s="133">
        <f t="shared" si="2"/>
        <v>3.4392095617498728</v>
      </c>
      <c r="AB31" s="133">
        <f t="shared" si="2"/>
        <v>3.4276826773839231</v>
      </c>
      <c r="AC31" s="133">
        <f t="shared" si="2"/>
        <v>4.1077811993796169</v>
      </c>
      <c r="AD31" s="133">
        <f t="shared" si="2"/>
        <v>3.3178345223165238</v>
      </c>
      <c r="AE31" s="133">
        <f t="shared" si="2"/>
        <v>2.8839934929036901</v>
      </c>
      <c r="AF31" s="133">
        <f t="shared" si="2"/>
        <v>3.602558594553142</v>
      </c>
      <c r="AG31" s="133">
        <f t="shared" si="2"/>
        <v>3.76167316027909</v>
      </c>
      <c r="AH31" s="133">
        <f t="shared" si="2"/>
        <v>4.672430336041006</v>
      </c>
      <c r="AI31" s="133">
        <f t="shared" si="2"/>
        <v>5.2551323707253221</v>
      </c>
      <c r="AJ31" s="133">
        <f t="shared" si="2"/>
        <v>4.3284307361900254</v>
      </c>
      <c r="AK31" s="133">
        <f t="shared" si="2"/>
        <v>3.2943154434725335</v>
      </c>
      <c r="AL31" s="133">
        <f t="shared" si="2"/>
        <v>4.2644168770203947</v>
      </c>
      <c r="AM31" s="133">
        <f t="shared" si="2"/>
        <v>3.7353146981374281</v>
      </c>
      <c r="AN31" s="133">
        <f t="shared" si="2"/>
        <v>3.9344860922857938</v>
      </c>
      <c r="AO31" s="133">
        <f t="shared" si="2"/>
        <v>2.5092656878027397</v>
      </c>
      <c r="AP31" s="133">
        <f t="shared" si="2"/>
        <v>3.8038156510388492</v>
      </c>
      <c r="AQ31" s="133">
        <f t="shared" si="2"/>
        <v>4.2004719178530419</v>
      </c>
      <c r="AR31" s="133">
        <f t="shared" si="2"/>
        <v>2.4659482894136362</v>
      </c>
      <c r="AS31" s="133">
        <f t="shared" si="2"/>
        <v>3.89136956730019</v>
      </c>
      <c r="AT31" s="133">
        <f t="shared" si="2"/>
        <v>3.2888400961508655</v>
      </c>
      <c r="AU31" s="133">
        <f t="shared" si="2"/>
        <v>2.9215662639521174</v>
      </c>
      <c r="AV31" s="133">
        <f t="shared" si="2"/>
        <v>3.5150630093670294</v>
      </c>
      <c r="AW31" s="133">
        <f t="shared" si="2"/>
        <v>3.0729895469381709</v>
      </c>
      <c r="AX31" s="133">
        <f t="shared" si="2"/>
        <v>2.8940422176018585</v>
      </c>
    </row>
    <row r="32" spans="1:50" ht="30" customHeight="1">
      <c r="A32" s="133" t="s">
        <v>446</v>
      </c>
    </row>
    <row r="33" spans="1:50" ht="30" customHeight="1">
      <c r="A33" s="135" t="s">
        <v>148</v>
      </c>
      <c r="B33" s="133">
        <v>0.47523518194690428</v>
      </c>
      <c r="C33" s="133">
        <v>0.3631721046139148</v>
      </c>
      <c r="D33" s="133">
        <v>0.91414967204182918</v>
      </c>
      <c r="E33" s="133">
        <v>0.28321342271943606</v>
      </c>
      <c r="F33" s="133">
        <v>0.57183648556829048</v>
      </c>
      <c r="G33" s="133">
        <v>0.83452109100627825</v>
      </c>
      <c r="H33" s="133">
        <v>0.79254056307110843</v>
      </c>
      <c r="I33" s="133">
        <v>0.58286718611583466</v>
      </c>
      <c r="J33" s="133">
        <v>0.6221030018643855</v>
      </c>
      <c r="K33" s="133">
        <v>5.700654544232997E-2</v>
      </c>
      <c r="L33" s="133">
        <v>0.28708445470502841</v>
      </c>
      <c r="M33" s="133">
        <v>0.48895459895222115</v>
      </c>
      <c r="N33" s="133">
        <v>0.97245784310028605</v>
      </c>
      <c r="O33" s="133">
        <v>0.5892081260940123</v>
      </c>
      <c r="P33" s="133">
        <v>0.98162425322893254</v>
      </c>
      <c r="Q33" s="133">
        <v>0.45946962978132055</v>
      </c>
      <c r="R33" s="133">
        <v>0.38473903999694714</v>
      </c>
      <c r="S33" s="133">
        <v>0.49890769331424212</v>
      </c>
      <c r="T33" s="133">
        <v>0.46893961126126105</v>
      </c>
      <c r="U33" s="133">
        <v>0.93052336309828798</v>
      </c>
      <c r="V33" s="133">
        <v>9.9467192376331282E-3</v>
      </c>
      <c r="W33" s="133">
        <v>0.54735924306783057</v>
      </c>
      <c r="X33" s="133">
        <v>0.53837768749829418</v>
      </c>
      <c r="Y33" s="133">
        <v>0.91468257872203551</v>
      </c>
      <c r="Z33" s="133">
        <v>0.99617162401690962</v>
      </c>
      <c r="AA33" s="133">
        <v>0.96977417407490862</v>
      </c>
      <c r="AB33" s="133">
        <v>0.11935040913464201</v>
      </c>
      <c r="AC33" s="133">
        <v>7.6765027688861509E-2</v>
      </c>
      <c r="AD33" s="133">
        <v>0.30209509792972267</v>
      </c>
      <c r="AE33" s="133">
        <v>0.864978397920937</v>
      </c>
      <c r="AF33" s="133">
        <v>0.12452064655658979</v>
      </c>
      <c r="AG33" s="133">
        <v>0.53857476817573802</v>
      </c>
      <c r="AH33" s="133">
        <v>0.23580250416038229</v>
      </c>
      <c r="AI33" s="133">
        <v>0.37546541717739523</v>
      </c>
      <c r="AJ33" s="133">
        <v>0.29643654262951402</v>
      </c>
      <c r="AK33" s="133">
        <v>0.67240600511636084</v>
      </c>
      <c r="AL33" s="133">
        <v>0.37733102971980503</v>
      </c>
      <c r="AM33" s="133">
        <v>0.1608661149677254</v>
      </c>
      <c r="AN33" s="133">
        <v>0.58332206810247944</v>
      </c>
      <c r="AO33" s="133">
        <v>0.13925108193111468</v>
      </c>
      <c r="AP33" s="133">
        <v>0.40219156584017468</v>
      </c>
      <c r="AQ33" s="133">
        <v>0.31273014310987046</v>
      </c>
      <c r="AR33" s="133">
        <v>0.7423225520066391</v>
      </c>
      <c r="AS33" s="133">
        <v>0.26583501459311298</v>
      </c>
      <c r="AT33" s="133">
        <v>0.46171210955094566</v>
      </c>
      <c r="AU33" s="133">
        <v>0.60398234086414637</v>
      </c>
      <c r="AV33" s="133">
        <v>0.87133001580273972</v>
      </c>
      <c r="AW33" s="133">
        <v>1.4923506303088141E-2</v>
      </c>
      <c r="AX33" s="133">
        <v>0.91652935779794575</v>
      </c>
    </row>
    <row r="34" spans="1:50" ht="30" customHeight="1">
      <c r="A34" s="135" t="s">
        <v>149</v>
      </c>
      <c r="B34" s="133">
        <v>0.98765561460800888</v>
      </c>
      <c r="C34" s="133">
        <v>0.61108784985867015</v>
      </c>
      <c r="D34" s="133">
        <v>0.11744275156670103</v>
      </c>
      <c r="E34" s="133">
        <v>0.78466122466584054</v>
      </c>
      <c r="F34" s="133">
        <v>0.84474180970224455</v>
      </c>
      <c r="G34" s="133">
        <v>0.99950667115945269</v>
      </c>
      <c r="H34" s="133">
        <v>0.71495376781667852</v>
      </c>
      <c r="I34" s="133">
        <v>0.30001229604905477</v>
      </c>
      <c r="J34" s="133">
        <v>0.99235715594932317</v>
      </c>
      <c r="K34" s="133">
        <v>0.33751737670691317</v>
      </c>
      <c r="L34" s="133">
        <v>0.59911566227998792</v>
      </c>
      <c r="M34" s="133">
        <v>0.18071963202282937</v>
      </c>
      <c r="N34" s="133">
        <v>0.97082747860147056</v>
      </c>
      <c r="O34" s="133">
        <v>0.96718639587561561</v>
      </c>
      <c r="P34" s="133">
        <v>6.6557127744548583E-2</v>
      </c>
      <c r="Q34" s="133">
        <v>0.18068069145272103</v>
      </c>
      <c r="R34" s="133">
        <v>0.43683120876601189</v>
      </c>
      <c r="S34" s="133">
        <v>0.58326686965616237</v>
      </c>
      <c r="T34" s="133">
        <v>0.92968709297547092</v>
      </c>
      <c r="U34" s="133">
        <v>0.44615063156850232</v>
      </c>
      <c r="V34" s="133">
        <v>4.4907814328652984E-2</v>
      </c>
      <c r="W34" s="133">
        <v>0.97086615890311023</v>
      </c>
      <c r="X34" s="133">
        <v>0.12486927892245958</v>
      </c>
      <c r="Y34" s="133">
        <v>0.87521210997017418</v>
      </c>
      <c r="Z34" s="133">
        <v>0.72773652008424228</v>
      </c>
      <c r="AA34" s="133">
        <v>0.41942668880445311</v>
      </c>
      <c r="AB34" s="133">
        <v>1.4937631976035926E-2</v>
      </c>
      <c r="AC34" s="133">
        <v>0.62399453500520652</v>
      </c>
      <c r="AD34" s="133">
        <v>0.40403853579149196</v>
      </c>
      <c r="AE34" s="133">
        <v>2.0021220813103646E-2</v>
      </c>
      <c r="AF34" s="133">
        <v>7.3883369225117068E-2</v>
      </c>
      <c r="AG34" s="133">
        <v>0.45185915421097178</v>
      </c>
      <c r="AH34" s="133">
        <v>0.17126381041342986</v>
      </c>
      <c r="AI34" s="133">
        <v>0.59005608738159887</v>
      </c>
      <c r="AJ34" s="133">
        <v>0.90082040546205167</v>
      </c>
      <c r="AK34" s="133">
        <v>0.62205838726952423</v>
      </c>
      <c r="AL34" s="133">
        <v>0.47330821091031738</v>
      </c>
      <c r="AM34" s="133">
        <v>0.98307824227718199</v>
      </c>
      <c r="AN34" s="133">
        <v>0.51623163181777232</v>
      </c>
      <c r="AO34" s="133">
        <v>0.38037629928951266</v>
      </c>
      <c r="AP34" s="133">
        <v>0.46247451427131081</v>
      </c>
      <c r="AQ34" s="133">
        <v>0.29788783436376098</v>
      </c>
      <c r="AR34" s="133">
        <v>0.48678811825020507</v>
      </c>
      <c r="AS34" s="133">
        <v>4.9030941681096341E-2</v>
      </c>
      <c r="AT34" s="133">
        <v>0.4025285066326777</v>
      </c>
      <c r="AU34" s="133">
        <v>0.90083288155945684</v>
      </c>
      <c r="AV34" s="133">
        <v>0.44924406268258776</v>
      </c>
      <c r="AW34" s="133">
        <v>0.8362953072313013</v>
      </c>
      <c r="AX34" s="133">
        <v>0.38894500462829973</v>
      </c>
    </row>
    <row r="35" spans="1:50" ht="30" customHeight="1">
      <c r="A35" s="135" t="s">
        <v>154</v>
      </c>
      <c r="B35" s="133">
        <v>1.2276425711038819E-2</v>
      </c>
      <c r="C35" s="133">
        <v>0.34409892064592207</v>
      </c>
      <c r="D35" s="133">
        <v>0.71337770268935852</v>
      </c>
      <c r="E35" s="133">
        <v>0.16426331827826646</v>
      </c>
      <c r="F35" s="133">
        <v>6.8137897292294469E-2</v>
      </c>
      <c r="G35" s="133">
        <v>0.86980864525301693</v>
      </c>
      <c r="H35" s="133">
        <v>0.62377493850163213</v>
      </c>
      <c r="I35" s="133">
        <v>0.99464717137015857</v>
      </c>
      <c r="J35" s="133">
        <v>1.1507430856446343E-2</v>
      </c>
      <c r="K35" s="133">
        <v>0.25658679712755261</v>
      </c>
      <c r="L35" s="133">
        <v>0.98108277847352199</v>
      </c>
      <c r="M35" s="133">
        <v>0.27711727959284316</v>
      </c>
      <c r="N35" s="133">
        <v>0.49818296587247768</v>
      </c>
      <c r="O35" s="133">
        <v>0.6917411772990546</v>
      </c>
      <c r="P35" s="133">
        <v>0.19955783788955461</v>
      </c>
      <c r="Q35" s="133">
        <v>0.18756045470710347</v>
      </c>
      <c r="R35" s="133">
        <v>0.53987050832032102</v>
      </c>
      <c r="S35" s="133">
        <v>3.7554099841492383E-2</v>
      </c>
      <c r="T35" s="133">
        <v>0.61344444607590953</v>
      </c>
      <c r="U35" s="133">
        <v>0.16200878348848458</v>
      </c>
      <c r="V35" s="133">
        <v>1.4204406297585903E-2</v>
      </c>
      <c r="W35" s="133">
        <v>0.12741192283042269</v>
      </c>
      <c r="X35" s="133">
        <v>4.105247105924803E-2</v>
      </c>
      <c r="Y35" s="133">
        <v>0.89497322864139106</v>
      </c>
      <c r="Z35" s="133">
        <v>0.94541450465786403</v>
      </c>
      <c r="AA35" s="133">
        <v>0.22078030606566557</v>
      </c>
      <c r="AB35" s="133">
        <v>6.637854619201411E-2</v>
      </c>
      <c r="AC35" s="133">
        <v>2.8185372635856631E-2</v>
      </c>
      <c r="AD35" s="133">
        <v>0.12272345959071873</v>
      </c>
      <c r="AE35" s="133">
        <v>0.22376547458345908</v>
      </c>
      <c r="AF35" s="133">
        <v>0.23992651921377761</v>
      </c>
      <c r="AG35" s="133">
        <v>0.43836174182827004</v>
      </c>
      <c r="AH35" s="133">
        <v>0.30979157515727096</v>
      </c>
      <c r="AI35" s="133">
        <v>0.35932218449366848</v>
      </c>
      <c r="AJ35" s="133">
        <v>0.88850927002249935</v>
      </c>
      <c r="AK35" s="133">
        <v>0.73478714735074746</v>
      </c>
      <c r="AL35" s="133">
        <v>0.85616101494726748</v>
      </c>
      <c r="AM35" s="133">
        <v>0.64266023873629163</v>
      </c>
      <c r="AN35" s="133">
        <v>0.60375900220199841</v>
      </c>
      <c r="AO35" s="133">
        <v>0.57706997796549264</v>
      </c>
      <c r="AP35" s="133">
        <v>0.58531580118667348</v>
      </c>
      <c r="AQ35" s="133">
        <v>0.77018865081284116</v>
      </c>
      <c r="AR35" s="133">
        <v>0.79211804580582013</v>
      </c>
      <c r="AS35" s="133">
        <v>0.89103281480377494</v>
      </c>
      <c r="AT35" s="133">
        <v>0.53004727685896991</v>
      </c>
      <c r="AU35" s="133">
        <v>0.26591803609026277</v>
      </c>
      <c r="AV35" s="133">
        <v>0.22810840886699457</v>
      </c>
      <c r="AW35" s="133">
        <v>0.24574624718413662</v>
      </c>
      <c r="AX35" s="133">
        <v>0.48627470468352185</v>
      </c>
    </row>
    <row r="36" spans="1:50" ht="30" customHeight="1">
      <c r="A36" s="135" t="s">
        <v>152</v>
      </c>
      <c r="B36" s="133">
        <v>0.62822855518669252</v>
      </c>
      <c r="C36" s="133">
        <v>0.19446857558025121</v>
      </c>
      <c r="D36" s="133">
        <v>0.82458946524345256</v>
      </c>
      <c r="E36" s="133">
        <v>0.21178969794517422</v>
      </c>
      <c r="F36" s="133">
        <v>0.78589245170773114</v>
      </c>
      <c r="G36" s="133">
        <v>0.64489837727720067</v>
      </c>
      <c r="H36" s="133">
        <v>0.43320317320375634</v>
      </c>
      <c r="I36" s="133">
        <v>0.32354697331362736</v>
      </c>
      <c r="J36" s="133">
        <v>0.83288280407806714</v>
      </c>
      <c r="K36" s="133">
        <v>0.7221911030092204</v>
      </c>
      <c r="L36" s="133">
        <v>0.37373019110412131</v>
      </c>
      <c r="M36" s="133">
        <v>0.61904060683454165</v>
      </c>
      <c r="N36" s="133">
        <v>0.2589558315306022</v>
      </c>
      <c r="O36" s="133">
        <v>0.21905296014293063</v>
      </c>
      <c r="P36" s="133">
        <v>0.58107806487870906</v>
      </c>
      <c r="Q36" s="133">
        <v>0.98926401295046051</v>
      </c>
      <c r="R36" s="133">
        <v>0.37779791394685358</v>
      </c>
      <c r="S36" s="133">
        <v>0.57013893406321725</v>
      </c>
      <c r="T36" s="133">
        <v>0.20091383554467523</v>
      </c>
      <c r="U36" s="133">
        <v>0.19751334979893775</v>
      </c>
      <c r="V36" s="133">
        <v>0.98351672781130861</v>
      </c>
      <c r="W36" s="133">
        <v>0.59323730256695628</v>
      </c>
      <c r="X36" s="133">
        <v>0.72968724075260594</v>
      </c>
      <c r="Y36" s="133">
        <v>0.25709733513510158</v>
      </c>
      <c r="Z36" s="133">
        <v>0.67625564873516453</v>
      </c>
      <c r="AA36" s="133">
        <v>0.52222230334850361</v>
      </c>
      <c r="AB36" s="133">
        <v>0.8114075931991952</v>
      </c>
      <c r="AC36" s="133">
        <v>0.14906722912430836</v>
      </c>
      <c r="AD36" s="133">
        <v>4.2258585241971458E-2</v>
      </c>
      <c r="AE36" s="133">
        <v>0.70638735073974246</v>
      </c>
      <c r="AF36" s="133">
        <v>0.53683095893784627</v>
      </c>
      <c r="AG36" s="133">
        <v>0.69937331680208936</v>
      </c>
      <c r="AH36" s="133">
        <v>0.2092246646799808</v>
      </c>
      <c r="AI36" s="133">
        <v>3.351867752626736E-2</v>
      </c>
      <c r="AJ36" s="133">
        <v>0.3937343814391947</v>
      </c>
      <c r="AK36" s="133">
        <v>0.96028083111656104</v>
      </c>
      <c r="AL36" s="133">
        <v>0.44273555539691611</v>
      </c>
      <c r="AM36" s="133">
        <v>9.486152424901062E-2</v>
      </c>
      <c r="AN36" s="133">
        <v>0.46021014665560955</v>
      </c>
      <c r="AO36" s="133">
        <v>0.56506056890416057</v>
      </c>
      <c r="AP36" s="133">
        <v>0.85643227138302147</v>
      </c>
      <c r="AQ36" s="133">
        <v>0.79126325949270104</v>
      </c>
      <c r="AR36" s="133">
        <v>0.66850381408322379</v>
      </c>
      <c r="AS36" s="133">
        <v>0.18408097002042523</v>
      </c>
      <c r="AT36" s="133">
        <v>9.3272187813966623E-2</v>
      </c>
      <c r="AU36" s="133">
        <v>0.1597849637383344</v>
      </c>
      <c r="AV36" s="133">
        <v>0.42692564031050206</v>
      </c>
      <c r="AW36" s="133">
        <v>0.63663133762545465</v>
      </c>
      <c r="AX36" s="133">
        <v>0.429273985448134</v>
      </c>
    </row>
    <row r="37" spans="1:50" ht="30" customHeight="1">
      <c r="A37" s="135" t="s">
        <v>153</v>
      </c>
      <c r="B37" s="133">
        <v>0.29972362087571891</v>
      </c>
      <c r="C37" s="133">
        <v>0.12524985261511656</v>
      </c>
      <c r="D37" s="133">
        <v>0.60108277598276916</v>
      </c>
      <c r="E37" s="133">
        <v>0.17070259237624164</v>
      </c>
      <c r="F37" s="133">
        <v>0.84963140963236361</v>
      </c>
      <c r="G37" s="133">
        <v>0.14290264542399667</v>
      </c>
      <c r="H37" s="133">
        <v>0.14891599911990816</v>
      </c>
      <c r="I37" s="133">
        <v>0.81361926891462888</v>
      </c>
      <c r="J37" s="133">
        <v>0.4343692460970815</v>
      </c>
      <c r="K37" s="133">
        <v>0.33137440214028335</v>
      </c>
      <c r="L37" s="133">
        <v>0.48660242762241135</v>
      </c>
      <c r="M37" s="133">
        <v>0.16821196538082694</v>
      </c>
      <c r="N37" s="133">
        <v>0.58547811997755927</v>
      </c>
      <c r="O37" s="133">
        <v>0.23629905612555147</v>
      </c>
      <c r="P37" s="133">
        <v>0.57338683148041503</v>
      </c>
      <c r="Q37" s="133">
        <v>0.5627997203381413</v>
      </c>
      <c r="R37" s="133">
        <v>0.87813986254332721</v>
      </c>
      <c r="S37" s="133">
        <v>0.65132831293981563</v>
      </c>
      <c r="T37" s="133">
        <v>0.39169534203335155</v>
      </c>
      <c r="U37" s="133">
        <v>0.85907573227614453</v>
      </c>
      <c r="V37" s="133">
        <v>0.48320356710743551</v>
      </c>
      <c r="W37" s="133">
        <v>0.89060768668114265</v>
      </c>
      <c r="X37" s="133">
        <v>0.81893568637937608</v>
      </c>
      <c r="Y37" s="133">
        <v>0.21806712920878446</v>
      </c>
      <c r="Z37" s="133">
        <v>0.22183641983606806</v>
      </c>
      <c r="AA37" s="133">
        <v>0.63363751517120881</v>
      </c>
      <c r="AB37" s="133">
        <v>0.96711424951743596</v>
      </c>
      <c r="AC37" s="133">
        <v>0.36621824392154234</v>
      </c>
      <c r="AD37" s="133">
        <v>0.4553739644603233</v>
      </c>
      <c r="AE37" s="133">
        <v>0.55750491958384685</v>
      </c>
      <c r="AF37" s="133">
        <v>0.81776958284118084</v>
      </c>
      <c r="AG37" s="133">
        <v>0.23292281531691061</v>
      </c>
      <c r="AH37" s="133">
        <v>0.35855262196600013</v>
      </c>
      <c r="AI37" s="133">
        <v>0.24415873767653218</v>
      </c>
      <c r="AJ37" s="133">
        <v>0.61174315338337559</v>
      </c>
      <c r="AK37" s="133">
        <v>0.83354434147570788</v>
      </c>
      <c r="AL37" s="133">
        <v>0.81195496168298953</v>
      </c>
      <c r="AM37" s="133">
        <v>0.77007458748118285</v>
      </c>
      <c r="AN37" s="133">
        <v>0.88396838790990706</v>
      </c>
      <c r="AO37" s="133">
        <v>0.71356206288651891</v>
      </c>
      <c r="AP37" s="133">
        <v>0.1884930180049208</v>
      </c>
      <c r="AQ37" s="133">
        <v>0.80010832982124447</v>
      </c>
      <c r="AR37" s="133">
        <v>0.42363694798263796</v>
      </c>
      <c r="AS37" s="133">
        <v>0.67527925081936302</v>
      </c>
      <c r="AT37" s="133">
        <v>0.35594451132418459</v>
      </c>
      <c r="AU37" s="133">
        <v>0.5275194990095684</v>
      </c>
      <c r="AV37" s="133">
        <v>0.69488586776142736</v>
      </c>
      <c r="AW37" s="133">
        <v>0.44439496695362768</v>
      </c>
      <c r="AX37" s="133">
        <v>0.89231941195940145</v>
      </c>
    </row>
    <row r="38" spans="1:50" ht="30" customHeight="1">
      <c r="A38" s="135" t="s">
        <v>150</v>
      </c>
      <c r="B38" s="133">
        <v>0.10747006962275518</v>
      </c>
      <c r="C38" s="133">
        <v>0.95694182993201571</v>
      </c>
      <c r="D38" s="133">
        <v>0.74486034927289158</v>
      </c>
      <c r="E38" s="133">
        <v>0.39139586723218334</v>
      </c>
      <c r="F38" s="133">
        <v>0.80859563762997944</v>
      </c>
      <c r="G38" s="133">
        <v>0.41555726960219541</v>
      </c>
      <c r="H38" s="133">
        <v>0.56408003453548194</v>
      </c>
      <c r="I38" s="133">
        <v>0.75142945880287915</v>
      </c>
      <c r="J38" s="133">
        <v>0.23643226779321103</v>
      </c>
      <c r="K38" s="133">
        <v>0.10685735231416715</v>
      </c>
      <c r="L38" s="133">
        <v>0.17938671650656579</v>
      </c>
      <c r="M38" s="133">
        <v>0.89786217620170083</v>
      </c>
      <c r="N38" s="133">
        <v>0.76594884000584862</v>
      </c>
      <c r="O38" s="133">
        <v>0.51437805799663983</v>
      </c>
      <c r="P38" s="133">
        <v>0.9489622132564115</v>
      </c>
      <c r="Q38" s="133">
        <v>0.23035536337361862</v>
      </c>
      <c r="R38" s="133">
        <v>0.2820759123322546</v>
      </c>
      <c r="S38" s="133">
        <v>0.62238288305578238</v>
      </c>
      <c r="T38" s="133">
        <v>0.13570529096292783</v>
      </c>
      <c r="U38" s="133">
        <v>0.42706408414284402</v>
      </c>
      <c r="V38" s="133">
        <v>0.44871726228027775</v>
      </c>
      <c r="W38" s="133">
        <v>0.20749211574801263</v>
      </c>
      <c r="X38" s="133">
        <v>0.18997185562258911</v>
      </c>
      <c r="Y38" s="133">
        <v>0.65909731129596494</v>
      </c>
      <c r="Z38" s="133">
        <v>0.22894163729026706</v>
      </c>
      <c r="AA38" s="133">
        <v>0.5969178756568736</v>
      </c>
      <c r="AB38" s="133">
        <v>6.9167313383117324E-2</v>
      </c>
      <c r="AC38" s="133">
        <v>0.22392967386870966</v>
      </c>
      <c r="AD38" s="133">
        <v>0.43335474566303178</v>
      </c>
      <c r="AE38" s="133">
        <v>3.5708001723591121E-2</v>
      </c>
      <c r="AF38" s="133">
        <v>0.45586020806578642</v>
      </c>
      <c r="AG38" s="133">
        <v>0.77334771587661144</v>
      </c>
      <c r="AH38" s="133">
        <v>0.8383750755794489</v>
      </c>
      <c r="AI38" s="133">
        <v>0.59183653550515403</v>
      </c>
      <c r="AJ38" s="133">
        <v>0.52941441235220876</v>
      </c>
      <c r="AK38" s="133">
        <v>0.28250405788969091</v>
      </c>
      <c r="AL38" s="133">
        <v>2.1371045840298253E-3</v>
      </c>
      <c r="AM38" s="133">
        <v>0.85202787187204165</v>
      </c>
      <c r="AN38" s="133">
        <v>0.54948978726387809</v>
      </c>
      <c r="AO38" s="133">
        <v>0.45049796351507576</v>
      </c>
      <c r="AP38" s="133">
        <v>5.7026706890867418E-2</v>
      </c>
      <c r="AQ38" s="133">
        <v>0.17520795304819692</v>
      </c>
      <c r="AR38" s="133">
        <v>0.68232484901441637</v>
      </c>
      <c r="AS38" s="133">
        <v>0.44813474747141757</v>
      </c>
      <c r="AT38" s="133">
        <v>0.39229273528555975</v>
      </c>
      <c r="AU38" s="133">
        <v>0.94487850784250316</v>
      </c>
      <c r="AV38" s="133">
        <v>2.753711755650512E-2</v>
      </c>
      <c r="AW38" s="133">
        <v>0.65532485872210144</v>
      </c>
      <c r="AX38" s="133">
        <v>8.9183325053292628E-2</v>
      </c>
    </row>
    <row r="39" spans="1:50" ht="30" customHeight="1">
      <c r="A39" s="135" t="s">
        <v>405</v>
      </c>
      <c r="B39" s="133">
        <v>0.99158325156704208</v>
      </c>
      <c r="C39" s="133">
        <v>0.88535184432174718</v>
      </c>
      <c r="D39" s="133">
        <v>0.17416519653187168</v>
      </c>
      <c r="E39" s="133">
        <v>0.58762036710112464</v>
      </c>
      <c r="F39" s="133">
        <v>0.83415337276974733</v>
      </c>
      <c r="G39" s="133">
        <v>0.90948274833733422</v>
      </c>
      <c r="H39" s="133">
        <v>0.34970661614115983</v>
      </c>
      <c r="I39" s="133">
        <v>0.11646412567756803</v>
      </c>
      <c r="J39" s="133">
        <v>0.68581087293977361</v>
      </c>
      <c r="K39" s="133">
        <v>0.13089130176137564</v>
      </c>
      <c r="L39" s="133">
        <v>0.92660271771053127</v>
      </c>
      <c r="M39" s="133">
        <v>0.66994213560679183</v>
      </c>
      <c r="N39" s="133">
        <v>0.42485040181904965</v>
      </c>
      <c r="O39" s="133">
        <v>0.71163669091661474</v>
      </c>
      <c r="P39" s="133">
        <v>0.22099908410710889</v>
      </c>
      <c r="Q39" s="133">
        <v>0.98059982384202471</v>
      </c>
      <c r="R39" s="133">
        <v>0.46904864763964127</v>
      </c>
      <c r="S39" s="133">
        <v>0.38184586340303894</v>
      </c>
      <c r="T39" s="133">
        <v>0.87246194421954437</v>
      </c>
      <c r="U39" s="133">
        <v>0.11359452065199371</v>
      </c>
      <c r="V39" s="133">
        <v>0.87409016154476449</v>
      </c>
      <c r="W39" s="133">
        <v>0.99564495953579946</v>
      </c>
      <c r="X39" s="133">
        <v>0.18479112499800443</v>
      </c>
      <c r="Y39" s="133">
        <v>0.50837737195716937</v>
      </c>
      <c r="Z39" s="133">
        <v>0.36176349539482944</v>
      </c>
      <c r="AA39" s="133">
        <v>0.77749772371446058</v>
      </c>
      <c r="AB39" s="133">
        <v>0.8158379787644362</v>
      </c>
      <c r="AC39" s="133">
        <v>0.45650122719962494</v>
      </c>
      <c r="AD39" s="133">
        <v>0.74393003038202954</v>
      </c>
      <c r="AE39" s="133">
        <v>0.38207991892624971</v>
      </c>
      <c r="AF39" s="133">
        <v>0.28795065733840974</v>
      </c>
      <c r="AG39" s="133">
        <v>0.95943390651405747</v>
      </c>
      <c r="AH39" s="133">
        <v>0.46815074264084633</v>
      </c>
      <c r="AI39" s="133">
        <v>1.4455708855749538E-2</v>
      </c>
      <c r="AJ39" s="133">
        <v>0.43137487596254498</v>
      </c>
      <c r="AK39" s="133">
        <v>0.46494887559503251</v>
      </c>
      <c r="AL39" s="133">
        <v>0.48493101806501193</v>
      </c>
      <c r="AM39" s="133">
        <v>0.71614686009964978</v>
      </c>
      <c r="AN39" s="133">
        <v>0.98013279796044961</v>
      </c>
      <c r="AO39" s="133">
        <v>0.92466581364240308</v>
      </c>
      <c r="AP39" s="133">
        <v>0.10084436489028514</v>
      </c>
      <c r="AQ39" s="133">
        <v>0.26207884831889205</v>
      </c>
      <c r="AR39" s="133">
        <v>0.88333247281751326</v>
      </c>
      <c r="AS39" s="133">
        <v>0.53580828410114012</v>
      </c>
      <c r="AT39" s="133">
        <v>0.73735838792728858</v>
      </c>
      <c r="AU39" s="133">
        <v>0.92356935005017315</v>
      </c>
      <c r="AV39" s="133">
        <v>0.24752422224693715</v>
      </c>
      <c r="AW39" s="133">
        <v>0.2918396700334136</v>
      </c>
      <c r="AX39" s="133">
        <v>0.13972749501104087</v>
      </c>
    </row>
    <row r="40" spans="1:50" ht="30" customHeight="1">
      <c r="A40" s="135" t="s">
        <v>635</v>
      </c>
      <c r="B40" s="133">
        <f>SUM(B33:B39)</f>
        <v>3.5021727195181609</v>
      </c>
      <c r="C40" s="133">
        <f t="shared" ref="C40:AX40" si="3">SUM(C33:C39)</f>
        <v>3.4803709775676372</v>
      </c>
      <c r="D40" s="133">
        <f t="shared" si="3"/>
        <v>4.0896679133288742</v>
      </c>
      <c r="E40" s="133">
        <f t="shared" si="3"/>
        <v>2.5936464903182674</v>
      </c>
      <c r="F40" s="133">
        <f t="shared" si="3"/>
        <v>4.7629890643026513</v>
      </c>
      <c r="G40" s="133">
        <f t="shared" si="3"/>
        <v>4.8166774480594743</v>
      </c>
      <c r="H40" s="133">
        <f t="shared" si="3"/>
        <v>3.6271750923897255</v>
      </c>
      <c r="I40" s="133">
        <f t="shared" si="3"/>
        <v>3.8825864802437513</v>
      </c>
      <c r="J40" s="133">
        <f t="shared" si="3"/>
        <v>3.8154627795782883</v>
      </c>
      <c r="K40" s="133">
        <f t="shared" si="3"/>
        <v>1.9424248785018423</v>
      </c>
      <c r="L40" s="133">
        <f t="shared" si="3"/>
        <v>3.8336049484021681</v>
      </c>
      <c r="M40" s="133">
        <f t="shared" si="3"/>
        <v>3.3018483945917549</v>
      </c>
      <c r="N40" s="133">
        <f t="shared" si="3"/>
        <v>4.4767014809072929</v>
      </c>
      <c r="O40" s="133">
        <f t="shared" si="3"/>
        <v>3.9295024644504188</v>
      </c>
      <c r="P40" s="133">
        <f t="shared" si="3"/>
        <v>3.5721654125856803</v>
      </c>
      <c r="Q40" s="133">
        <f t="shared" si="3"/>
        <v>3.5907296964453899</v>
      </c>
      <c r="R40" s="133">
        <f t="shared" si="3"/>
        <v>3.3685030935453564</v>
      </c>
      <c r="S40" s="133">
        <f t="shared" si="3"/>
        <v>3.3454246562737509</v>
      </c>
      <c r="T40" s="133">
        <f t="shared" si="3"/>
        <v>3.6128475630731405</v>
      </c>
      <c r="U40" s="133">
        <f t="shared" si="3"/>
        <v>3.1359304650251945</v>
      </c>
      <c r="V40" s="133">
        <f t="shared" si="3"/>
        <v>2.858586658607658</v>
      </c>
      <c r="W40" s="133">
        <f t="shared" si="3"/>
        <v>4.3326193893332743</v>
      </c>
      <c r="X40" s="133">
        <f t="shared" si="3"/>
        <v>2.6276853452325777</v>
      </c>
      <c r="Y40" s="133">
        <f t="shared" si="3"/>
        <v>4.3275070649306215</v>
      </c>
      <c r="Z40" s="133">
        <f t="shared" si="3"/>
        <v>4.1581198500153453</v>
      </c>
      <c r="AA40" s="133">
        <f t="shared" si="3"/>
        <v>4.1402565868360739</v>
      </c>
      <c r="AB40" s="133">
        <f t="shared" si="3"/>
        <v>2.8641937221668772</v>
      </c>
      <c r="AC40" s="133">
        <f t="shared" si="3"/>
        <v>1.9246613094441101</v>
      </c>
      <c r="AD40" s="133">
        <f t="shared" si="3"/>
        <v>2.5037744190592894</v>
      </c>
      <c r="AE40" s="133">
        <f t="shared" si="3"/>
        <v>2.79044528429093</v>
      </c>
      <c r="AF40" s="133">
        <f t="shared" si="3"/>
        <v>2.5367419421787076</v>
      </c>
      <c r="AG40" s="133">
        <f t="shared" si="3"/>
        <v>4.093873418724649</v>
      </c>
      <c r="AH40" s="133">
        <f t="shared" si="3"/>
        <v>2.591160994597359</v>
      </c>
      <c r="AI40" s="133">
        <f t="shared" si="3"/>
        <v>2.2088133486163657</v>
      </c>
      <c r="AJ40" s="133">
        <f t="shared" si="3"/>
        <v>4.0520330412513887</v>
      </c>
      <c r="AK40" s="133">
        <f t="shared" si="3"/>
        <v>4.5705296458136253</v>
      </c>
      <c r="AL40" s="133">
        <f t="shared" si="3"/>
        <v>3.4485588953063369</v>
      </c>
      <c r="AM40" s="133">
        <f t="shared" si="3"/>
        <v>4.2197154396830836</v>
      </c>
      <c r="AN40" s="133">
        <f t="shared" si="3"/>
        <v>4.5771138219120946</v>
      </c>
      <c r="AO40" s="133">
        <f t="shared" si="3"/>
        <v>3.750483768134278</v>
      </c>
      <c r="AP40" s="133">
        <f t="shared" si="3"/>
        <v>2.6527782424672544</v>
      </c>
      <c r="AQ40" s="133">
        <f t="shared" si="3"/>
        <v>3.4094650189675075</v>
      </c>
      <c r="AR40" s="133">
        <f t="shared" si="3"/>
        <v>4.6790267999604556</v>
      </c>
      <c r="AS40" s="133">
        <f t="shared" si="3"/>
        <v>3.0492020234903308</v>
      </c>
      <c r="AT40" s="133">
        <f t="shared" si="3"/>
        <v>2.9731557153935926</v>
      </c>
      <c r="AU40" s="133">
        <f t="shared" si="3"/>
        <v>4.3264855791544452</v>
      </c>
      <c r="AV40" s="133">
        <f t="shared" si="3"/>
        <v>2.9455553352276937</v>
      </c>
      <c r="AW40" s="133">
        <f t="shared" si="3"/>
        <v>3.1251558940531239</v>
      </c>
      <c r="AX40" s="133">
        <f t="shared" si="3"/>
        <v>3.342253284581636</v>
      </c>
    </row>
    <row r="41" spans="1:50" ht="30" customHeight="1">
      <c r="A41" s="137" t="s">
        <v>329</v>
      </c>
    </row>
    <row r="42" spans="1:50" ht="30" customHeight="1">
      <c r="A42" s="135" t="s">
        <v>330</v>
      </c>
      <c r="B42" s="133">
        <v>0.11472479838210892</v>
      </c>
      <c r="C42" s="133">
        <v>0.10244787819704726</v>
      </c>
      <c r="D42" s="133">
        <v>0.62144912063564495</v>
      </c>
      <c r="E42" s="133">
        <v>0.44380109513780253</v>
      </c>
      <c r="F42" s="133">
        <v>0.78549922890808488</v>
      </c>
      <c r="G42" s="133">
        <v>0.14069020771699936</v>
      </c>
      <c r="H42" s="133">
        <v>0.97501871825328923</v>
      </c>
      <c r="I42" s="133">
        <v>0.94598733946783842</v>
      </c>
      <c r="J42" s="133">
        <v>0.59624077789598617</v>
      </c>
      <c r="K42" s="133">
        <v>0.45692037560384102</v>
      </c>
      <c r="L42" s="133">
        <v>0.41644255470836877</v>
      </c>
      <c r="M42" s="133">
        <v>0.96475895885890905</v>
      </c>
      <c r="N42" s="133">
        <v>0.30442276205849172</v>
      </c>
      <c r="O42" s="133">
        <v>2.5546981806856883E-2</v>
      </c>
      <c r="P42" s="133">
        <v>0.55428730073646182</v>
      </c>
      <c r="Q42" s="133">
        <v>0.23079027522761641</v>
      </c>
      <c r="R42" s="133">
        <v>0.9606525083652383</v>
      </c>
      <c r="S42" s="133">
        <v>0.24856692235204803</v>
      </c>
      <c r="T42" s="133">
        <v>0.31838883365964676</v>
      </c>
      <c r="U42" s="133">
        <v>0.92445419335426082</v>
      </c>
      <c r="V42" s="133">
        <v>0.29883410020074785</v>
      </c>
      <c r="W42" s="133">
        <v>0.98434869303364481</v>
      </c>
      <c r="X42" s="133">
        <v>0.44291755443213243</v>
      </c>
      <c r="Y42" s="133">
        <v>1.7110363900911807E-2</v>
      </c>
      <c r="Z42" s="133">
        <v>0.55127457909883282</v>
      </c>
      <c r="AA42" s="133">
        <v>0.98268031389836896</v>
      </c>
      <c r="AB42" s="133">
        <v>0.79920015065286065</v>
      </c>
      <c r="AC42" s="133">
        <v>0.44132018607898504</v>
      </c>
      <c r="AD42" s="133">
        <v>0.83389918048101441</v>
      </c>
      <c r="AE42" s="133">
        <v>0.32164600083249806</v>
      </c>
      <c r="AF42" s="133">
        <v>0.34441367472191153</v>
      </c>
      <c r="AG42" s="133">
        <v>0.82740484949440474</v>
      </c>
      <c r="AH42" s="133">
        <v>0.6982150022880762</v>
      </c>
      <c r="AI42" s="133">
        <v>0.33337589936990353</v>
      </c>
      <c r="AJ42" s="133">
        <v>0.37342470865802957</v>
      </c>
      <c r="AK42" s="133">
        <v>0.71139928349091175</v>
      </c>
      <c r="AL42" s="133">
        <v>0.12422330311689767</v>
      </c>
      <c r="AM42" s="133">
        <v>0.17521822155086075</v>
      </c>
      <c r="AN42" s="133">
        <v>0.88503360631782724</v>
      </c>
      <c r="AO42" s="133">
        <v>0.46038570778593535</v>
      </c>
      <c r="AP42" s="133">
        <v>7.9783754185834388E-2</v>
      </c>
      <c r="AQ42" s="133">
        <v>0.86189890154554738</v>
      </c>
      <c r="AR42" s="133">
        <v>0.15688503992454461</v>
      </c>
      <c r="AS42" s="133">
        <v>0.87359323077716322</v>
      </c>
      <c r="AT42" s="133">
        <v>0.76985221983865837</v>
      </c>
      <c r="AU42" s="133">
        <v>0.1006478935831906</v>
      </c>
      <c r="AV42" s="133">
        <v>0.16403481629207906</v>
      </c>
      <c r="AW42" s="133">
        <v>0.26522025507305824</v>
      </c>
      <c r="AX42" s="133">
        <v>9.7441671663144103E-2</v>
      </c>
    </row>
    <row r="43" spans="1:50" ht="30" customHeight="1">
      <c r="A43" s="135" t="s">
        <v>331</v>
      </c>
      <c r="B43" s="133">
        <v>4.6988186722541236E-2</v>
      </c>
      <c r="C43" s="133">
        <v>0.41824190412577167</v>
      </c>
      <c r="D43" s="133">
        <v>8.3791376220197722E-2</v>
      </c>
      <c r="E43" s="133">
        <v>0.21239380807301955</v>
      </c>
      <c r="F43" s="133">
        <v>0.11165473981156038</v>
      </c>
      <c r="G43" s="133">
        <v>9.7183739298265737E-2</v>
      </c>
      <c r="H43" s="133">
        <v>0.93630008221573968</v>
      </c>
      <c r="I43" s="133">
        <v>0.50322253532375194</v>
      </c>
      <c r="J43" s="133">
        <v>0.38115627902082261</v>
      </c>
      <c r="K43" s="133">
        <v>0.45530842189404253</v>
      </c>
      <c r="L43" s="133">
        <v>0.34932997269097987</v>
      </c>
      <c r="M43" s="133">
        <v>0.67649680070374874</v>
      </c>
      <c r="N43" s="133">
        <v>0.46602282263058048</v>
      </c>
      <c r="O43" s="133">
        <v>0.78916017542152772</v>
      </c>
      <c r="P43" s="133">
        <v>0.28854582784042238</v>
      </c>
      <c r="Q43" s="133">
        <v>0.89583348649024663</v>
      </c>
      <c r="R43" s="133">
        <v>0.84429633358465772</v>
      </c>
      <c r="S43" s="133">
        <v>0.19884465904662274</v>
      </c>
      <c r="T43" s="133">
        <v>0.52718926560532231</v>
      </c>
      <c r="U43" s="133">
        <v>0.77549775292387069</v>
      </c>
      <c r="V43" s="133">
        <v>0.73302602938619632</v>
      </c>
      <c r="W43" s="133">
        <v>0.5288354907793581</v>
      </c>
      <c r="X43" s="133">
        <v>0.87783075368908747</v>
      </c>
      <c r="Y43" s="133">
        <v>0.54526960464657181</v>
      </c>
      <c r="Z43" s="133">
        <v>0.81149660522636036</v>
      </c>
      <c r="AA43" s="133">
        <v>0.3013394318454623</v>
      </c>
      <c r="AB43" s="133">
        <v>0.437719356987055</v>
      </c>
      <c r="AC43" s="133">
        <v>0.25012571929553062</v>
      </c>
      <c r="AD43" s="133">
        <v>0.61186525592972418</v>
      </c>
      <c r="AE43" s="133">
        <v>0.92764450113443664</v>
      </c>
      <c r="AF43" s="133">
        <v>0.77340515236960705</v>
      </c>
      <c r="AG43" s="133">
        <v>0.91265676504500326</v>
      </c>
      <c r="AH43" s="133">
        <v>0.72631473074521735</v>
      </c>
      <c r="AI43" s="133">
        <v>0.31261438016902976</v>
      </c>
      <c r="AJ43" s="133">
        <v>0.96615613833473102</v>
      </c>
      <c r="AK43" s="133">
        <v>0.60587766433881718</v>
      </c>
      <c r="AL43" s="133">
        <v>0.25435191994325568</v>
      </c>
      <c r="AM43" s="133">
        <v>0.7780819716999241</v>
      </c>
      <c r="AN43" s="133">
        <v>0.985546526399665</v>
      </c>
      <c r="AO43" s="133">
        <v>0.42284985900901484</v>
      </c>
      <c r="AP43" s="133">
        <v>0.41481821071587333</v>
      </c>
      <c r="AQ43" s="133">
        <v>0.59943375788950615</v>
      </c>
      <c r="AR43" s="133">
        <v>0.41895538528014475</v>
      </c>
      <c r="AS43" s="133">
        <v>0.41334391983901486</v>
      </c>
      <c r="AT43" s="133">
        <v>0.63210770969934793</v>
      </c>
      <c r="AU43" s="133">
        <v>8.3799203697956792E-2</v>
      </c>
      <c r="AV43" s="133">
        <v>0.19806347675143454</v>
      </c>
      <c r="AW43" s="133">
        <v>0.39154255303261576</v>
      </c>
      <c r="AX43" s="133">
        <v>0.99753420315349994</v>
      </c>
    </row>
    <row r="44" spans="1:50" ht="30" customHeight="1">
      <c r="A44" s="135" t="s">
        <v>332</v>
      </c>
      <c r="B44" s="133">
        <v>0.41594138347258069</v>
      </c>
      <c r="C44" s="133">
        <v>0.19951721079595641</v>
      </c>
      <c r="D44" s="133">
        <v>0.37577448273315073</v>
      </c>
      <c r="E44" s="133">
        <v>0.62588466117040187</v>
      </c>
      <c r="F44" s="133">
        <v>0.29612975293111155</v>
      </c>
      <c r="G44" s="133">
        <v>0.86933059458262407</v>
      </c>
      <c r="H44" s="133">
        <v>0.73705172578622913</v>
      </c>
      <c r="I44" s="133">
        <v>0.27226558806187795</v>
      </c>
      <c r="J44" s="133">
        <v>0.97234890219730641</v>
      </c>
      <c r="K44" s="133">
        <v>9.1031413394342287E-2</v>
      </c>
      <c r="L44" s="133">
        <v>0.60735756899353455</v>
      </c>
      <c r="M44" s="133">
        <v>0.66104106864281753</v>
      </c>
      <c r="N44" s="133">
        <v>0.94820065889828531</v>
      </c>
      <c r="O44" s="133">
        <v>0.86990517174247362</v>
      </c>
      <c r="P44" s="133">
        <v>0.2415547979416206</v>
      </c>
      <c r="Q44" s="133">
        <v>0.84380883298614184</v>
      </c>
      <c r="R44" s="133">
        <v>0.93149594929387602</v>
      </c>
      <c r="S44" s="133">
        <v>1.6598947517369789E-2</v>
      </c>
      <c r="T44" s="133">
        <v>0.3862850683293958</v>
      </c>
      <c r="U44" s="133">
        <v>0.39232566861421014</v>
      </c>
      <c r="V44" s="133">
        <v>0.59362899762515353</v>
      </c>
      <c r="W44" s="133">
        <v>0.55262420507423349</v>
      </c>
      <c r="X44" s="133">
        <v>8.4853725321290763E-2</v>
      </c>
      <c r="Y44" s="133">
        <v>0.57429884304337886</v>
      </c>
      <c r="Z44" s="133">
        <v>0.66941094052103356</v>
      </c>
      <c r="AA44" s="133">
        <v>0.17136499907579461</v>
      </c>
      <c r="AB44" s="133">
        <v>0.57900632112997119</v>
      </c>
      <c r="AC44" s="133">
        <v>0.70456171259908418</v>
      </c>
      <c r="AD44" s="133">
        <v>0.54856858904460193</v>
      </c>
      <c r="AE44" s="133">
        <v>0.44274706208421866</v>
      </c>
      <c r="AF44" s="133">
        <v>0.31802984691037817</v>
      </c>
      <c r="AG44" s="133">
        <v>0.4407536643811909</v>
      </c>
      <c r="AH44" s="133">
        <v>0.76164440047786441</v>
      </c>
      <c r="AI44" s="133">
        <v>7.4025363894699936E-2</v>
      </c>
      <c r="AJ44" s="133">
        <v>0.99079753323378961</v>
      </c>
      <c r="AK44" s="133">
        <v>0.63441359753280135</v>
      </c>
      <c r="AL44" s="133">
        <v>0.31775202684480242</v>
      </c>
      <c r="AM44" s="133">
        <v>0.22005380091298854</v>
      </c>
      <c r="AN44" s="133">
        <v>0.74991849905387176</v>
      </c>
      <c r="AO44" s="133">
        <v>0.88456539790982724</v>
      </c>
      <c r="AP44" s="133">
        <v>0.29775578605006414</v>
      </c>
      <c r="AQ44" s="133">
        <v>0.25250537575460097</v>
      </c>
      <c r="AR44" s="133">
        <v>0.28648549434439718</v>
      </c>
      <c r="AS44" s="133">
        <v>0.89568225468048812</v>
      </c>
      <c r="AT44" s="133">
        <v>0.58463479636721161</v>
      </c>
      <c r="AU44" s="133">
        <v>0.51357918624473187</v>
      </c>
      <c r="AV44" s="133">
        <v>0.49860243585804209</v>
      </c>
      <c r="AW44" s="133">
        <v>0.28361066128416046</v>
      </c>
      <c r="AX44" s="133">
        <v>0.15192764809918546</v>
      </c>
    </row>
    <row r="45" spans="1:50" ht="30" customHeight="1">
      <c r="A45" s="135" t="s">
        <v>333</v>
      </c>
      <c r="B45" s="133">
        <v>0.5376063890718682</v>
      </c>
      <c r="C45" s="133">
        <v>0.93308642701183875</v>
      </c>
      <c r="D45" s="133">
        <v>0.23322388278166839</v>
      </c>
      <c r="E45" s="133">
        <v>0.19613601139257242</v>
      </c>
      <c r="F45" s="133">
        <v>0.41217661917596282</v>
      </c>
      <c r="G45" s="133">
        <v>0.24059197178990166</v>
      </c>
      <c r="H45" s="133">
        <v>0.63290894406457565</v>
      </c>
      <c r="I45" s="133">
        <v>0.10145310072441793</v>
      </c>
      <c r="J45" s="133">
        <v>0.44360213745698884</v>
      </c>
      <c r="K45" s="133">
        <v>0.96246474930137749</v>
      </c>
      <c r="L45" s="133">
        <v>0.76063958423832301</v>
      </c>
      <c r="M45" s="133">
        <v>0.31195241995006562</v>
      </c>
      <c r="N45" s="133">
        <v>0.31366908958360384</v>
      </c>
      <c r="O45" s="133">
        <v>0.63944025929366088</v>
      </c>
      <c r="P45" s="133">
        <v>0.69433215148652871</v>
      </c>
      <c r="Q45" s="133">
        <v>0.43498307497492894</v>
      </c>
      <c r="R45" s="133">
        <v>0.18555451827778335</v>
      </c>
      <c r="S45" s="133">
        <v>0.82340221619821408</v>
      </c>
      <c r="T45" s="133">
        <v>0.9981232999724291</v>
      </c>
      <c r="U45" s="133">
        <v>0.22446744892404336</v>
      </c>
      <c r="V45" s="133">
        <v>0.22181884145089725</v>
      </c>
      <c r="W45" s="133">
        <v>0.35147096312358561</v>
      </c>
      <c r="X45" s="133">
        <v>0.15063417086419373</v>
      </c>
      <c r="Y45" s="133">
        <v>1.4322419641290995E-2</v>
      </c>
      <c r="Z45" s="133">
        <v>0.44945217076940347</v>
      </c>
      <c r="AA45" s="133">
        <v>0.27229626262361462</v>
      </c>
      <c r="AB45" s="133">
        <v>0.96224138876240062</v>
      </c>
      <c r="AC45" s="133">
        <v>0.3095220933432562</v>
      </c>
      <c r="AD45" s="133">
        <v>0.84513111750871228</v>
      </c>
      <c r="AE45" s="133">
        <v>0.31278743438413503</v>
      </c>
      <c r="AF45" s="133">
        <v>0.4613800049885558</v>
      </c>
      <c r="AG45" s="133">
        <v>0.89334057515405485</v>
      </c>
      <c r="AH45" s="133">
        <v>0.61328467184300384</v>
      </c>
      <c r="AI45" s="133">
        <v>0.17858317145940794</v>
      </c>
      <c r="AJ45" s="133">
        <v>0.36316968486675594</v>
      </c>
      <c r="AK45" s="133">
        <v>0.92473452524204036</v>
      </c>
      <c r="AL45" s="133">
        <v>0.96872064656607526</v>
      </c>
      <c r="AM45" s="133">
        <v>0.56974862315371511</v>
      </c>
      <c r="AN45" s="133">
        <v>0.19955864099269838</v>
      </c>
      <c r="AO45" s="133">
        <v>0.79529793589045461</v>
      </c>
      <c r="AP45" s="133">
        <v>0.134567628197934</v>
      </c>
      <c r="AQ45" s="133">
        <v>0.51776338994836024</v>
      </c>
      <c r="AR45" s="133">
        <v>0.25648425230647032</v>
      </c>
      <c r="AS45" s="133">
        <v>0.37474931523605204</v>
      </c>
      <c r="AT45" s="133">
        <v>6.4739826378343857E-3</v>
      </c>
      <c r="AU45" s="133">
        <v>0.79125951915130843</v>
      </c>
      <c r="AV45" s="133">
        <v>7.9352396336709319E-3</v>
      </c>
      <c r="AW45" s="133">
        <v>6.9321899688123634E-2</v>
      </c>
      <c r="AX45" s="133">
        <v>0.34163107059652631</v>
      </c>
    </row>
    <row r="46" spans="1:50" ht="30" customHeight="1">
      <c r="A46" s="135" t="s">
        <v>334</v>
      </c>
      <c r="B46" s="133">
        <v>0.88950527568535875</v>
      </c>
      <c r="C46" s="133">
        <v>0.44439137050564947</v>
      </c>
      <c r="D46" s="133">
        <v>0.2016224691137003</v>
      </c>
      <c r="E46" s="133">
        <v>0.89411171295059666</v>
      </c>
      <c r="F46" s="133">
        <v>0.74686965974955977</v>
      </c>
      <c r="G46" s="133">
        <v>0.50800192623603324</v>
      </c>
      <c r="H46" s="133">
        <v>0.18327502051216138</v>
      </c>
      <c r="I46" s="133">
        <v>0.41097418362750837</v>
      </c>
      <c r="J46" s="133">
        <v>0.72796253481667483</v>
      </c>
      <c r="K46" s="133">
        <v>0.98025797063193099</v>
      </c>
      <c r="L46" s="133">
        <v>0.86835822381769467</v>
      </c>
      <c r="M46" s="133">
        <v>0.88298093082024409</v>
      </c>
      <c r="N46" s="133">
        <v>0.96707778782000631</v>
      </c>
      <c r="O46" s="133">
        <v>0.61377334267573347</v>
      </c>
      <c r="P46" s="133">
        <v>0.41051469853126721</v>
      </c>
      <c r="Q46" s="133">
        <v>0.79046804317491648</v>
      </c>
      <c r="R46" s="133">
        <v>0.89786052388451865</v>
      </c>
      <c r="S46" s="133">
        <v>0.43408190009989156</v>
      </c>
      <c r="T46" s="133">
        <v>0.18013203837439951</v>
      </c>
      <c r="U46" s="133">
        <v>0.94982913811861314</v>
      </c>
      <c r="V46" s="133">
        <v>0.38466254826645874</v>
      </c>
      <c r="W46" s="133">
        <v>0.86566023802753922</v>
      </c>
      <c r="X46" s="133">
        <v>0.9302923031292919</v>
      </c>
      <c r="Y46" s="133">
        <v>0.3295269591479173</v>
      </c>
      <c r="Z46" s="133">
        <v>0.78793315916118845</v>
      </c>
      <c r="AA46" s="133">
        <v>0.30690038369741635</v>
      </c>
      <c r="AB46" s="133">
        <v>0.46404137676493951</v>
      </c>
      <c r="AC46" s="133">
        <v>0.16943587511763114</v>
      </c>
      <c r="AD46" s="133">
        <v>0.13699463815342439</v>
      </c>
      <c r="AE46" s="133">
        <v>0.21741263897136176</v>
      </c>
      <c r="AF46" s="133">
        <v>0.4866556579192165</v>
      </c>
      <c r="AG46" s="133">
        <v>0.50194281325262891</v>
      </c>
      <c r="AH46" s="133">
        <v>0.48665941151998282</v>
      </c>
      <c r="AI46" s="133">
        <v>0.9525368437659304</v>
      </c>
      <c r="AJ46" s="133">
        <v>0.97589256377228795</v>
      </c>
      <c r="AK46" s="133">
        <v>0.2879230837080089</v>
      </c>
      <c r="AL46" s="133">
        <v>0.54620966824598105</v>
      </c>
      <c r="AM46" s="133">
        <v>0.73966781814848093</v>
      </c>
      <c r="AN46" s="133">
        <v>0.71422130884445234</v>
      </c>
      <c r="AO46" s="133">
        <v>0.51485165127454458</v>
      </c>
      <c r="AP46" s="133">
        <v>0.39296396008864865</v>
      </c>
      <c r="AQ46" s="133">
        <v>0.41090744106546895</v>
      </c>
      <c r="AR46" s="133">
        <v>0.21225853686255791</v>
      </c>
      <c r="AS46" s="133">
        <v>0.85732662665350501</v>
      </c>
      <c r="AT46" s="133">
        <v>0.51620462621889618</v>
      </c>
      <c r="AU46" s="133">
        <v>0.27477439477379817</v>
      </c>
      <c r="AV46" s="133">
        <v>0.97014384329828762</v>
      </c>
      <c r="AW46" s="133">
        <v>0.389328136539558</v>
      </c>
      <c r="AX46" s="133">
        <v>0.98604010458860503</v>
      </c>
    </row>
    <row r="48" spans="1:50" ht="30" customHeight="1">
      <c r="A48" s="135" t="s">
        <v>235</v>
      </c>
    </row>
    <row r="49" spans="1:50" ht="30" customHeight="1">
      <c r="A49" s="135" t="s">
        <v>49</v>
      </c>
      <c r="B49" s="133">
        <v>0.62330740658900974</v>
      </c>
      <c r="C49" s="133">
        <v>0.25412644260823303</v>
      </c>
      <c r="D49" s="133">
        <v>0.79002437575554563</v>
      </c>
      <c r="E49" s="133">
        <v>0.28183760572990835</v>
      </c>
      <c r="F49" s="133">
        <v>0.2427461831322022</v>
      </c>
      <c r="G49" s="133">
        <v>0.31744896218014762</v>
      </c>
      <c r="H49" s="133">
        <v>0.57087495527295151</v>
      </c>
      <c r="I49" s="133">
        <v>0.55013926120984291</v>
      </c>
      <c r="J49" s="133">
        <v>0.21033284167203747</v>
      </c>
      <c r="K49" s="133">
        <v>0.63655613876949479</v>
      </c>
      <c r="L49" s="133">
        <v>0.90133071699129541</v>
      </c>
      <c r="M49" s="133">
        <v>0.35287144928226855</v>
      </c>
      <c r="N49" s="133">
        <v>0.11851672475366792</v>
      </c>
      <c r="O49" s="133">
        <v>6.4939441893104854E-3</v>
      </c>
      <c r="P49" s="133">
        <v>0.41791409615609709</v>
      </c>
      <c r="Q49" s="133">
        <v>0.78506701522077471</v>
      </c>
      <c r="R49" s="133">
        <v>9.2959092890773642E-2</v>
      </c>
      <c r="S49" s="133">
        <v>0.5944864481957538</v>
      </c>
      <c r="T49" s="133">
        <v>0.31178356276928731</v>
      </c>
      <c r="U49" s="133">
        <v>0.11297435344538076</v>
      </c>
      <c r="V49" s="133">
        <v>0.4538698808275331</v>
      </c>
      <c r="W49" s="133">
        <v>0.96846514124239202</v>
      </c>
      <c r="X49" s="133">
        <v>0.97641167272439777</v>
      </c>
      <c r="Y49" s="133">
        <v>0.69912293021519012</v>
      </c>
      <c r="Z49" s="133">
        <v>0.12406723762500971</v>
      </c>
      <c r="AA49" s="133">
        <v>0.597895217006712</v>
      </c>
      <c r="AB49" s="133">
        <v>0.40111907182523743</v>
      </c>
      <c r="AC49" s="133">
        <v>0.92251534076964659</v>
      </c>
      <c r="AD49" s="133">
        <v>0.89581357273124218</v>
      </c>
      <c r="AE49" s="133">
        <v>0.78633146670569898</v>
      </c>
      <c r="AF49" s="133">
        <v>0.97550355687625001</v>
      </c>
      <c r="AG49" s="133">
        <v>0.48321685723694596</v>
      </c>
      <c r="AH49" s="133">
        <v>0.31098514688394363</v>
      </c>
      <c r="AI49" s="133">
        <v>0.71351573438188265</v>
      </c>
      <c r="AJ49" s="133">
        <v>0.51376751844558177</v>
      </c>
      <c r="AK49" s="133">
        <v>0.8462373334009321</v>
      </c>
      <c r="AL49" s="133">
        <v>0.50950656465144051</v>
      </c>
      <c r="AM49" s="133">
        <v>0.21598200875599027</v>
      </c>
      <c r="AN49" s="133">
        <v>2.2392180558824859E-2</v>
      </c>
      <c r="AO49" s="133">
        <v>0.62050200780794773</v>
      </c>
      <c r="AP49" s="133">
        <v>0.29992074112112266</v>
      </c>
      <c r="AQ49" s="133">
        <v>0.13012042517852374</v>
      </c>
      <c r="AR49" s="133">
        <v>0.20158272783045084</v>
      </c>
      <c r="AS49" s="133">
        <v>0.75922338738276451</v>
      </c>
      <c r="AT49" s="133">
        <v>4.1582017865444687E-2</v>
      </c>
      <c r="AU49" s="133">
        <v>0.53666801214198323</v>
      </c>
      <c r="AV49" s="133">
        <v>0.20472485448045785</v>
      </c>
      <c r="AW49" s="133">
        <v>0.14442917418240342</v>
      </c>
      <c r="AX49" s="133">
        <v>0.32993167096261011</v>
      </c>
    </row>
    <row r="50" spans="1:50" ht="30" customHeight="1">
      <c r="A50" s="135" t="s">
        <v>50</v>
      </c>
      <c r="B50" s="133">
        <v>0.95519659990004213</v>
      </c>
      <c r="C50" s="133">
        <v>0.84056302881082057</v>
      </c>
      <c r="D50" s="133">
        <v>0.17477552061347967</v>
      </c>
      <c r="E50" s="133">
        <v>0.16817016616906066</v>
      </c>
      <c r="F50" s="133">
        <v>0.11488865644352653</v>
      </c>
      <c r="G50" s="133">
        <v>0.40433138392201273</v>
      </c>
      <c r="H50" s="133">
        <v>0.43567371517559794</v>
      </c>
      <c r="I50" s="133">
        <v>0.85623224804513709</v>
      </c>
      <c r="J50" s="133">
        <v>0.14294085930600997</v>
      </c>
      <c r="K50" s="133">
        <v>0.44619939034679845</v>
      </c>
      <c r="L50" s="133">
        <v>0.72853283773195798</v>
      </c>
      <c r="M50" s="133">
        <v>0.55050013808444953</v>
      </c>
      <c r="N50" s="133">
        <v>0.67183496815105659</v>
      </c>
      <c r="O50" s="133">
        <v>0.70120870481091568</v>
      </c>
      <c r="P50" s="133">
        <v>0.47059222411624868</v>
      </c>
      <c r="Q50" s="133">
        <v>0.25106224282240852</v>
      </c>
      <c r="R50" s="133">
        <v>4.8578553986600159E-4</v>
      </c>
      <c r="S50" s="133">
        <v>0.9598575554539388</v>
      </c>
      <c r="T50" s="133">
        <v>0.95037080713062427</v>
      </c>
      <c r="U50" s="133">
        <v>0.30555284207837774</v>
      </c>
      <c r="V50" s="133">
        <v>0.89610683559555071</v>
      </c>
      <c r="W50" s="133">
        <v>0.89655238586663699</v>
      </c>
      <c r="X50" s="133">
        <v>0.80923754846943174</v>
      </c>
      <c r="Y50" s="133">
        <v>3.3856816057983297E-3</v>
      </c>
      <c r="Z50" s="133">
        <v>0.309766782944775</v>
      </c>
      <c r="AA50" s="133">
        <v>0.59517165427458163</v>
      </c>
      <c r="AB50" s="133">
        <v>0.75620972736036751</v>
      </c>
      <c r="AC50" s="133">
        <v>0.26205225391906772</v>
      </c>
      <c r="AD50" s="133">
        <v>0.27707772110824791</v>
      </c>
      <c r="AE50" s="133">
        <v>8.3982967382419726E-2</v>
      </c>
      <c r="AF50" s="133">
        <v>0.24745117193817201</v>
      </c>
      <c r="AG50" s="133">
        <v>0.68419138793705814</v>
      </c>
      <c r="AH50" s="133">
        <v>0.16579557089986796</v>
      </c>
      <c r="AI50" s="133">
        <v>0.46941575749484332</v>
      </c>
      <c r="AJ50" s="133">
        <v>7.4278343278432746E-2</v>
      </c>
      <c r="AK50" s="133">
        <v>0.25268622886826964</v>
      </c>
      <c r="AL50" s="133">
        <v>0.74097023571087528</v>
      </c>
      <c r="AM50" s="133">
        <v>0.81521672836655279</v>
      </c>
      <c r="AN50" s="133">
        <v>0.12620182779722033</v>
      </c>
      <c r="AO50" s="133">
        <v>0.48089068656017897</v>
      </c>
      <c r="AP50" s="133">
        <v>0.96302183077640968</v>
      </c>
      <c r="AQ50" s="133">
        <v>0.49716541272250703</v>
      </c>
      <c r="AR50" s="133">
        <v>0.36287871775310132</v>
      </c>
      <c r="AS50" s="133">
        <v>0.66084915887645201</v>
      </c>
      <c r="AT50" s="133">
        <v>0.81992426503105387</v>
      </c>
      <c r="AU50" s="133">
        <v>4.7557532022412086E-2</v>
      </c>
      <c r="AV50" s="133">
        <v>0.65827195914361225</v>
      </c>
      <c r="AW50" s="133">
        <v>5.2942844061454886E-2</v>
      </c>
      <c r="AX50" s="133">
        <v>0.51744681277565963</v>
      </c>
    </row>
    <row r="51" spans="1:50" ht="30" customHeight="1">
      <c r="A51" s="135" t="s">
        <v>51</v>
      </c>
      <c r="B51" s="133">
        <v>0.14122648418468486</v>
      </c>
      <c r="C51" s="133">
        <v>0.8598077351857909</v>
      </c>
      <c r="D51" s="133">
        <v>4.1924514776442545E-2</v>
      </c>
      <c r="E51" s="133">
        <v>0.62384076817749623</v>
      </c>
      <c r="F51" s="133">
        <v>0.63415706076814526</v>
      </c>
      <c r="G51" s="133">
        <v>8.0598930482081221E-2</v>
      </c>
      <c r="H51" s="133">
        <v>0.14904323963363086</v>
      </c>
      <c r="I51" s="133">
        <v>6.1473475295388824E-2</v>
      </c>
      <c r="J51" s="133">
        <v>0.45766840833414302</v>
      </c>
      <c r="K51" s="133">
        <v>0.97166613617485331</v>
      </c>
      <c r="L51" s="133">
        <v>0.10629492144247943</v>
      </c>
      <c r="M51" s="133">
        <v>0.93823733849435864</v>
      </c>
      <c r="N51" s="133">
        <v>6.6258239757510551E-2</v>
      </c>
      <c r="O51" s="133">
        <v>0.26664838637131694</v>
      </c>
      <c r="P51" s="133">
        <v>0.37925979936787813</v>
      </c>
      <c r="Q51" s="133">
        <v>0.77349922869731036</v>
      </c>
      <c r="R51" s="133">
        <v>0.65352306644522895</v>
      </c>
      <c r="S51" s="133">
        <v>0.40518194427206111</v>
      </c>
      <c r="T51" s="133">
        <v>5.7848189235155778E-2</v>
      </c>
      <c r="U51" s="133">
        <v>0.11013032402795842</v>
      </c>
      <c r="V51" s="133">
        <v>0.61019011037318749</v>
      </c>
      <c r="W51" s="133">
        <v>0.47332123140376547</v>
      </c>
      <c r="X51" s="133">
        <v>0.5532732594455918</v>
      </c>
      <c r="Y51" s="133">
        <v>0.21025935219553127</v>
      </c>
      <c r="Z51" s="133">
        <v>0.64460214004485816</v>
      </c>
      <c r="AA51" s="133">
        <v>7.8151782207242726E-2</v>
      </c>
      <c r="AB51" s="133">
        <v>0.85894052669373033</v>
      </c>
      <c r="AC51" s="133">
        <v>0.91022623850548912</v>
      </c>
      <c r="AD51" s="133">
        <v>0.26443501589577645</v>
      </c>
      <c r="AE51" s="133">
        <v>3.6516047163757559E-2</v>
      </c>
      <c r="AF51" s="133">
        <v>0.82027865751534024</v>
      </c>
      <c r="AG51" s="133">
        <v>0.79649480884186219</v>
      </c>
      <c r="AH51" s="133">
        <v>0.35051016979644511</v>
      </c>
      <c r="AI51" s="133">
        <v>0.73978439581281341</v>
      </c>
      <c r="AJ51" s="133">
        <v>0.51991908323292746</v>
      </c>
      <c r="AK51" s="133">
        <v>0.29888778604556143</v>
      </c>
      <c r="AL51" s="133">
        <v>0.32379598763735518</v>
      </c>
      <c r="AM51" s="133">
        <v>0.83133826977074898</v>
      </c>
      <c r="AN51" s="133">
        <v>0.63938505046924898</v>
      </c>
      <c r="AO51" s="133">
        <v>0.69187829709506288</v>
      </c>
      <c r="AP51" s="133">
        <v>0.97199075811211777</v>
      </c>
      <c r="AQ51" s="133">
        <v>0.80170602906507249</v>
      </c>
      <c r="AR51" s="133">
        <v>0.37449395526534868</v>
      </c>
      <c r="AS51" s="133">
        <v>0.34874187192665262</v>
      </c>
      <c r="AT51" s="133">
        <v>0.68678815982485975</v>
      </c>
      <c r="AU51" s="133">
        <v>7.3472912041166683E-2</v>
      </c>
      <c r="AV51" s="133">
        <v>0.73857451142688579</v>
      </c>
      <c r="AW51" s="133">
        <v>0.409983530691165</v>
      </c>
      <c r="AX51" s="133">
        <v>0.57839133007811927</v>
      </c>
    </row>
    <row r="52" spans="1:50" ht="30" customHeight="1">
      <c r="A52" s="135" t="s">
        <v>236</v>
      </c>
    </row>
    <row r="53" spans="1:50" ht="30" customHeight="1">
      <c r="A53" s="135" t="s">
        <v>49</v>
      </c>
      <c r="B53" s="133">
        <v>5.0590283172634809E-2</v>
      </c>
      <c r="C53" s="133">
        <v>0.35889361701160882</v>
      </c>
      <c r="D53" s="133">
        <v>0.8176128227198588</v>
      </c>
      <c r="E53" s="133">
        <v>0.84280627070546144</v>
      </c>
      <c r="F53" s="133">
        <v>0.14481531225302913</v>
      </c>
      <c r="G53" s="133">
        <v>0.26322767463564645</v>
      </c>
      <c r="H53" s="133">
        <v>0.66118093754210205</v>
      </c>
      <c r="I53" s="133">
        <v>0.35606357086331353</v>
      </c>
      <c r="J53" s="133">
        <v>0.38358756883855749</v>
      </c>
      <c r="K53" s="133">
        <v>0.81670915813097411</v>
      </c>
      <c r="L53" s="133">
        <v>0.27282485082533181</v>
      </c>
      <c r="M53" s="133">
        <v>0.45671305181939947</v>
      </c>
      <c r="N53" s="133">
        <v>0.71585956055631117</v>
      </c>
      <c r="O53" s="133">
        <v>7.0540810253373221E-2</v>
      </c>
      <c r="P53" s="133">
        <v>0.57916041598982371</v>
      </c>
      <c r="Q53" s="133">
        <v>0.552812926733111</v>
      </c>
      <c r="R53" s="133">
        <v>9.737890169737351E-2</v>
      </c>
      <c r="S53" s="133">
        <v>0.97524283096887587</v>
      </c>
      <c r="T53" s="133">
        <v>0.51912322400620092</v>
      </c>
      <c r="U53" s="133">
        <v>0.34335085822032463</v>
      </c>
      <c r="V53" s="133">
        <v>0.34515673120038171</v>
      </c>
      <c r="W53" s="133">
        <v>0.29911773874989078</v>
      </c>
      <c r="X53" s="133">
        <v>0.40790303591905641</v>
      </c>
      <c r="Y53" s="133">
        <v>1.3339107543673068E-2</v>
      </c>
      <c r="Z53" s="133">
        <v>0.16989801723772502</v>
      </c>
      <c r="AA53" s="133">
        <v>0.40459013499587826</v>
      </c>
      <c r="AB53" s="133">
        <v>0.17671868500933585</v>
      </c>
      <c r="AC53" s="133">
        <v>0.10937509932070022</v>
      </c>
      <c r="AD53" s="133">
        <v>0.79950530602278691</v>
      </c>
      <c r="AE53" s="133">
        <v>0.61155794419811405</v>
      </c>
      <c r="AF53" s="133">
        <v>0.60344905919616287</v>
      </c>
      <c r="AG53" s="133">
        <v>0.84959407858300462</v>
      </c>
      <c r="AH53" s="133">
        <v>0.47304691347915495</v>
      </c>
      <c r="AI53" s="133">
        <v>0.77730413541854548</v>
      </c>
      <c r="AJ53" s="133">
        <v>0.9903619354359583</v>
      </c>
      <c r="AK53" s="133">
        <v>0.84365440565977068</v>
      </c>
      <c r="AL53" s="133">
        <v>0.97254081584902741</v>
      </c>
      <c r="AM53" s="133">
        <v>7.6654764366987371E-2</v>
      </c>
      <c r="AN53" s="133">
        <v>0.63656009456915785</v>
      </c>
      <c r="AO53" s="133">
        <v>4.1520163186337999E-2</v>
      </c>
      <c r="AP53" s="133">
        <v>0.26215644300348073</v>
      </c>
      <c r="AQ53" s="133">
        <v>0.23151917345095141</v>
      </c>
      <c r="AR53" s="133">
        <v>0.18993693798230493</v>
      </c>
      <c r="AS53" s="133">
        <v>0.62487703215980328</v>
      </c>
      <c r="AT53" s="133">
        <v>0.48799923200816853</v>
      </c>
      <c r="AU53" s="133">
        <v>0.75040049933185538</v>
      </c>
      <c r="AV53" s="133">
        <v>0.70082466972868052</v>
      </c>
      <c r="AW53" s="133">
        <v>0.224396207393324</v>
      </c>
      <c r="AX53" s="133">
        <v>0.99185545075712145</v>
      </c>
    </row>
    <row r="54" spans="1:50" ht="30" customHeight="1">
      <c r="A54" s="135" t="s">
        <v>50</v>
      </c>
      <c r="B54" s="133">
        <v>0.93476331481123665</v>
      </c>
      <c r="C54" s="133">
        <v>0.73541750733255895</v>
      </c>
      <c r="D54" s="133">
        <v>0.88232716900871377</v>
      </c>
      <c r="E54" s="133">
        <v>0.44166686030412383</v>
      </c>
      <c r="F54" s="133">
        <v>0.253950956872393</v>
      </c>
      <c r="G54" s="133">
        <v>0.92733060836500791</v>
      </c>
      <c r="H54" s="133">
        <v>0.51850935453685953</v>
      </c>
      <c r="I54" s="133">
        <v>0.6423468520591169</v>
      </c>
      <c r="J54" s="133">
        <v>0.1187214676807008</v>
      </c>
      <c r="K54" s="133">
        <v>0.94419098423921788</v>
      </c>
      <c r="L54" s="133">
        <v>9.4281006008409385E-2</v>
      </c>
      <c r="M54" s="133">
        <v>0.21494138069277358</v>
      </c>
      <c r="N54" s="133">
        <v>0.89851392671893293</v>
      </c>
      <c r="O54" s="133">
        <v>2.5020139362535998E-2</v>
      </c>
      <c r="P54" s="133">
        <v>0.70492535374709198</v>
      </c>
      <c r="Q54" s="133">
        <v>0.55640731958215639</v>
      </c>
      <c r="R54" s="133">
        <v>0.25782558306611358</v>
      </c>
      <c r="S54" s="133">
        <v>0.80431737728127328</v>
      </c>
      <c r="T54" s="133">
        <v>0.6335708181031906</v>
      </c>
      <c r="U54" s="133">
        <v>0.25889597246877671</v>
      </c>
      <c r="V54" s="133">
        <v>0.21394496634056825</v>
      </c>
      <c r="W54" s="133">
        <v>1.3491279115218635E-2</v>
      </c>
      <c r="X54" s="133">
        <v>0.65276359290820052</v>
      </c>
      <c r="Y54" s="133">
        <v>0.44112409348272619</v>
      </c>
      <c r="Z54" s="133">
        <v>0.47982059732718285</v>
      </c>
      <c r="AA54" s="133">
        <v>0.99876550487380411</v>
      </c>
      <c r="AB54" s="133">
        <v>0.34624747376265741</v>
      </c>
      <c r="AC54" s="133">
        <v>0.73117936974225728</v>
      </c>
      <c r="AD54" s="133">
        <v>0.81818767633650069</v>
      </c>
      <c r="AE54" s="133">
        <v>0.85284210348982359</v>
      </c>
      <c r="AF54" s="133">
        <v>9.2356290082660664E-2</v>
      </c>
      <c r="AG54" s="133">
        <v>5.2017976873950378E-3</v>
      </c>
      <c r="AH54" s="133">
        <v>0.95896576493652652</v>
      </c>
      <c r="AI54" s="133">
        <v>0.55167558107675507</v>
      </c>
      <c r="AJ54" s="133">
        <v>0.99099251171565139</v>
      </c>
      <c r="AK54" s="133">
        <v>0.81528912383816421</v>
      </c>
      <c r="AL54" s="133">
        <v>0.57034482651965679</v>
      </c>
      <c r="AM54" s="133">
        <v>0.52703196073195291</v>
      </c>
      <c r="AN54" s="133">
        <v>0.23617288909556844</v>
      </c>
      <c r="AO54" s="133">
        <v>0.8147709012641855</v>
      </c>
      <c r="AP54" s="133">
        <v>0.80958266905786636</v>
      </c>
      <c r="AQ54" s="133">
        <v>0.55341770288816383</v>
      </c>
      <c r="AR54" s="133">
        <v>0.93920821147553846</v>
      </c>
      <c r="AS54" s="133">
        <v>5.3797096539197731E-2</v>
      </c>
      <c r="AT54" s="133">
        <v>0.35363428589910328</v>
      </c>
      <c r="AU54" s="133">
        <v>0.13464365484999274</v>
      </c>
      <c r="AV54" s="133">
        <v>0.41754974778476939</v>
      </c>
      <c r="AW54" s="133">
        <v>0.1308441244035381</v>
      </c>
      <c r="AX54" s="133">
        <v>0.20962683418960149</v>
      </c>
    </row>
    <row r="55" spans="1:50" ht="30" customHeight="1">
      <c r="A55" s="135" t="s">
        <v>51</v>
      </c>
      <c r="B55" s="133">
        <v>0.94854514506516219</v>
      </c>
      <c r="C55" s="133">
        <v>0.31394641693071623</v>
      </c>
      <c r="D55" s="133">
        <v>0.28629221738376753</v>
      </c>
      <c r="E55" s="133">
        <v>0.84443576396043074</v>
      </c>
      <c r="F55" s="133">
        <v>2.6429189531285258E-2</v>
      </c>
      <c r="G55" s="133">
        <v>0.80312410000172563</v>
      </c>
      <c r="H55" s="133">
        <v>0.60237851651820873</v>
      </c>
      <c r="I55" s="133">
        <v>0.14501970298841227</v>
      </c>
      <c r="J55" s="133">
        <v>0.68989164546115456</v>
      </c>
      <c r="K55" s="133">
        <v>0.51689454921067168</v>
      </c>
      <c r="L55" s="133">
        <v>0.1373201103825944</v>
      </c>
      <c r="M55" s="133">
        <v>7.8378491539583206E-2</v>
      </c>
      <c r="N55" s="133">
        <v>0.95860672096745625</v>
      </c>
      <c r="O55" s="133">
        <v>0.3877214379199283</v>
      </c>
      <c r="P55" s="133">
        <v>0.38587947330924421</v>
      </c>
      <c r="Q55" s="133">
        <v>0.96748617272020565</v>
      </c>
      <c r="R55" s="133">
        <v>0.55262095877642559</v>
      </c>
      <c r="S55" s="133">
        <v>0.12891165810850469</v>
      </c>
      <c r="T55" s="133">
        <v>0.57193749053123288</v>
      </c>
      <c r="U55" s="133">
        <v>0.4061239228843373</v>
      </c>
      <c r="V55" s="133">
        <v>0.57541923096144698</v>
      </c>
      <c r="W55" s="133">
        <v>0.12459475718929902</v>
      </c>
      <c r="X55" s="133">
        <v>0.78418159949475252</v>
      </c>
      <c r="Y55" s="133">
        <v>0.89879568289209866</v>
      </c>
      <c r="Z55" s="133">
        <v>0.85360187297986756</v>
      </c>
      <c r="AA55" s="133">
        <v>0.41167282172153785</v>
      </c>
      <c r="AB55" s="133">
        <v>0.49021802441502427</v>
      </c>
      <c r="AC55" s="133">
        <v>0.96768581990559144</v>
      </c>
      <c r="AD55" s="133">
        <v>0.60217856568286265</v>
      </c>
      <c r="AE55" s="133">
        <v>0.87119330017822727</v>
      </c>
      <c r="AF55" s="133">
        <v>0.42592772781477106</v>
      </c>
      <c r="AG55" s="133">
        <v>0.61456768954180763</v>
      </c>
      <c r="AH55" s="133">
        <v>0.35565962914412907</v>
      </c>
      <c r="AI55" s="133">
        <v>0.52089332783685127</v>
      </c>
      <c r="AJ55" s="133">
        <v>0.66583944694598729</v>
      </c>
      <c r="AK55" s="133">
        <v>0.83537833188694077</v>
      </c>
      <c r="AL55" s="133">
        <v>0.73823055603620946</v>
      </c>
      <c r="AM55" s="133">
        <v>0.96167555909780233</v>
      </c>
      <c r="AN55" s="133">
        <v>0.93824061837999972</v>
      </c>
      <c r="AO55" s="133">
        <v>0.29592602743057761</v>
      </c>
      <c r="AP55" s="133">
        <v>0.55011920624043564</v>
      </c>
      <c r="AQ55" s="133">
        <v>0.23564903667524773</v>
      </c>
      <c r="AR55" s="133">
        <v>0.17051731785349333</v>
      </c>
      <c r="AS55" s="133">
        <v>0.8735712771586297</v>
      </c>
      <c r="AT55" s="133">
        <v>2.5146062958602888E-2</v>
      </c>
      <c r="AU55" s="133">
        <v>0.23855114151874923</v>
      </c>
      <c r="AV55" s="133">
        <v>0.20186954698143422</v>
      </c>
      <c r="AW55" s="133">
        <v>0.98571869245239785</v>
      </c>
      <c r="AX55" s="133">
        <v>0.63593936886485813</v>
      </c>
    </row>
    <row r="56" spans="1:50" ht="30" customHeight="1">
      <c r="A56" s="135" t="s">
        <v>237</v>
      </c>
    </row>
    <row r="57" spans="1:50" ht="30" customHeight="1">
      <c r="A57" s="135" t="s">
        <v>86</v>
      </c>
      <c r="B57" s="133">
        <v>0.53457980068214039</v>
      </c>
      <c r="C57" s="133">
        <v>0.95396593718330003</v>
      </c>
      <c r="D57" s="133">
        <v>0.7418683169835032</v>
      </c>
      <c r="E57" s="133">
        <v>1.7443576161967234E-2</v>
      </c>
      <c r="F57" s="133">
        <v>0.84969523676529379</v>
      </c>
      <c r="G57" s="133">
        <v>0.67266874609075111</v>
      </c>
      <c r="H57" s="133">
        <v>0.21648691212455762</v>
      </c>
      <c r="I57" s="133">
        <v>1.3797338876672782E-2</v>
      </c>
      <c r="J57" s="133">
        <v>0.24824771406731228</v>
      </c>
      <c r="K57" s="133">
        <v>0.95738684474670188</v>
      </c>
      <c r="L57" s="133">
        <v>0.24731385283532537</v>
      </c>
      <c r="M57" s="133">
        <v>0.70595238619591261</v>
      </c>
      <c r="N57" s="133">
        <v>0.7245475720635377</v>
      </c>
      <c r="O57" s="133">
        <v>0.92395406758270571</v>
      </c>
      <c r="P57" s="133">
        <v>2.5071914878258217E-2</v>
      </c>
      <c r="Q57" s="133">
        <v>0.85851104193069883</v>
      </c>
      <c r="R57" s="133">
        <v>0.52668151611019831</v>
      </c>
      <c r="S57" s="133">
        <v>4.6996544784682626E-2</v>
      </c>
      <c r="T57" s="133">
        <v>0.56028023405189331</v>
      </c>
      <c r="U57" s="133">
        <v>0.72446706444156961</v>
      </c>
      <c r="V57" s="133">
        <v>0.60370039287185195</v>
      </c>
      <c r="W57" s="133">
        <v>0.71518940311619505</v>
      </c>
      <c r="X57" s="133">
        <v>0.68580154247012648</v>
      </c>
      <c r="Y57" s="133">
        <v>0.79851019945108626</v>
      </c>
      <c r="Z57" s="133">
        <v>0.6402936663100014</v>
      </c>
      <c r="AA57" s="133">
        <v>0.69501103410202469</v>
      </c>
      <c r="AB57" s="133">
        <v>0.33488588076520653</v>
      </c>
      <c r="AC57" s="133">
        <v>0.35070841482138204</v>
      </c>
      <c r="AD57" s="133">
        <v>0.20122056149649969</v>
      </c>
      <c r="AE57" s="133">
        <v>0.46495630930676113</v>
      </c>
      <c r="AF57" s="133">
        <v>0.43751753013298356</v>
      </c>
      <c r="AG57" s="133">
        <v>0.59146898543894455</v>
      </c>
      <c r="AH57" s="133">
        <v>0.55448630574815061</v>
      </c>
      <c r="AI57" s="133">
        <v>0.215220907953239</v>
      </c>
      <c r="AJ57" s="133">
        <v>0.27523028696681562</v>
      </c>
      <c r="AK57" s="133">
        <v>0.20340278205213458</v>
      </c>
      <c r="AL57" s="133">
        <v>0.33221334955100457</v>
      </c>
      <c r="AM57" s="133">
        <v>0.2413618975333135</v>
      </c>
      <c r="AN57" s="133">
        <v>0.84682455888848795</v>
      </c>
      <c r="AO57" s="133">
        <v>0.63769946852768566</v>
      </c>
      <c r="AP57" s="133">
        <v>0.10929626622506361</v>
      </c>
      <c r="AQ57" s="133">
        <v>0.78897137931396644</v>
      </c>
      <c r="AR57" s="133">
        <v>0.37160150163113059</v>
      </c>
      <c r="AS57" s="133">
        <v>0.98471205295182485</v>
      </c>
      <c r="AT57" s="133">
        <v>0.41104628639196761</v>
      </c>
      <c r="AU57" s="133">
        <v>0.16290881809027957</v>
      </c>
      <c r="AV57" s="133">
        <v>0.49208906514057482</v>
      </c>
      <c r="AW57" s="133">
        <v>0.61654443829284622</v>
      </c>
      <c r="AX57" s="133">
        <v>0.962250154748716</v>
      </c>
    </row>
    <row r="58" spans="1:50" ht="30" customHeight="1">
      <c r="A58" s="135" t="s">
        <v>238</v>
      </c>
      <c r="B58" s="133">
        <v>0.75034790684913499</v>
      </c>
      <c r="C58" s="133">
        <v>0.63701705929556895</v>
      </c>
      <c r="D58" s="133">
        <v>0.84882935130443438</v>
      </c>
      <c r="E58" s="133">
        <v>0.15954023891676417</v>
      </c>
      <c r="F58" s="133">
        <v>0.92812927250044808</v>
      </c>
      <c r="G58" s="133">
        <v>0.60167129047846568</v>
      </c>
      <c r="H58" s="133">
        <v>0.94976477669454218</v>
      </c>
      <c r="I58" s="133">
        <v>0.18998709643548706</v>
      </c>
      <c r="J58" s="133">
        <v>0.88640813511337746</v>
      </c>
      <c r="K58" s="133">
        <v>0.37994019813953039</v>
      </c>
      <c r="L58" s="133">
        <v>0.45577108995408733</v>
      </c>
      <c r="M58" s="133">
        <v>0.37510422617421768</v>
      </c>
      <c r="N58" s="133">
        <v>6.6446809495170234E-2</v>
      </c>
      <c r="O58" s="133">
        <v>0.72964273738322194</v>
      </c>
      <c r="P58" s="133">
        <v>0.98629989470763046</v>
      </c>
      <c r="Q58" s="133">
        <v>0.65932217915552116</v>
      </c>
      <c r="R58" s="133">
        <v>0.5354956788084192</v>
      </c>
      <c r="S58" s="133">
        <v>0.63685312063047772</v>
      </c>
      <c r="T58" s="133">
        <v>0.92310186635839575</v>
      </c>
      <c r="U58" s="133">
        <v>0.69561633533711809</v>
      </c>
      <c r="V58" s="133">
        <v>0.14093829719318374</v>
      </c>
      <c r="W58" s="133">
        <v>0.3161811461362366</v>
      </c>
      <c r="X58" s="133">
        <v>0.13782125167384884</v>
      </c>
      <c r="Y58" s="133">
        <v>0.50354454409824589</v>
      </c>
      <c r="Z58" s="133">
        <v>4.2318854098186698E-2</v>
      </c>
      <c r="AA58" s="133">
        <v>0.80887919519935336</v>
      </c>
      <c r="AB58" s="133">
        <v>0.25360132030134808</v>
      </c>
      <c r="AC58" s="133">
        <v>0.50676473227246877</v>
      </c>
      <c r="AD58" s="133">
        <v>0.79440716773683939</v>
      </c>
      <c r="AE58" s="133">
        <v>1.2647012425017756E-3</v>
      </c>
      <c r="AF58" s="133">
        <v>0.40165384452924013</v>
      </c>
      <c r="AG58" s="133">
        <v>0.3921336535067278</v>
      </c>
      <c r="AH58" s="133">
        <v>3.54562743009883E-2</v>
      </c>
      <c r="AI58" s="133">
        <v>0.99591629641827095</v>
      </c>
      <c r="AJ58" s="133">
        <v>0.69297192739134383</v>
      </c>
      <c r="AK58" s="133">
        <v>0.44092032281362314</v>
      </c>
      <c r="AL58" s="133">
        <v>2.2301218799808398E-3</v>
      </c>
      <c r="AM58" s="133">
        <v>0.46766753922077042</v>
      </c>
      <c r="AN58" s="133">
        <v>0.77689433574507549</v>
      </c>
      <c r="AO58" s="133">
        <v>0.55925008754181804</v>
      </c>
      <c r="AP58" s="133">
        <v>0.50737959943588529</v>
      </c>
      <c r="AQ58" s="133">
        <v>0.78894096803076164</v>
      </c>
      <c r="AR58" s="133">
        <v>0.62423962526973542</v>
      </c>
      <c r="AS58" s="133">
        <v>0.45726566589721973</v>
      </c>
      <c r="AT58" s="133">
        <v>0.4371452251651059</v>
      </c>
      <c r="AU58" s="133">
        <v>0.68402761232521947</v>
      </c>
      <c r="AV58" s="133">
        <v>0.36455255403132769</v>
      </c>
      <c r="AW58" s="133">
        <v>0.1182914413877495</v>
      </c>
      <c r="AX58" s="133">
        <v>0.85867477987236418</v>
      </c>
    </row>
    <row r="59" spans="1:50" ht="30" customHeight="1">
      <c r="A59" s="135" t="s">
        <v>239</v>
      </c>
      <c r="B59" s="133">
        <v>0.35700914798105743</v>
      </c>
      <c r="C59" s="133">
        <v>0.95883741301442105</v>
      </c>
      <c r="D59" s="133">
        <v>0.86580149201083889</v>
      </c>
      <c r="E59" s="133">
        <v>0.62729543631501894</v>
      </c>
      <c r="F59" s="133">
        <v>0.26250811899485305</v>
      </c>
      <c r="G59" s="133">
        <v>0.43992639731055372</v>
      </c>
      <c r="H59" s="133">
        <v>0.29363841424961312</v>
      </c>
      <c r="I59" s="133">
        <v>0.155481476315116</v>
      </c>
      <c r="J59" s="133">
        <v>0.46129903850917886</v>
      </c>
      <c r="K59" s="133">
        <v>0.64952852812306161</v>
      </c>
      <c r="L59" s="133">
        <v>0.2991936090489542</v>
      </c>
      <c r="M59" s="133">
        <v>8.2192945679040452E-3</v>
      </c>
      <c r="N59" s="133">
        <v>0.40396379436630558</v>
      </c>
      <c r="O59" s="133">
        <v>8.9369046913005068E-2</v>
      </c>
      <c r="P59" s="133">
        <v>0.72350589119074749</v>
      </c>
      <c r="Q59" s="133">
        <v>0.53702211283286394</v>
      </c>
      <c r="R59" s="133">
        <v>0.94772630251279955</v>
      </c>
      <c r="S59" s="133">
        <v>0.29443017509217206</v>
      </c>
      <c r="T59" s="133">
        <v>0.38137423419634919</v>
      </c>
      <c r="U59" s="133">
        <v>0.48566575128234368</v>
      </c>
      <c r="V59" s="133">
        <v>0.50041542065264266</v>
      </c>
      <c r="W59" s="133">
        <v>0.31309097851401591</v>
      </c>
      <c r="X59" s="133">
        <v>0.10103097599022992</v>
      </c>
      <c r="Y59" s="133">
        <v>0.44031484825474942</v>
      </c>
      <c r="Z59" s="133">
        <v>0.44146586068665705</v>
      </c>
      <c r="AA59" s="133">
        <v>0.26926251714174609</v>
      </c>
      <c r="AB59" s="133">
        <v>0.37504415289558879</v>
      </c>
      <c r="AC59" s="133">
        <v>0.83453801859575405</v>
      </c>
      <c r="AD59" s="133">
        <v>0.13360622820369039</v>
      </c>
      <c r="AE59" s="133">
        <v>2.1251951200646935E-2</v>
      </c>
      <c r="AF59" s="133">
        <v>0.5108595015058448</v>
      </c>
      <c r="AG59" s="133">
        <v>0.23883142357204767</v>
      </c>
      <c r="AH59" s="133">
        <v>1.0907871098579935E-3</v>
      </c>
      <c r="AI59" s="133">
        <v>0.14759779691453556</v>
      </c>
      <c r="AJ59" s="133">
        <v>0.36390919493907281</v>
      </c>
      <c r="AK59" s="133">
        <v>0.72820123263247916</v>
      </c>
      <c r="AL59" s="133">
        <v>0.14960604528074428</v>
      </c>
      <c r="AM59" s="133">
        <v>0.82067354724690578</v>
      </c>
      <c r="AN59" s="133">
        <v>0.3830985072313573</v>
      </c>
      <c r="AO59" s="133">
        <v>0.57191196289713808</v>
      </c>
      <c r="AP59" s="133">
        <v>0.12287883982335412</v>
      </c>
      <c r="AQ59" s="133">
        <v>0.56011746647315963</v>
      </c>
      <c r="AR59" s="133">
        <v>0.34790219128811906</v>
      </c>
      <c r="AS59" s="133">
        <v>0.25015550539527864</v>
      </c>
      <c r="AT59" s="133">
        <v>6.9323812033118215E-2</v>
      </c>
      <c r="AU59" s="133">
        <v>0.75326526198901123</v>
      </c>
      <c r="AV59" s="133">
        <v>0.34395028715835863</v>
      </c>
      <c r="AW59" s="133">
        <v>0.51489454812043922</v>
      </c>
      <c r="AX59" s="133">
        <v>0.63208095808869735</v>
      </c>
    </row>
    <row r="60" spans="1:50" ht="30" customHeight="1">
      <c r="A60" s="135" t="s">
        <v>130</v>
      </c>
      <c r="B60" s="133">
        <v>0.65410216099168939</v>
      </c>
      <c r="C60" s="133">
        <v>0.66053469540379806</v>
      </c>
      <c r="D60" s="133">
        <v>0.99923032830351433</v>
      </c>
      <c r="E60" s="133">
        <v>2.7400158807379227E-2</v>
      </c>
      <c r="F60" s="133">
        <v>4.8210021449933915E-2</v>
      </c>
      <c r="G60" s="133">
        <v>0.59382768332682079</v>
      </c>
      <c r="H60" s="133">
        <v>0.58296577225174817</v>
      </c>
      <c r="I60" s="133">
        <v>0.682985759917494</v>
      </c>
      <c r="J60" s="133">
        <v>0.82871517289592722</v>
      </c>
      <c r="K60" s="133">
        <v>0.73525810940441694</v>
      </c>
      <c r="L60" s="133">
        <v>0.43980890496992497</v>
      </c>
      <c r="M60" s="133">
        <v>4.3781533791362293E-2</v>
      </c>
      <c r="N60" s="133">
        <v>0.1458629981382874</v>
      </c>
      <c r="O60" s="133">
        <v>0.83910226454348191</v>
      </c>
      <c r="P60" s="133">
        <v>0.92102468359584344</v>
      </c>
      <c r="Q60" s="133">
        <v>0.66507095194696275</v>
      </c>
      <c r="R60" s="133">
        <v>0.9077677635464162</v>
      </c>
      <c r="S60" s="133">
        <v>0.93399995590740892</v>
      </c>
      <c r="T60" s="133">
        <v>9.8897487863017886E-2</v>
      </c>
      <c r="U60" s="133">
        <v>0.95522370175092808</v>
      </c>
      <c r="V60" s="133">
        <v>4.0524049563193998E-2</v>
      </c>
      <c r="W60" s="133">
        <v>0.68013578056715784</v>
      </c>
      <c r="X60" s="133">
        <v>0.42496713331230374</v>
      </c>
      <c r="Y60" s="133">
        <v>0.58968330263002544</v>
      </c>
      <c r="Z60" s="133">
        <v>0.38202040507675572</v>
      </c>
      <c r="AA60" s="133">
        <v>0.84372514398279441</v>
      </c>
      <c r="AB60" s="133">
        <v>0.88573996082626705</v>
      </c>
      <c r="AC60" s="133">
        <v>0.24361796700885363</v>
      </c>
      <c r="AD60" s="133">
        <v>0.33648030752863278</v>
      </c>
      <c r="AE60" s="133">
        <v>0.27648855053822519</v>
      </c>
      <c r="AF60" s="133">
        <v>0.63881772933691072</v>
      </c>
      <c r="AG60" s="133">
        <v>7.6789910582496956E-2</v>
      </c>
      <c r="AH60" s="133">
        <v>0.55272208371910403</v>
      </c>
      <c r="AI60" s="133">
        <v>0.85655649673150569</v>
      </c>
      <c r="AJ60" s="133">
        <v>0.37997171335422564</v>
      </c>
      <c r="AK60" s="133">
        <v>0.92118137082687879</v>
      </c>
      <c r="AL60" s="133">
        <v>0.10290992956113698</v>
      </c>
      <c r="AM60" s="133">
        <v>0.74642595026238601</v>
      </c>
      <c r="AN60" s="133">
        <v>0.58165680406148401</v>
      </c>
      <c r="AO60" s="133">
        <v>0.91932799119503306</v>
      </c>
      <c r="AP60" s="133">
        <v>0.13549335791818551</v>
      </c>
      <c r="AQ60" s="133">
        <v>0.80527296351278121</v>
      </c>
      <c r="AR60" s="133">
        <v>0.2191996258126605</v>
      </c>
      <c r="AS60" s="133">
        <v>0.56608720651485656</v>
      </c>
      <c r="AT60" s="133">
        <v>0.51609065371671725</v>
      </c>
      <c r="AU60" s="133">
        <v>0.52460751881927548</v>
      </c>
      <c r="AV60" s="133">
        <v>0.19876251784287269</v>
      </c>
      <c r="AW60" s="133">
        <v>0.46388788439887396</v>
      </c>
      <c r="AX60" s="133">
        <v>1.659916346067325E-2</v>
      </c>
    </row>
    <row r="61" spans="1:50" ht="30" customHeight="1">
      <c r="A61" s="135" t="s">
        <v>253</v>
      </c>
      <c r="B61" s="133">
        <v>6.8846780640187122E-2</v>
      </c>
      <c r="C61" s="133">
        <v>0.75592196875346007</v>
      </c>
      <c r="D61" s="133">
        <v>0.30377138351458854</v>
      </c>
      <c r="E61" s="133">
        <v>0.34991195480707094</v>
      </c>
      <c r="F61" s="133">
        <v>0.19581614258891866</v>
      </c>
      <c r="G61" s="133">
        <v>0.92122235229849092</v>
      </c>
      <c r="H61" s="133">
        <v>0.19115340907321354</v>
      </c>
      <c r="I61" s="133">
        <v>0.87450544381807482</v>
      </c>
      <c r="J61" s="133">
        <v>0.72064022967440633</v>
      </c>
      <c r="K61" s="133">
        <v>0.75054829642593313</v>
      </c>
      <c r="L61" s="133">
        <v>0.2918419428843706</v>
      </c>
      <c r="M61" s="133">
        <v>0.21996472152607116</v>
      </c>
      <c r="N61" s="133">
        <v>0.98492681682886063</v>
      </c>
      <c r="O61" s="133">
        <v>0.75081485087021249</v>
      </c>
      <c r="P61" s="133">
        <v>0.53492705965125864</v>
      </c>
      <c r="Q61" s="133">
        <v>0.86965322183400207</v>
      </c>
      <c r="R61" s="133">
        <v>0.20521266998547516</v>
      </c>
      <c r="S61" s="133">
        <v>0.9025426554162842</v>
      </c>
      <c r="T61" s="133">
        <v>0.72335022863361331</v>
      </c>
      <c r="U61" s="133">
        <v>0.81836350699184068</v>
      </c>
      <c r="V61" s="133">
        <v>0.52292672499652759</v>
      </c>
      <c r="W61" s="133">
        <v>0.26125856097463729</v>
      </c>
      <c r="X61" s="133">
        <v>0.9835797362469979</v>
      </c>
      <c r="Y61" s="133">
        <v>0.67631858290541225</v>
      </c>
      <c r="Z61" s="133">
        <v>0.40360402314278954</v>
      </c>
      <c r="AA61" s="133">
        <v>0.5278749366901383</v>
      </c>
      <c r="AB61" s="133">
        <v>0.92472545241940585</v>
      </c>
      <c r="AC61" s="133">
        <v>0.49053410220061477</v>
      </c>
      <c r="AD61" s="133">
        <v>0.48355601009990135</v>
      </c>
      <c r="AE61" s="133">
        <v>0.92924072413245373</v>
      </c>
      <c r="AF61" s="133">
        <v>0.75251819083663518</v>
      </c>
      <c r="AG61" s="133">
        <v>0.38720107284134497</v>
      </c>
      <c r="AH61" s="133">
        <v>0.37594088799345171</v>
      </c>
      <c r="AI61" s="133">
        <v>0.30581450165585755</v>
      </c>
      <c r="AJ61" s="133">
        <v>0.27606263927725883</v>
      </c>
      <c r="AK61" s="133">
        <v>0.9423714337108664</v>
      </c>
      <c r="AL61" s="133">
        <v>0.38482276917509128</v>
      </c>
      <c r="AM61" s="133">
        <v>0.48581974217033785</v>
      </c>
      <c r="AN61" s="133">
        <v>0.72161400102994289</v>
      </c>
      <c r="AO61" s="133">
        <v>0.80427755276733126</v>
      </c>
      <c r="AP61" s="133">
        <v>0.54459624358253478</v>
      </c>
      <c r="AQ61" s="133">
        <v>0.75273550374649179</v>
      </c>
      <c r="AR61" s="133">
        <v>0.14941294871446797</v>
      </c>
      <c r="AS61" s="133">
        <v>0.9647655489523993</v>
      </c>
      <c r="AT61" s="133">
        <v>0.77840355096330449</v>
      </c>
      <c r="AU61" s="133">
        <v>0.25964723146503499</v>
      </c>
      <c r="AV61" s="133">
        <v>0.8919389887179634</v>
      </c>
      <c r="AW61" s="133">
        <v>0.19190983330403799</v>
      </c>
      <c r="AX61" s="133">
        <v>0.18160101537394724</v>
      </c>
    </row>
    <row r="62" spans="1:50" ht="30" customHeight="1">
      <c r="A62" s="135" t="s">
        <v>259</v>
      </c>
      <c r="B62" s="133">
        <v>0.72941473059998907</v>
      </c>
      <c r="C62" s="133">
        <v>0.29333956011895046</v>
      </c>
      <c r="D62" s="133">
        <v>0.77496068383730088</v>
      </c>
      <c r="E62" s="133">
        <v>9.4952850325219496E-2</v>
      </c>
      <c r="F62" s="133">
        <v>0.41745969098624014</v>
      </c>
      <c r="G62" s="133">
        <v>0.96505973709092874</v>
      </c>
      <c r="H62" s="133">
        <v>0.70897459764950677</v>
      </c>
      <c r="I62" s="133">
        <v>0.59945946097185787</v>
      </c>
      <c r="J62" s="133">
        <v>8.0816809754826191E-2</v>
      </c>
      <c r="K62" s="133">
        <v>8.7331509244311656E-3</v>
      </c>
      <c r="L62" s="133">
        <v>0.51478186767254308</v>
      </c>
      <c r="M62" s="133">
        <v>0.79413895993501804</v>
      </c>
      <c r="N62" s="133">
        <v>0.20013015894234565</v>
      </c>
      <c r="O62" s="133">
        <v>0.32448841804824713</v>
      </c>
      <c r="P62" s="133">
        <v>0.29814711061749033</v>
      </c>
      <c r="Q62" s="133">
        <v>0.80536100789752629</v>
      </c>
      <c r="R62" s="133">
        <v>0.79187538310360894</v>
      </c>
      <c r="S62" s="133">
        <v>0.63334794982462583</v>
      </c>
      <c r="T62" s="133">
        <v>0.27595539162093208</v>
      </c>
      <c r="U62" s="133">
        <v>0.49171048991691346</v>
      </c>
      <c r="V62" s="133">
        <v>1.6382146230473404E-2</v>
      </c>
      <c r="W62" s="133">
        <v>0.59619499714081658</v>
      </c>
      <c r="X62" s="133">
        <v>0.43104273842094132</v>
      </c>
      <c r="Y62" s="133">
        <v>1.6768737325328575E-2</v>
      </c>
      <c r="Z62" s="133">
        <v>2.0003432136880384E-2</v>
      </c>
      <c r="AA62" s="133">
        <v>0.32931633535720928</v>
      </c>
      <c r="AB62" s="133">
        <v>0.30976555361240199</v>
      </c>
      <c r="AC62" s="133">
        <v>0.2298386322384508</v>
      </c>
      <c r="AD62" s="133">
        <v>0.60915608257221876</v>
      </c>
      <c r="AE62" s="133">
        <v>0.6565335986512586</v>
      </c>
      <c r="AF62" s="133">
        <v>0.22856305196198801</v>
      </c>
      <c r="AG62" s="133">
        <v>0.87673418940512948</v>
      </c>
      <c r="AH62" s="133">
        <v>0.43644024856144481</v>
      </c>
      <c r="AI62" s="133">
        <v>0.88216206306294365</v>
      </c>
      <c r="AJ62" s="133">
        <v>0.46427229876752918</v>
      </c>
      <c r="AK62" s="133">
        <v>0.46078268969172498</v>
      </c>
      <c r="AL62" s="133">
        <v>0.50170887441714929</v>
      </c>
      <c r="AM62" s="133">
        <v>0.21947258256614766</v>
      </c>
      <c r="AN62" s="133">
        <v>0.35310211310019757</v>
      </c>
      <c r="AO62" s="133">
        <v>0.72211085220224169</v>
      </c>
      <c r="AP62" s="133">
        <v>0.25574896211943088</v>
      </c>
      <c r="AQ62" s="133">
        <v>0.44607698087433312</v>
      </c>
      <c r="AR62" s="133">
        <v>0.95662500023036046</v>
      </c>
      <c r="AS62" s="133">
        <v>0.26123289440296293</v>
      </c>
      <c r="AT62" s="133">
        <v>0.31290456905929642</v>
      </c>
      <c r="AU62" s="133">
        <v>0.61919764301484503</v>
      </c>
      <c r="AV62" s="133">
        <v>0.65308206086483256</v>
      </c>
      <c r="AW62" s="133">
        <v>0.69321879695838184</v>
      </c>
      <c r="AX62" s="133">
        <v>0.95517751707320564</v>
      </c>
    </row>
    <row r="63" spans="1:50" ht="30" customHeight="1">
      <c r="A63" s="135" t="s">
        <v>404</v>
      </c>
      <c r="B63" s="133">
        <v>0.5352195848656558</v>
      </c>
      <c r="C63" s="133">
        <v>0.63329633827794563</v>
      </c>
      <c r="D63" s="133">
        <v>0.44647899437324035</v>
      </c>
      <c r="E63" s="133">
        <v>0.90024058253637151</v>
      </c>
      <c r="F63" s="133">
        <v>0.93333597388492417</v>
      </c>
      <c r="G63" s="133">
        <v>0.4236508536462853</v>
      </c>
      <c r="H63" s="133">
        <v>0.35103450964649652</v>
      </c>
      <c r="I63" s="133">
        <v>0.90287256944556216</v>
      </c>
      <c r="J63" s="133">
        <v>0.14640929021099669</v>
      </c>
      <c r="K63" s="133">
        <v>0.41709690385464249</v>
      </c>
      <c r="L63" s="133">
        <v>0.4047408676554376</v>
      </c>
      <c r="M63" s="133">
        <v>0.29843751275100228</v>
      </c>
      <c r="N63" s="133">
        <v>0.67025255209322343</v>
      </c>
      <c r="O63" s="133">
        <v>0.26478483857876944</v>
      </c>
      <c r="P63" s="133">
        <v>1.1595086117485165E-2</v>
      </c>
      <c r="Q63" s="133">
        <v>0.67777232876559701</v>
      </c>
      <c r="R63" s="133">
        <v>3.1961164580357249E-2</v>
      </c>
      <c r="S63" s="133">
        <v>3.2382892813569431E-2</v>
      </c>
      <c r="T63" s="133">
        <v>0.26794525910637834</v>
      </c>
      <c r="U63" s="133">
        <v>0.93012429269703856</v>
      </c>
      <c r="V63" s="133">
        <v>0.94686172545555869</v>
      </c>
      <c r="W63" s="133">
        <v>7.0646652620619865E-2</v>
      </c>
      <c r="X63" s="133">
        <v>0.51174753347861679</v>
      </c>
      <c r="Y63" s="133">
        <v>0.60569608268151864</v>
      </c>
      <c r="Z63" s="133">
        <v>0.7059936607279913</v>
      </c>
      <c r="AA63" s="133">
        <v>0.96112219406307775</v>
      </c>
      <c r="AB63" s="133">
        <v>1.7697176958475058E-2</v>
      </c>
      <c r="AC63" s="133">
        <v>0.64787012494825014</v>
      </c>
      <c r="AD63" s="133">
        <v>0.54338753048875321</v>
      </c>
      <c r="AE63" s="133">
        <v>0.40230507276877259</v>
      </c>
      <c r="AF63" s="133">
        <v>0.33693004117432668</v>
      </c>
      <c r="AG63" s="133">
        <v>0.58218308252746309</v>
      </c>
      <c r="AH63" s="133">
        <v>0.81589538098821635</v>
      </c>
      <c r="AI63" s="133">
        <v>0.55250843769077407</v>
      </c>
      <c r="AJ63" s="133">
        <v>0.48491786341555521</v>
      </c>
      <c r="AK63" s="133">
        <v>9.9822984426961359E-2</v>
      </c>
      <c r="AL63" s="133">
        <v>0.14334783926534167</v>
      </c>
      <c r="AM63" s="133">
        <v>0.66788045307664812</v>
      </c>
      <c r="AN63" s="133">
        <v>0.73381344427825024</v>
      </c>
      <c r="AO63" s="133">
        <v>0.53237751988050475</v>
      </c>
      <c r="AP63" s="133">
        <v>2.2927377663407245E-2</v>
      </c>
      <c r="AQ63" s="133">
        <v>0.9006034468973404</v>
      </c>
      <c r="AR63" s="133">
        <v>0.91457883638956361</v>
      </c>
      <c r="AS63" s="133">
        <v>0.27470992168326513</v>
      </c>
      <c r="AT63" s="133">
        <v>0.86219671914970553</v>
      </c>
      <c r="AU63" s="133">
        <v>0.85961005380468514</v>
      </c>
      <c r="AV63" s="133">
        <v>0.68177449504346166</v>
      </c>
      <c r="AW63" s="133">
        <v>0.91293174628720852</v>
      </c>
      <c r="AX63" s="133">
        <v>0.41515330072143819</v>
      </c>
    </row>
    <row r="64" spans="1:50" ht="30" customHeight="1">
      <c r="A64" s="135" t="s">
        <v>405</v>
      </c>
      <c r="B64" s="133">
        <v>0.29521953143122104</v>
      </c>
      <c r="C64" s="133">
        <v>0.82973190405528507</v>
      </c>
      <c r="D64" s="133">
        <v>0.67963391599625367</v>
      </c>
      <c r="E64" s="133">
        <v>0.42048006556904916</v>
      </c>
      <c r="F64" s="133">
        <v>0.97390080385831934</v>
      </c>
      <c r="G64" s="133">
        <v>0.62799759605952676</v>
      </c>
      <c r="H64" s="133">
        <v>0.64844133781834634</v>
      </c>
      <c r="I64" s="133">
        <v>0.16970471150251687</v>
      </c>
      <c r="J64" s="133">
        <v>0.83080361591827556</v>
      </c>
      <c r="K64" s="133">
        <v>0.86162141560754468</v>
      </c>
      <c r="L64" s="133">
        <v>0.42282990836034584</v>
      </c>
      <c r="M64" s="133">
        <v>0.8100966675591682</v>
      </c>
      <c r="N64" s="133">
        <v>0.61531623814405256</v>
      </c>
      <c r="O64" s="133">
        <v>0.50535909358031095</v>
      </c>
      <c r="P64" s="133">
        <v>2.2806699462648794E-2</v>
      </c>
      <c r="Q64" s="133">
        <v>0.38978225045529491</v>
      </c>
      <c r="R64" s="133">
        <v>0.35952522111003982</v>
      </c>
      <c r="S64" s="133">
        <v>0.67705950829825057</v>
      </c>
      <c r="T64" s="133">
        <v>0.99477235571530109</v>
      </c>
      <c r="U64" s="133">
        <v>0.94743950996520565</v>
      </c>
      <c r="V64" s="133">
        <v>2.7587896523951327E-2</v>
      </c>
      <c r="W64" s="133">
        <v>0.14751587235752284</v>
      </c>
      <c r="X64" s="133">
        <v>0.17175419413858883</v>
      </c>
      <c r="Y64" s="133">
        <v>0.9985743413522542</v>
      </c>
      <c r="Z64" s="133">
        <v>0.66288047371902925</v>
      </c>
      <c r="AA64" s="133">
        <v>0.35027903898844037</v>
      </c>
      <c r="AB64" s="133">
        <v>0.60181666820983137</v>
      </c>
      <c r="AC64" s="133">
        <v>0.46264553362971661</v>
      </c>
      <c r="AD64" s="133">
        <v>0.53242727187474059</v>
      </c>
      <c r="AE64" s="133">
        <v>0.37317503456493251</v>
      </c>
      <c r="AF64" s="133">
        <v>0.49784291612148768</v>
      </c>
      <c r="AG64" s="133">
        <v>0.14256798115923497</v>
      </c>
      <c r="AH64" s="133">
        <v>0.1832350464149437</v>
      </c>
      <c r="AI64" s="133">
        <v>0.19107665386254458</v>
      </c>
      <c r="AJ64" s="133">
        <v>0.85474380373945658</v>
      </c>
      <c r="AK64" s="133">
        <v>0.56562261847355588</v>
      </c>
      <c r="AL64" s="133">
        <v>1.7361139617412813E-2</v>
      </c>
      <c r="AM64" s="133">
        <v>0.46385031575310731</v>
      </c>
      <c r="AN64" s="133">
        <v>0.4549417848455316</v>
      </c>
      <c r="AO64" s="133">
        <v>0.22341488072234794</v>
      </c>
      <c r="AP64" s="133">
        <v>0.45249200509189436</v>
      </c>
      <c r="AQ64" s="133">
        <v>0.97813075156125129</v>
      </c>
      <c r="AR64" s="133">
        <v>0.51942745804894319</v>
      </c>
      <c r="AS64" s="133">
        <v>0.80606187622246883</v>
      </c>
      <c r="AT64" s="133">
        <v>0.39759507193855737</v>
      </c>
      <c r="AU64" s="133">
        <v>0.39848036643956575</v>
      </c>
      <c r="AV64" s="133">
        <v>0.32660262121527095</v>
      </c>
      <c r="AW64" s="133">
        <v>0.96743142921584246</v>
      </c>
      <c r="AX64" s="133">
        <v>0.57412531700384384</v>
      </c>
    </row>
    <row r="65" spans="1:50" ht="30" customHeight="1">
      <c r="A65" s="135"/>
    </row>
    <row r="66" spans="1:50" ht="30" customHeight="1">
      <c r="A66" s="137" t="s">
        <v>129</v>
      </c>
    </row>
    <row r="67" spans="1:50" ht="30" customHeight="1">
      <c r="A67" s="135" t="s">
        <v>54</v>
      </c>
      <c r="B67" s="133">
        <v>0.43999644930817516</v>
      </c>
      <c r="C67" s="133">
        <v>0.40652565776134808</v>
      </c>
      <c r="D67" s="133">
        <v>0.90394199110863038</v>
      </c>
      <c r="E67" s="133">
        <v>0.91135930690882017</v>
      </c>
      <c r="F67" s="133">
        <v>0.29259512467915039</v>
      </c>
      <c r="G67" s="133">
        <v>0.10542804508458126</v>
      </c>
      <c r="H67" s="133">
        <v>0.36733331847831852</v>
      </c>
      <c r="I67" s="133">
        <v>1.7578123130290724E-3</v>
      </c>
      <c r="J67" s="133">
        <v>0.42413799212637504</v>
      </c>
      <c r="K67" s="133">
        <v>0.59596764220413079</v>
      </c>
      <c r="L67" s="133">
        <v>0.42527249100946651</v>
      </c>
      <c r="M67" s="133">
        <v>3.8096790774329259E-2</v>
      </c>
      <c r="N67" s="133">
        <v>0.35669078947911204</v>
      </c>
      <c r="O67" s="133">
        <v>0.26735935135930966</v>
      </c>
      <c r="P67" s="133">
        <v>0.278871501795383</v>
      </c>
      <c r="Q67" s="133">
        <v>0.16356666279945953</v>
      </c>
      <c r="R67" s="133">
        <v>0.64648430701919435</v>
      </c>
      <c r="S67" s="133">
        <v>0.79710866799857205</v>
      </c>
      <c r="T67" s="133">
        <v>0.87391919152397124</v>
      </c>
      <c r="U67" s="133">
        <v>0.31812031985348477</v>
      </c>
      <c r="V67" s="133">
        <v>0.73784658014918902</v>
      </c>
      <c r="W67" s="133">
        <v>0.41635942462820874</v>
      </c>
      <c r="X67" s="133">
        <v>0.33251209073563093</v>
      </c>
      <c r="Y67" s="133">
        <v>0.19689033759969177</v>
      </c>
      <c r="Z67" s="133">
        <v>0.31828165373231065</v>
      </c>
      <c r="AA67" s="133">
        <v>0.73421058925554028</v>
      </c>
      <c r="AB67" s="133">
        <v>0.90669549728858501</v>
      </c>
      <c r="AC67" s="133">
        <v>0.61791220817194925</v>
      </c>
      <c r="AD67" s="133">
        <v>0.4614419722694606</v>
      </c>
      <c r="AE67" s="133">
        <v>0.29002886949146012</v>
      </c>
      <c r="AF67" s="133">
        <v>0.16792082845358458</v>
      </c>
      <c r="AG67" s="133">
        <v>0.97419271343942382</v>
      </c>
      <c r="AH67" s="133">
        <v>0.79734579601115263</v>
      </c>
      <c r="AI67" s="133">
        <v>9.7161639584510406E-2</v>
      </c>
      <c r="AJ67" s="133">
        <v>0.38565913598581081</v>
      </c>
      <c r="AK67" s="133">
        <v>8.7974735541499482E-3</v>
      </c>
      <c r="AL67" s="133">
        <v>0.60342936157886418</v>
      </c>
      <c r="AM67" s="133">
        <v>0.30286106267403645</v>
      </c>
      <c r="AN67" s="133">
        <v>0.3369586160234469</v>
      </c>
      <c r="AO67" s="133">
        <v>0.16997275583907745</v>
      </c>
      <c r="AP67" s="133">
        <v>0.3889206566103266</v>
      </c>
      <c r="AQ67" s="133">
        <v>3.3518850062727035E-2</v>
      </c>
      <c r="AR67" s="133">
        <v>0.57882107197850752</v>
      </c>
      <c r="AS67" s="133">
        <v>0.49297337228225979</v>
      </c>
      <c r="AT67" s="133">
        <v>0.67235514110968175</v>
      </c>
      <c r="AU67" s="133">
        <v>0.38392721572285426</v>
      </c>
      <c r="AV67" s="133">
        <v>0.33977047813632</v>
      </c>
      <c r="AW67" s="133">
        <v>0.29590719147399691</v>
      </c>
      <c r="AX67" s="133">
        <v>0.75985990220413968</v>
      </c>
    </row>
    <row r="68" spans="1:50" ht="30" customHeight="1">
      <c r="A68" s="135" t="s">
        <v>52</v>
      </c>
      <c r="B68" s="133">
        <v>0.55348003660102751</v>
      </c>
      <c r="C68" s="133">
        <v>0.27206765451971227</v>
      </c>
      <c r="D68" s="133">
        <v>0.61596047924446118</v>
      </c>
      <c r="E68" s="133">
        <v>0.25095779024183185</v>
      </c>
      <c r="F68" s="133">
        <v>0.98628447677086495</v>
      </c>
      <c r="G68" s="133">
        <v>0.24448995508629923</v>
      </c>
      <c r="H68" s="133">
        <v>8.9071231604790357E-2</v>
      </c>
      <c r="I68" s="133">
        <v>0.82982483930661577</v>
      </c>
      <c r="J68" s="133">
        <v>0.63661494498378246</v>
      </c>
      <c r="K68" s="133">
        <v>0.85918446259932812</v>
      </c>
      <c r="L68" s="133">
        <v>0.89446671448782211</v>
      </c>
      <c r="M68" s="133">
        <v>0.98600451331826522</v>
      </c>
      <c r="N68" s="133">
        <v>0.22231282398421259</v>
      </c>
      <c r="O68" s="133">
        <v>0.64859756542945579</v>
      </c>
      <c r="P68" s="133">
        <v>0.86802196593237968</v>
      </c>
      <c r="Q68" s="133">
        <v>0.25791819297663021</v>
      </c>
      <c r="R68" s="133">
        <v>0.39532851773667232</v>
      </c>
      <c r="S68" s="133">
        <v>0.55606891266922143</v>
      </c>
      <c r="T68" s="133">
        <v>0.43057718642004617</v>
      </c>
      <c r="U68" s="133">
        <v>0.8247002690027283</v>
      </c>
      <c r="V68" s="133">
        <v>1.6091256228196404E-2</v>
      </c>
      <c r="W68" s="133">
        <v>0.29598361706296794</v>
      </c>
      <c r="X68" s="133">
        <v>0.18683712722127432</v>
      </c>
      <c r="Y68" s="133">
        <v>7.1080989396927863E-2</v>
      </c>
      <c r="Z68" s="133">
        <v>0.50678612646122645</v>
      </c>
      <c r="AA68" s="133">
        <v>0.79689486825723899</v>
      </c>
      <c r="AB68" s="133">
        <v>0.90021151396601384</v>
      </c>
      <c r="AC68" s="133">
        <v>9.2988107571791878E-2</v>
      </c>
      <c r="AD68" s="133">
        <v>1.2354738310524249E-2</v>
      </c>
      <c r="AE68" s="133">
        <v>0.96493108017611084</v>
      </c>
      <c r="AF68" s="133">
        <v>0.28583746002109323</v>
      </c>
      <c r="AG68" s="133">
        <v>0.63223813179377075</v>
      </c>
      <c r="AH68" s="133">
        <v>0.3297555605572946</v>
      </c>
      <c r="AI68" s="133">
        <v>8.2257498909500848E-2</v>
      </c>
      <c r="AJ68" s="133">
        <v>0.6885663096702439</v>
      </c>
      <c r="AK68" s="133">
        <v>0.74318499933950821</v>
      </c>
      <c r="AL68" s="133">
        <v>0.96256179894678573</v>
      </c>
      <c r="AM68" s="133">
        <v>0.76224645490485987</v>
      </c>
      <c r="AN68" s="133">
        <v>0.98110970323356028</v>
      </c>
      <c r="AO68" s="133">
        <v>3.4814745536043801E-2</v>
      </c>
      <c r="AP68" s="133">
        <v>0.41777573369312881</v>
      </c>
      <c r="AQ68" s="133">
        <v>0.89996365159901071</v>
      </c>
      <c r="AR68" s="133">
        <v>0.87909735504942621</v>
      </c>
      <c r="AS68" s="133">
        <v>0.86738170641955858</v>
      </c>
      <c r="AT68" s="133">
        <v>5.5496018202022879E-2</v>
      </c>
      <c r="AU68" s="133">
        <v>0.15757572136447795</v>
      </c>
      <c r="AV68" s="133">
        <v>0.220928800255347</v>
      </c>
      <c r="AW68" s="133">
        <v>0.16292314149504983</v>
      </c>
      <c r="AX68" s="133">
        <v>0.80620055946379954</v>
      </c>
    </row>
    <row r="69" spans="1:50" ht="30" customHeight="1">
      <c r="A69" s="135" t="s">
        <v>79</v>
      </c>
      <c r="B69" s="133">
        <v>0.1820704675017788</v>
      </c>
      <c r="C69" s="133">
        <v>0.61784184493159244</v>
      </c>
      <c r="D69" s="133">
        <v>0.83109924672800939</v>
      </c>
      <c r="E69" s="133">
        <v>1.0544784226641957E-2</v>
      </c>
      <c r="F69" s="133">
        <v>0.84210792145948332</v>
      </c>
      <c r="G69" s="133">
        <v>0.76855984476530004</v>
      </c>
      <c r="H69" s="133">
        <v>3.7638165454566441E-2</v>
      </c>
      <c r="I69" s="133">
        <v>0.76845517115330519</v>
      </c>
      <c r="J69" s="133">
        <v>0.10322493987317083</v>
      </c>
      <c r="K69" s="133">
        <v>0.98906666254949416</v>
      </c>
      <c r="L69" s="133">
        <v>0.67860056341622321</v>
      </c>
      <c r="M69" s="133">
        <v>7.120248512961258E-2</v>
      </c>
      <c r="N69" s="133">
        <v>0.32793490277452864</v>
      </c>
      <c r="O69" s="133">
        <v>0.49722606047781359</v>
      </c>
      <c r="P69" s="133">
        <v>0.35028581190707686</v>
      </c>
      <c r="Q69" s="133">
        <v>0.81874582848954514</v>
      </c>
      <c r="R69" s="133">
        <v>0.85119317831538743</v>
      </c>
      <c r="S69" s="133">
        <v>0.62591000048714029</v>
      </c>
      <c r="T69" s="133">
        <v>0.79976964225576275</v>
      </c>
      <c r="U69" s="133">
        <v>0.54775926436140354</v>
      </c>
      <c r="V69" s="133">
        <v>0.73197408484674986</v>
      </c>
      <c r="W69" s="133">
        <v>0.53557738776787889</v>
      </c>
      <c r="X69" s="133">
        <v>0.60611337664499731</v>
      </c>
      <c r="Y69" s="133">
        <v>0.72076555543726273</v>
      </c>
      <c r="Z69" s="133">
        <v>0.73190008603466072</v>
      </c>
      <c r="AA69" s="133">
        <v>5.1634804152534852E-2</v>
      </c>
      <c r="AB69" s="133">
        <v>0.82660637121475145</v>
      </c>
      <c r="AC69" s="133">
        <v>6.7583897467253351E-2</v>
      </c>
      <c r="AD69" s="133">
        <v>0.14468119084198472</v>
      </c>
      <c r="AE69" s="133">
        <v>0.19204607569113108</v>
      </c>
      <c r="AF69" s="133">
        <v>0.18039497034667129</v>
      </c>
      <c r="AG69" s="133">
        <v>0.13527447980305563</v>
      </c>
      <c r="AH69" s="133">
        <v>0.95889324027358813</v>
      </c>
      <c r="AI69" s="133">
        <v>0.17969579596964114</v>
      </c>
      <c r="AJ69" s="133">
        <v>0.61350267316666296</v>
      </c>
      <c r="AK69" s="133">
        <v>0.46212265821074272</v>
      </c>
      <c r="AL69" s="133">
        <v>0.46699951374557003</v>
      </c>
      <c r="AM69" s="133">
        <v>0.60441675456294319</v>
      </c>
      <c r="AN69" s="133">
        <v>0.51075784865469476</v>
      </c>
      <c r="AO69" s="133">
        <v>6.5488238342142346E-2</v>
      </c>
      <c r="AP69" s="133">
        <v>0.7157891447524134</v>
      </c>
      <c r="AQ69" s="133">
        <v>0.79660158037132334</v>
      </c>
      <c r="AR69" s="133">
        <v>0.98511446622905874</v>
      </c>
      <c r="AS69" s="133">
        <v>0.3352523802003915</v>
      </c>
      <c r="AT69" s="133">
        <v>0.6514853470162606</v>
      </c>
      <c r="AU69" s="133">
        <v>0.46470953945073057</v>
      </c>
      <c r="AV69" s="133">
        <v>0.96767713873734962</v>
      </c>
      <c r="AW69" s="133">
        <v>0.67645737636666958</v>
      </c>
      <c r="AX69" s="133">
        <v>0.54902997089297689</v>
      </c>
    </row>
    <row r="70" spans="1:50" ht="30" customHeight="1">
      <c r="A70" s="135" t="s">
        <v>53</v>
      </c>
      <c r="B70" s="133">
        <v>0.2773512533724688</v>
      </c>
      <c r="C70" s="133">
        <v>0.17499126727732661</v>
      </c>
      <c r="D70" s="133">
        <v>0.32012690595004989</v>
      </c>
      <c r="E70" s="133">
        <v>0.59653714180398654</v>
      </c>
      <c r="F70" s="133">
        <v>0.78828509635437294</v>
      </c>
      <c r="G70" s="133">
        <v>4.3548171249270462E-2</v>
      </c>
      <c r="H70" s="133">
        <v>0.54382180945326575</v>
      </c>
      <c r="I70" s="133">
        <v>0.38829099400112976</v>
      </c>
      <c r="J70" s="133">
        <v>0.14362897741098957</v>
      </c>
      <c r="K70" s="133">
        <v>0.14341776953691898</v>
      </c>
      <c r="L70" s="133">
        <v>0.3771989525447188</v>
      </c>
      <c r="M70" s="133">
        <v>3.949143483754769E-2</v>
      </c>
      <c r="N70" s="133">
        <v>3.914064946261131E-2</v>
      </c>
      <c r="O70" s="133">
        <v>3.7383329219588202E-2</v>
      </c>
      <c r="P70" s="133">
        <v>0.82741615822476988</v>
      </c>
      <c r="Q70" s="133">
        <v>0.23807911712500207</v>
      </c>
      <c r="R70" s="133">
        <v>0.29631369804539165</v>
      </c>
      <c r="S70" s="133">
        <v>0.87279427157926803</v>
      </c>
      <c r="T70" s="133">
        <v>0.78654753741591366</v>
      </c>
      <c r="U70" s="133">
        <v>0.94642287759411481</v>
      </c>
      <c r="V70" s="133">
        <v>0.64330881879058688</v>
      </c>
      <c r="W70" s="133">
        <v>0.83291237751158809</v>
      </c>
      <c r="X70" s="133">
        <v>0.53521594499192204</v>
      </c>
      <c r="Y70" s="133">
        <v>0.84303532778369994</v>
      </c>
      <c r="Z70" s="133">
        <v>0.54234036832757682</v>
      </c>
      <c r="AA70" s="133">
        <v>0.78723707515899366</v>
      </c>
      <c r="AB70" s="133">
        <v>0.98961415315177559</v>
      </c>
      <c r="AC70" s="133">
        <v>0.30231595294923808</v>
      </c>
      <c r="AD70" s="133">
        <v>0.85044158026420158</v>
      </c>
      <c r="AE70" s="133">
        <v>0.93745314456334194</v>
      </c>
      <c r="AF70" s="133">
        <v>0.77154992764434149</v>
      </c>
      <c r="AG70" s="133">
        <v>0.25788276904073892</v>
      </c>
      <c r="AH70" s="133">
        <v>0.97516123140171274</v>
      </c>
      <c r="AI70" s="133">
        <v>0.37224790664327989</v>
      </c>
      <c r="AJ70" s="133">
        <v>0.51193868826650513</v>
      </c>
      <c r="AK70" s="133">
        <v>0.6798777142907334</v>
      </c>
      <c r="AL70" s="133">
        <v>0.46095182045126759</v>
      </c>
      <c r="AM70" s="133">
        <v>0.19449060372367521</v>
      </c>
      <c r="AN70" s="133">
        <v>0.81833375417913123</v>
      </c>
      <c r="AO70" s="133">
        <v>0.3108777146884667</v>
      </c>
      <c r="AP70" s="133">
        <v>0.49435291903017475</v>
      </c>
      <c r="AQ70" s="133">
        <v>0.98422856031045058</v>
      </c>
      <c r="AR70" s="133">
        <v>0.33302496393969383</v>
      </c>
      <c r="AS70" s="133">
        <v>0.34831614319838833</v>
      </c>
      <c r="AT70" s="133">
        <v>0.37388438209339936</v>
      </c>
      <c r="AU70" s="133">
        <v>0.30883855985540587</v>
      </c>
      <c r="AV70" s="133">
        <v>0.58993625498816549</v>
      </c>
      <c r="AW70" s="133">
        <v>0.18109942837636472</v>
      </c>
      <c r="AX70" s="133">
        <v>0.36607617848647656</v>
      </c>
    </row>
    <row r="71" spans="1:50" ht="30" customHeight="1">
      <c r="A71" s="135" t="s">
        <v>146</v>
      </c>
      <c r="B71" s="133">
        <v>0.52055871809975762</v>
      </c>
      <c r="C71" s="133">
        <v>0.3550682780326504</v>
      </c>
      <c r="D71" s="133">
        <v>0.45629525820267836</v>
      </c>
      <c r="E71" s="133">
        <v>0.15284252678410903</v>
      </c>
      <c r="F71" s="133">
        <v>7.0711349763813436E-2</v>
      </c>
      <c r="G71" s="133">
        <v>0.38445900221988949</v>
      </c>
      <c r="H71" s="133">
        <v>0.13295823874575707</v>
      </c>
      <c r="I71" s="133">
        <v>0.28890472467005845</v>
      </c>
      <c r="J71" s="133">
        <v>0.16261146087780731</v>
      </c>
      <c r="K71" s="133">
        <v>0.6385447838393421</v>
      </c>
      <c r="L71" s="133">
        <v>0.94136456115037925</v>
      </c>
      <c r="M71" s="133">
        <v>0.68865641422210544</v>
      </c>
      <c r="N71" s="133">
        <v>0.95406173972399733</v>
      </c>
      <c r="O71" s="133">
        <v>0.7084839029806328</v>
      </c>
      <c r="P71" s="133">
        <v>0.83504497410042677</v>
      </c>
      <c r="Q71" s="133">
        <v>0.4703137334765698</v>
      </c>
      <c r="R71" s="133">
        <v>0.6185578521437064</v>
      </c>
      <c r="S71" s="133">
        <v>0.44130124815559679</v>
      </c>
      <c r="T71" s="133">
        <v>1.4285792510058681E-2</v>
      </c>
      <c r="U71" s="133">
        <v>0.34815267302367081</v>
      </c>
      <c r="V71" s="133">
        <v>4.0141503943225798E-2</v>
      </c>
      <c r="W71" s="133">
        <v>0.62742485454124997</v>
      </c>
      <c r="X71" s="133">
        <v>0.47888242580394336</v>
      </c>
      <c r="Y71" s="133">
        <v>0.72062862435840713</v>
      </c>
      <c r="Z71" s="133">
        <v>1.4194438605669046E-2</v>
      </c>
      <c r="AA71" s="133">
        <v>0.15712946838334418</v>
      </c>
      <c r="AB71" s="133">
        <v>0.42205301274283014</v>
      </c>
      <c r="AC71" s="133">
        <v>0.99351884335373175</v>
      </c>
      <c r="AD71" s="133">
        <v>0.45800390513914369</v>
      </c>
      <c r="AE71" s="133">
        <v>0.33723942630464354</v>
      </c>
      <c r="AF71" s="133">
        <v>1.760906886804392E-2</v>
      </c>
      <c r="AG71" s="133">
        <v>5.4079419769553549E-2</v>
      </c>
      <c r="AH71" s="133">
        <v>0.20803110302566119</v>
      </c>
      <c r="AI71" s="133">
        <v>0.27417913229560065</v>
      </c>
      <c r="AJ71" s="133">
        <v>7.8157708358480571E-2</v>
      </c>
      <c r="AK71" s="133">
        <v>0.27302905720107418</v>
      </c>
      <c r="AL71" s="133">
        <v>0.99074270975319312</v>
      </c>
      <c r="AM71" s="133">
        <v>0.37928385402560427</v>
      </c>
      <c r="AN71" s="133">
        <v>0.72666933317512261</v>
      </c>
      <c r="AO71" s="133">
        <v>0.48155802542898307</v>
      </c>
      <c r="AP71" s="133">
        <v>0.54041656082531231</v>
      </c>
      <c r="AQ71" s="133">
        <v>0.44312496075924857</v>
      </c>
      <c r="AR71" s="133">
        <v>0.85370457390263932</v>
      </c>
      <c r="AS71" s="133">
        <v>0.22703221468277568</v>
      </c>
      <c r="AT71" s="133">
        <v>0.246697421482999</v>
      </c>
      <c r="AU71" s="133">
        <v>0.78685100539394115</v>
      </c>
      <c r="AV71" s="133">
        <v>0.90757644174850416</v>
      </c>
      <c r="AW71" s="133">
        <v>0.28618770789825598</v>
      </c>
      <c r="AX71" s="133">
        <v>0.48987322455246662</v>
      </c>
    </row>
    <row r="72" spans="1:50" ht="30" customHeight="1">
      <c r="A72" s="135" t="s">
        <v>62</v>
      </c>
      <c r="B72" s="133">
        <v>7.4967468351429201E-2</v>
      </c>
      <c r="C72" s="133">
        <v>0.82534152357249646</v>
      </c>
      <c r="D72" s="133">
        <v>0.81459886298896567</v>
      </c>
      <c r="E72" s="133">
        <v>0.54770169273271929</v>
      </c>
      <c r="F72" s="133">
        <v>0.40606621864806625</v>
      </c>
      <c r="G72" s="133">
        <v>0.64373062470857478</v>
      </c>
      <c r="H72" s="133">
        <v>0.97164733469330511</v>
      </c>
      <c r="I72" s="133">
        <v>0.13312256636719433</v>
      </c>
      <c r="J72" s="133">
        <v>0.20109667980466794</v>
      </c>
      <c r="K72" s="133">
        <v>0.25638779504861231</v>
      </c>
      <c r="L72" s="133">
        <v>0.6351145462153297</v>
      </c>
      <c r="M72" s="133">
        <v>0.98064171376677833</v>
      </c>
      <c r="N72" s="133">
        <v>7.1118384339795115E-2</v>
      </c>
      <c r="O72" s="133">
        <v>5.5341090499638756E-4</v>
      </c>
      <c r="P72" s="133">
        <v>0.40667854693907313</v>
      </c>
      <c r="Q72" s="133">
        <v>0.35185546552298896</v>
      </c>
      <c r="R72" s="133">
        <v>2.0643611183685295E-2</v>
      </c>
      <c r="S72" s="133">
        <v>0.20025879691935422</v>
      </c>
      <c r="T72" s="133">
        <v>0.35124768559538999</v>
      </c>
      <c r="U72" s="133">
        <v>3.0261760802593241E-2</v>
      </c>
      <c r="V72" s="133">
        <v>0.55873235525701548</v>
      </c>
      <c r="W72" s="133">
        <v>2.2933554744253737E-2</v>
      </c>
      <c r="X72" s="133">
        <v>0.46508159899736967</v>
      </c>
      <c r="Y72" s="133">
        <v>0.17753301825128975</v>
      </c>
      <c r="Z72" s="133">
        <v>0.84165859083978012</v>
      </c>
      <c r="AA72" s="133">
        <v>0.66285188846123011</v>
      </c>
      <c r="AB72" s="133">
        <v>0.15202737192217963</v>
      </c>
      <c r="AC72" s="133">
        <v>0.90967954242092486</v>
      </c>
      <c r="AD72" s="133">
        <v>0.85934885455492349</v>
      </c>
      <c r="AE72" s="133">
        <v>0.83125184407241426</v>
      </c>
      <c r="AF72" s="133">
        <v>0.37752362251649874</v>
      </c>
      <c r="AG72" s="133">
        <v>0.98966895317161185</v>
      </c>
      <c r="AH72" s="133">
        <v>0.3404286940215453</v>
      </c>
      <c r="AI72" s="133">
        <v>0.16047736856689576</v>
      </c>
      <c r="AJ72" s="133">
        <v>0.18522878411803567</v>
      </c>
      <c r="AK72" s="133">
        <v>5.2622334117331637E-2</v>
      </c>
      <c r="AL72" s="133">
        <v>0.32681672007736362</v>
      </c>
      <c r="AM72" s="133">
        <v>0.43254727339235466</v>
      </c>
      <c r="AN72" s="133">
        <v>0.74410068505910221</v>
      </c>
      <c r="AO72" s="133">
        <v>0.17631382577526722</v>
      </c>
      <c r="AP72" s="133">
        <v>7.2377105073297532E-2</v>
      </c>
      <c r="AQ72" s="133">
        <v>0.82397296864689551</v>
      </c>
      <c r="AR72" s="133">
        <v>0.56055398620294483</v>
      </c>
      <c r="AS72" s="133">
        <v>0.18077154048203292</v>
      </c>
      <c r="AT72" s="133">
        <v>0.30369933163441099</v>
      </c>
      <c r="AU72" s="133">
        <v>0.16270564257551801</v>
      </c>
      <c r="AV72" s="133">
        <v>1.6134437415833536E-2</v>
      </c>
      <c r="AW72" s="133">
        <v>0.14471639002305581</v>
      </c>
      <c r="AX72" s="133">
        <v>0.2825609801042015</v>
      </c>
    </row>
    <row r="73" spans="1:50" ht="30" customHeight="1">
      <c r="A73" s="138"/>
    </row>
    <row r="74" spans="1:50" ht="30" customHeight="1">
      <c r="A74" s="137" t="s">
        <v>354</v>
      </c>
    </row>
    <row r="75" spans="1:50" ht="30" customHeight="1">
      <c r="A75" s="135" t="s">
        <v>274</v>
      </c>
      <c r="B75" s="133">
        <v>3.6035998879168418E-2</v>
      </c>
      <c r="C75" s="133">
        <v>0.98175109186223752</v>
      </c>
      <c r="D75" s="133">
        <v>0.304892137786404</v>
      </c>
      <c r="E75" s="133">
        <v>0.56038417195168022</v>
      </c>
      <c r="F75" s="133">
        <v>0.62698714158940672</v>
      </c>
      <c r="G75" s="133">
        <v>0.25831921748075726</v>
      </c>
      <c r="H75" s="133">
        <v>0.76170619499667147</v>
      </c>
      <c r="I75" s="133">
        <v>0.96924179141921807</v>
      </c>
      <c r="J75" s="133">
        <v>0.58909962443998543</v>
      </c>
      <c r="K75" s="133">
        <v>1.5959029658004109E-2</v>
      </c>
      <c r="L75" s="133">
        <v>0.8115298340966095</v>
      </c>
      <c r="M75" s="133">
        <v>0.53673501087872866</v>
      </c>
      <c r="N75" s="133">
        <v>0.58329857825986542</v>
      </c>
      <c r="O75" s="133">
        <v>0.43653105933722136</v>
      </c>
      <c r="P75" s="133">
        <v>0.66856228450160227</v>
      </c>
      <c r="Q75" s="133">
        <v>0.73070860984441577</v>
      </c>
      <c r="R75" s="133">
        <v>1.2515231168188645E-2</v>
      </c>
      <c r="S75" s="133">
        <v>0.5965168885926182</v>
      </c>
      <c r="T75" s="133">
        <v>0.49656090994599533</v>
      </c>
      <c r="U75" s="133">
        <v>0.93887823322323405</v>
      </c>
      <c r="V75" s="133">
        <v>0.41683041283830546</v>
      </c>
      <c r="W75" s="133">
        <v>0.77799606937902877</v>
      </c>
      <c r="X75" s="133">
        <v>0.45487082633767739</v>
      </c>
      <c r="Y75" s="133">
        <v>0.65547387719945827</v>
      </c>
      <c r="Z75" s="133">
        <v>0.58500221120837903</v>
      </c>
      <c r="AA75" s="133">
        <v>0.15845133248554277</v>
      </c>
      <c r="AB75" s="133">
        <v>0.10392658993086568</v>
      </c>
      <c r="AC75" s="133">
        <v>2.1841718982881231E-2</v>
      </c>
      <c r="AD75" s="133">
        <v>0.62064031325367164</v>
      </c>
      <c r="AE75" s="133">
        <v>0.99199358775480007</v>
      </c>
      <c r="AF75" s="133">
        <v>0.22113925764554043</v>
      </c>
      <c r="AG75" s="133">
        <v>0.3199259542191738</v>
      </c>
      <c r="AH75" s="133">
        <v>0.17635422003390644</v>
      </c>
      <c r="AI75" s="133">
        <v>0.20358856059371</v>
      </c>
      <c r="AJ75" s="133">
        <v>0.44172078154246464</v>
      </c>
      <c r="AK75" s="133">
        <v>0.27854777265563746</v>
      </c>
      <c r="AL75" s="133">
        <v>0.78881040061973373</v>
      </c>
      <c r="AM75" s="133">
        <v>0.94641680447563326</v>
      </c>
      <c r="AN75" s="133">
        <v>0.70521606587733576</v>
      </c>
      <c r="AO75" s="133">
        <v>0.15169022969773505</v>
      </c>
      <c r="AP75" s="133">
        <v>0.97844171309470507</v>
      </c>
      <c r="AQ75" s="133">
        <v>0.4029748006889029</v>
      </c>
      <c r="AR75" s="133">
        <v>0.86215339484370634</v>
      </c>
      <c r="AS75" s="133">
        <v>9.6234288677610968E-2</v>
      </c>
      <c r="AT75" s="133">
        <v>0.65783131658559058</v>
      </c>
      <c r="AU75" s="133">
        <v>0.75853767202390721</v>
      </c>
      <c r="AV75" s="133">
        <v>0.32894936550114773</v>
      </c>
      <c r="AW75" s="133">
        <v>0.2830821497269248</v>
      </c>
      <c r="AX75" s="133">
        <v>0.53261409242686153</v>
      </c>
    </row>
    <row r="76" spans="1:50" ht="30" customHeight="1">
      <c r="A76" s="135" t="s">
        <v>275</v>
      </c>
      <c r="B76" s="133">
        <v>0.3830623002246305</v>
      </c>
      <c r="C76" s="133">
        <v>0.20599718837985492</v>
      </c>
      <c r="D76" s="133">
        <v>0.80692739095724697</v>
      </c>
      <c r="E76" s="133">
        <v>0.5194464319157247</v>
      </c>
      <c r="F76" s="133">
        <v>0.78964496323640287</v>
      </c>
      <c r="G76" s="133">
        <v>0.80403915034733475</v>
      </c>
      <c r="H76" s="133">
        <v>4.0471126354265086E-2</v>
      </c>
      <c r="I76" s="133">
        <v>0.74077398357333979</v>
      </c>
      <c r="J76" s="133">
        <v>0.28283170570586258</v>
      </c>
      <c r="K76" s="133">
        <v>7.3656292598338613E-3</v>
      </c>
      <c r="L76" s="133">
        <v>0.20339030075797915</v>
      </c>
      <c r="M76" s="133">
        <v>0.72172990782514335</v>
      </c>
      <c r="N76" s="133">
        <v>0.2936400747289688</v>
      </c>
      <c r="O76" s="133">
        <v>2.4917601281583268E-3</v>
      </c>
      <c r="P76" s="133">
        <v>2.5185481417043243E-2</v>
      </c>
      <c r="Q76" s="133">
        <v>0.79714776554203592</v>
      </c>
      <c r="R76" s="133">
        <v>0.83359649721932039</v>
      </c>
      <c r="S76" s="133">
        <v>0.10858347058106876</v>
      </c>
      <c r="T76" s="133">
        <v>0.26739251874164738</v>
      </c>
      <c r="U76" s="133">
        <v>0.46157169811003296</v>
      </c>
      <c r="V76" s="133">
        <v>0.40477378988142765</v>
      </c>
      <c r="W76" s="133">
        <v>0.88704434263606091</v>
      </c>
      <c r="X76" s="133">
        <v>0.819057909329168</v>
      </c>
      <c r="Y76" s="133">
        <v>0.65030029837940528</v>
      </c>
      <c r="Z76" s="133">
        <v>0.71565621835413018</v>
      </c>
      <c r="AA76" s="133">
        <v>0.32623155369874213</v>
      </c>
      <c r="AB76" s="133">
        <v>0.679256716767354</v>
      </c>
      <c r="AC76" s="133">
        <v>0.60816729743122133</v>
      </c>
      <c r="AD76" s="133">
        <v>6.9802489663363665E-2</v>
      </c>
      <c r="AE76" s="133">
        <v>0.28751797252946709</v>
      </c>
      <c r="AF76" s="133">
        <v>0.84300964622696251</v>
      </c>
      <c r="AG76" s="133">
        <v>0.76932552629012652</v>
      </c>
      <c r="AH76" s="133">
        <v>0.61270512476999472</v>
      </c>
      <c r="AI76" s="133">
        <v>0.66127148956716941</v>
      </c>
      <c r="AJ76" s="133">
        <v>0.77646171421801613</v>
      </c>
      <c r="AK76" s="133">
        <v>0.2207616966446504</v>
      </c>
      <c r="AL76" s="133">
        <v>0.44751992618838032</v>
      </c>
      <c r="AM76" s="133">
        <v>0.26989572907938075</v>
      </c>
      <c r="AN76" s="133">
        <v>9.9666610231649799E-2</v>
      </c>
      <c r="AO76" s="133">
        <v>0.33264996155422366</v>
      </c>
      <c r="AP76" s="133">
        <v>0.1966083739214497</v>
      </c>
      <c r="AQ76" s="133">
        <v>0.34010694700859445</v>
      </c>
      <c r="AR76" s="133">
        <v>0.31316959282057644</v>
      </c>
      <c r="AS76" s="133">
        <v>0.23354897980224465</v>
      </c>
      <c r="AT76" s="133">
        <v>0.46431259115944257</v>
      </c>
      <c r="AU76" s="133">
        <v>0.7231666313391969</v>
      </c>
      <c r="AV76" s="133">
        <v>0.54095866086775812</v>
      </c>
      <c r="AW76" s="133">
        <v>0.38644374887973154</v>
      </c>
      <c r="AX76" s="133">
        <v>7.021703522562639E-2</v>
      </c>
    </row>
    <row r="77" spans="1:50" ht="30" customHeight="1">
      <c r="A77" s="135" t="s">
        <v>342</v>
      </c>
      <c r="B77" s="133">
        <v>0.62343224901495387</v>
      </c>
      <c r="C77" s="133">
        <v>0.74129197628466614</v>
      </c>
      <c r="D77" s="133">
        <v>0.20187835206099669</v>
      </c>
      <c r="E77" s="133">
        <v>0.59637149799704159</v>
      </c>
      <c r="F77" s="133">
        <v>0.25894304731486439</v>
      </c>
      <c r="G77" s="133">
        <v>0.90384249515966353</v>
      </c>
      <c r="H77" s="133">
        <v>0.50249576252338846</v>
      </c>
      <c r="I77" s="133">
        <v>0.16459332534371396</v>
      </c>
      <c r="J77" s="133">
        <v>0.36331060077896049</v>
      </c>
      <c r="K77" s="133">
        <v>0.39029871938126792</v>
      </c>
      <c r="L77" s="133">
        <v>0.19756223756077096</v>
      </c>
      <c r="M77" s="133">
        <v>0.10559931132699885</v>
      </c>
      <c r="N77" s="133">
        <v>0.53115924385409108</v>
      </c>
      <c r="O77" s="133">
        <v>0.7835568544639101</v>
      </c>
      <c r="P77" s="133">
        <v>0.94562059255582653</v>
      </c>
      <c r="Q77" s="133">
        <v>2.0791344118808897E-2</v>
      </c>
      <c r="R77" s="133">
        <v>0.60583563334899992</v>
      </c>
      <c r="S77" s="133">
        <v>0.2437626191953538</v>
      </c>
      <c r="T77" s="133">
        <v>0.53510661177943075</v>
      </c>
      <c r="U77" s="133">
        <v>0.74903416610279172</v>
      </c>
      <c r="V77" s="133">
        <v>0.7648025126303577</v>
      </c>
      <c r="W77" s="133">
        <v>0.85230484925989791</v>
      </c>
      <c r="X77" s="133">
        <v>0.77119981864263709</v>
      </c>
      <c r="Y77" s="133">
        <v>0.7303145975934201</v>
      </c>
      <c r="Z77" s="133">
        <v>0.25785847540074103</v>
      </c>
      <c r="AA77" s="133">
        <v>0.88573879674856426</v>
      </c>
      <c r="AB77" s="133">
        <v>0.66804764344616063</v>
      </c>
      <c r="AC77" s="133">
        <v>0.50522579126798772</v>
      </c>
      <c r="AD77" s="133">
        <v>0.1716853909181042</v>
      </c>
      <c r="AE77" s="133">
        <v>0.57604687805894772</v>
      </c>
      <c r="AF77" s="133">
        <v>0.21708023967779866</v>
      </c>
      <c r="AG77" s="133">
        <v>0.8701668044105938</v>
      </c>
      <c r="AH77" s="133">
        <v>0.84126753541101151</v>
      </c>
      <c r="AI77" s="133">
        <v>0.94058384349042967</v>
      </c>
      <c r="AJ77" s="133">
        <v>0.65498500158887518</v>
      </c>
      <c r="AK77" s="133">
        <v>0.23501444014082529</v>
      </c>
      <c r="AL77" s="133">
        <v>6.0726154988842374E-2</v>
      </c>
      <c r="AM77" s="133">
        <v>0.12217870280372856</v>
      </c>
      <c r="AN77" s="133">
        <v>0.73622635839435813</v>
      </c>
      <c r="AO77" s="133">
        <v>0.4449116273497008</v>
      </c>
      <c r="AP77" s="133">
        <v>0.10492152762065288</v>
      </c>
      <c r="AQ77" s="133">
        <v>0.81515273210917083</v>
      </c>
      <c r="AR77" s="133">
        <v>0.18719044263195761</v>
      </c>
      <c r="AS77" s="133">
        <v>0.95986456165757972</v>
      </c>
      <c r="AT77" s="133">
        <v>0.92600048575202765</v>
      </c>
      <c r="AU77" s="133">
        <v>0.3192470629136771</v>
      </c>
      <c r="AV77" s="133">
        <v>0.17032836223500358</v>
      </c>
      <c r="AW77" s="133">
        <v>0.16733507087848198</v>
      </c>
      <c r="AX77" s="133">
        <v>1.5346146092565238E-4</v>
      </c>
    </row>
    <row r="78" spans="1:50" ht="30" customHeight="1">
      <c r="A78" s="138"/>
    </row>
    <row r="79" spans="1:50" ht="30" customHeight="1">
      <c r="A79" s="139" t="s">
        <v>210</v>
      </c>
    </row>
    <row r="80" spans="1:50" ht="30" customHeight="1">
      <c r="A80" s="135" t="s">
        <v>26</v>
      </c>
      <c r="B80" s="133">
        <v>0.34078821523612257</v>
      </c>
      <c r="C80" s="133">
        <v>2.1836271740326985E-2</v>
      </c>
      <c r="D80" s="133">
        <v>8.4663446413008714E-2</v>
      </c>
      <c r="E80" s="133">
        <v>0.33110183173631025</v>
      </c>
      <c r="F80" s="133">
        <v>8.6409608816329087E-2</v>
      </c>
      <c r="G80" s="133">
        <v>6.7095246617825621E-2</v>
      </c>
      <c r="H80" s="133">
        <v>0.52911344339696653</v>
      </c>
      <c r="I80" s="133">
        <v>0.25863678482894237</v>
      </c>
      <c r="J80" s="133">
        <v>0.39874734447000226</v>
      </c>
      <c r="K80" s="133">
        <v>0.52006369647572726</v>
      </c>
      <c r="L80" s="133">
        <v>5.4812327203433986E-3</v>
      </c>
      <c r="M80" s="133">
        <v>0.62808427075537754</v>
      </c>
      <c r="N80" s="133">
        <v>0.51335119430081777</v>
      </c>
      <c r="O80" s="133">
        <v>0.63171813381437592</v>
      </c>
      <c r="P80" s="133">
        <v>0.60518321460665903</v>
      </c>
      <c r="Q80" s="133">
        <v>1.2955628478366288E-2</v>
      </c>
      <c r="R80" s="133">
        <v>0.91121483506742507</v>
      </c>
      <c r="S80" s="133">
        <v>0.52008609017829333</v>
      </c>
      <c r="T80" s="133">
        <v>8.214131512635825E-2</v>
      </c>
      <c r="U80" s="133">
        <v>9.3691460426110762E-2</v>
      </c>
      <c r="V80" s="133">
        <v>0.4254425252366919</v>
      </c>
      <c r="W80" s="133">
        <v>0.12202714757422584</v>
      </c>
      <c r="X80" s="133">
        <v>0.9318017254130655</v>
      </c>
      <c r="Y80" s="133">
        <v>0.18020211703300515</v>
      </c>
      <c r="Z80" s="133">
        <v>0.58641268622384124</v>
      </c>
      <c r="AA80" s="133">
        <v>0.91727444971655847</v>
      </c>
      <c r="AB80" s="133">
        <v>0.11605192470608583</v>
      </c>
      <c r="AC80" s="133">
        <v>0.73564411456706036</v>
      </c>
      <c r="AD80" s="133">
        <v>0.96907025613911701</v>
      </c>
      <c r="AE80" s="133">
        <v>0.59693699504702091</v>
      </c>
      <c r="AF80" s="133">
        <v>0.27333849955200595</v>
      </c>
      <c r="AG80" s="133">
        <v>0.64407771427031568</v>
      </c>
      <c r="AH80" s="133">
        <v>0.6019427145098557</v>
      </c>
      <c r="AI80" s="133">
        <v>0.73755002289137372</v>
      </c>
      <c r="AJ80" s="133">
        <v>0.4330518191906636</v>
      </c>
      <c r="AK80" s="133">
        <v>0.4034585501847473</v>
      </c>
      <c r="AL80" s="133">
        <v>0.36791424089450775</v>
      </c>
      <c r="AM80" s="133">
        <v>0.35366923310024967</v>
      </c>
      <c r="AN80" s="133">
        <v>0.33267341574951448</v>
      </c>
      <c r="AO80" s="133">
        <v>0.17526875215330029</v>
      </c>
      <c r="AP80" s="133">
        <v>0.48244816746253028</v>
      </c>
      <c r="AQ80" s="133">
        <v>0.42974261491418875</v>
      </c>
      <c r="AR80" s="133">
        <v>6.6218807572101523E-2</v>
      </c>
      <c r="AS80" s="133">
        <v>0.82836105214984823</v>
      </c>
      <c r="AT80" s="133">
        <v>0.39666743433991902</v>
      </c>
      <c r="AU80" s="133">
        <v>4.0728405689991032E-2</v>
      </c>
      <c r="AV80" s="133">
        <v>0.72589285082545563</v>
      </c>
      <c r="AW80" s="133">
        <v>0.87494669496238653</v>
      </c>
      <c r="AX80" s="133">
        <v>0.34298000809355755</v>
      </c>
    </row>
    <row r="81" spans="1:50" ht="30" customHeight="1">
      <c r="A81" s="135" t="s">
        <v>29</v>
      </c>
      <c r="B81" s="133">
        <v>0.31892105819089511</v>
      </c>
      <c r="C81" s="133">
        <v>2.867770838657302E-2</v>
      </c>
      <c r="D81" s="133">
        <v>8.834837149993291E-2</v>
      </c>
      <c r="E81" s="133">
        <v>0.80989304288268071</v>
      </c>
      <c r="F81" s="133">
        <v>4.3451539569797637E-3</v>
      </c>
      <c r="G81" s="133">
        <v>0.27171740515198672</v>
      </c>
      <c r="H81" s="133">
        <v>0.38284530767614811</v>
      </c>
      <c r="I81" s="133">
        <v>0.62913019249301694</v>
      </c>
      <c r="J81" s="133">
        <v>0.71653481780878714</v>
      </c>
      <c r="K81" s="133">
        <v>0.53551780265791582</v>
      </c>
      <c r="L81" s="133">
        <v>0.82761840247204221</v>
      </c>
      <c r="M81" s="133">
        <v>0.11080279998683529</v>
      </c>
      <c r="N81" s="133">
        <v>0.76184090204212385</v>
      </c>
      <c r="O81" s="133">
        <v>0.97335024858722219</v>
      </c>
      <c r="P81" s="133">
        <v>0.46234953280237845</v>
      </c>
      <c r="Q81" s="133">
        <v>0.89560950824887531</v>
      </c>
      <c r="R81" s="133">
        <v>0.82132787801855434</v>
      </c>
      <c r="S81" s="133">
        <v>0.90099085353671338</v>
      </c>
      <c r="T81" s="133">
        <v>0.727002139396008</v>
      </c>
      <c r="U81" s="133">
        <v>0.91058059155043125</v>
      </c>
      <c r="V81" s="133">
        <v>0.33617134858086295</v>
      </c>
      <c r="W81" s="133">
        <v>0.28937685074405528</v>
      </c>
      <c r="X81" s="133">
        <v>0.57089747827020176</v>
      </c>
      <c r="Y81" s="133">
        <v>0.11228004428850957</v>
      </c>
      <c r="Z81" s="133">
        <v>0.8744626302439823</v>
      </c>
      <c r="AA81" s="133">
        <v>0.18139239001949126</v>
      </c>
      <c r="AB81" s="133">
        <v>0.25547504494670736</v>
      </c>
      <c r="AC81" s="133">
        <v>0.86248125356572436</v>
      </c>
      <c r="AD81" s="133">
        <v>0.64029747597823572</v>
      </c>
      <c r="AE81" s="133">
        <v>0.32936597070516249</v>
      </c>
      <c r="AF81" s="133">
        <v>0.35703173252023468</v>
      </c>
      <c r="AG81" s="133">
        <v>0.26883040156547866</v>
      </c>
      <c r="AH81" s="133">
        <v>0.14788752552023432</v>
      </c>
      <c r="AI81" s="133">
        <v>4.6917932138813345E-2</v>
      </c>
      <c r="AJ81" s="133">
        <v>0.36400888866157222</v>
      </c>
      <c r="AK81" s="133">
        <v>0.59550604341011348</v>
      </c>
      <c r="AL81" s="133">
        <v>0.73486010205469598</v>
      </c>
      <c r="AM81" s="133">
        <v>0.50335474127631596</v>
      </c>
      <c r="AN81" s="133">
        <v>0.13587014054889168</v>
      </c>
      <c r="AO81" s="133">
        <v>0.23809181510553368</v>
      </c>
      <c r="AP81" s="133">
        <v>0.82852145036065705</v>
      </c>
      <c r="AQ81" s="133">
        <v>0.40125210138525358</v>
      </c>
      <c r="AR81" s="133">
        <v>0.6421353185394223</v>
      </c>
      <c r="AS81" s="133">
        <v>0.59234982031162597</v>
      </c>
      <c r="AT81" s="133">
        <v>0.27326192593264931</v>
      </c>
      <c r="AU81" s="133">
        <v>0.6911739075362886</v>
      </c>
      <c r="AV81" s="133">
        <v>0.73612385744613928</v>
      </c>
      <c r="AW81" s="133">
        <v>0.62735177021620581</v>
      </c>
      <c r="AX81" s="133">
        <v>0.84433676262020385</v>
      </c>
    </row>
    <row r="82" spans="1:50" ht="30" customHeight="1">
      <c r="A82" s="135" t="s">
        <v>30</v>
      </c>
      <c r="B82" s="133">
        <v>0.16050944195492867</v>
      </c>
      <c r="C82" s="133">
        <v>0.48753302254874065</v>
      </c>
      <c r="D82" s="133">
        <v>0.40583607110349051</v>
      </c>
      <c r="E82" s="133">
        <v>0.99954596315687561</v>
      </c>
      <c r="F82" s="133">
        <v>0.92998606062654832</v>
      </c>
      <c r="G82" s="133">
        <v>0.49995060331478647</v>
      </c>
      <c r="H82" s="133">
        <v>0.48129830996127032</v>
      </c>
      <c r="I82" s="133">
        <v>0.32788037074525822</v>
      </c>
      <c r="J82" s="133">
        <v>0.73320241655401286</v>
      </c>
      <c r="K82" s="133">
        <v>0.5854553321784014</v>
      </c>
      <c r="L82" s="133">
        <v>0.15483790110579521</v>
      </c>
      <c r="M82" s="133">
        <v>0.78782815364933212</v>
      </c>
      <c r="N82" s="133">
        <v>0.14467530187614208</v>
      </c>
      <c r="O82" s="133">
        <v>0.562445659202917</v>
      </c>
      <c r="P82" s="133">
        <v>0.33762175380277659</v>
      </c>
      <c r="Q82" s="133">
        <v>3.3734752831119597E-2</v>
      </c>
      <c r="R82" s="133">
        <v>0.47823719427747546</v>
      </c>
      <c r="S82" s="133">
        <v>0.9089441242680617</v>
      </c>
      <c r="T82" s="133">
        <v>0.47812334370688392</v>
      </c>
      <c r="U82" s="133">
        <v>0.99042945108166591</v>
      </c>
      <c r="V82" s="133">
        <v>5.6491955250706605E-2</v>
      </c>
      <c r="W82" s="133">
        <v>0.27731831138503493</v>
      </c>
      <c r="X82" s="133">
        <v>0.65906395619636149</v>
      </c>
      <c r="Y82" s="133">
        <v>0.30045639769684429</v>
      </c>
      <c r="Z82" s="133">
        <v>0.89902251160114888</v>
      </c>
      <c r="AA82" s="133">
        <v>2.7929882687546259E-2</v>
      </c>
      <c r="AB82" s="133">
        <v>0.65155986064536053</v>
      </c>
      <c r="AC82" s="133">
        <v>2.4934928391546429E-2</v>
      </c>
      <c r="AD82" s="133">
        <v>0.19340472048748525</v>
      </c>
      <c r="AE82" s="133">
        <v>0.94973020572584699</v>
      </c>
      <c r="AF82" s="133">
        <v>0.97757726390893107</v>
      </c>
      <c r="AG82" s="133">
        <v>0.39421581105012948</v>
      </c>
      <c r="AH82" s="133">
        <v>0.94650332317040053</v>
      </c>
      <c r="AI82" s="133">
        <v>0.94122708911566422</v>
      </c>
      <c r="AJ82" s="133">
        <v>0.72897631894823101</v>
      </c>
      <c r="AK82" s="133">
        <v>0.65154343279310734</v>
      </c>
      <c r="AL82" s="133">
        <v>0.21310951637485398</v>
      </c>
      <c r="AM82" s="133">
        <v>0.97339809888173723</v>
      </c>
      <c r="AN82" s="133">
        <v>0.10774198315697348</v>
      </c>
      <c r="AO82" s="133">
        <v>0.89715704232090066</v>
      </c>
      <c r="AP82" s="133">
        <v>0.52291401586518116</v>
      </c>
      <c r="AQ82" s="133">
        <v>0.22188885230272337</v>
      </c>
      <c r="AR82" s="133">
        <v>0.66577929898476895</v>
      </c>
      <c r="AS82" s="133">
        <v>0.1467955480308536</v>
      </c>
      <c r="AT82" s="133">
        <v>0.21392344144395825</v>
      </c>
      <c r="AU82" s="133">
        <v>0.68027060129805816</v>
      </c>
      <c r="AV82" s="133">
        <v>0.29544154280733403</v>
      </c>
      <c r="AW82" s="133">
        <v>0.95246533239500986</v>
      </c>
      <c r="AX82" s="133">
        <v>0.50036994114384303</v>
      </c>
    </row>
    <row r="83" spans="1:50" ht="30" customHeight="1">
      <c r="A83" s="135" t="s">
        <v>33</v>
      </c>
      <c r="B83" s="133">
        <v>0.16296058826147253</v>
      </c>
      <c r="C83" s="133">
        <v>0.85779206688941034</v>
      </c>
      <c r="D83" s="133">
        <v>0.42954019778254204</v>
      </c>
      <c r="E83" s="133">
        <v>0.60993881093238977</v>
      </c>
      <c r="F83" s="133">
        <v>0.99165380865398556</v>
      </c>
      <c r="G83" s="133">
        <v>0.25011811425782737</v>
      </c>
      <c r="H83" s="133">
        <v>6.449427519122819E-2</v>
      </c>
      <c r="I83" s="133">
        <v>0.26852463365891621</v>
      </c>
      <c r="J83" s="133">
        <v>0.79176768383780538</v>
      </c>
      <c r="K83" s="133">
        <v>0.60380428570689182</v>
      </c>
      <c r="L83" s="133">
        <v>0.10040996286463988</v>
      </c>
      <c r="M83" s="133">
        <v>0.81908825951036524</v>
      </c>
      <c r="N83" s="133">
        <v>0.98376154725270104</v>
      </c>
      <c r="O83" s="133">
        <v>0.75534892632119155</v>
      </c>
      <c r="P83" s="133">
        <v>0.87464080126790078</v>
      </c>
      <c r="Q83" s="133">
        <v>0.65651536831671942</v>
      </c>
      <c r="R83" s="133">
        <v>0.30337035212774754</v>
      </c>
      <c r="S83" s="133">
        <v>0.84688087244352617</v>
      </c>
      <c r="T83" s="133">
        <v>0.27310266008242901</v>
      </c>
      <c r="U83" s="133">
        <v>5.6908155329383314E-2</v>
      </c>
      <c r="V83" s="133">
        <v>0.68073239305988176</v>
      </c>
      <c r="W83" s="133">
        <v>5.3917973605019487E-2</v>
      </c>
      <c r="X83" s="133">
        <v>0.6532560791509141</v>
      </c>
      <c r="Y83" s="133">
        <v>0.18388695864609328</v>
      </c>
      <c r="Z83" s="133">
        <v>0.33481004597947306</v>
      </c>
      <c r="AA83" s="133">
        <v>9.2441651767793953E-4</v>
      </c>
      <c r="AB83" s="133">
        <v>0.37658342374217624</v>
      </c>
      <c r="AC83" s="133">
        <v>0.91664473592622564</v>
      </c>
      <c r="AD83" s="133">
        <v>0.80174172496463136</v>
      </c>
      <c r="AE83" s="133">
        <v>0.31049208874521017</v>
      </c>
      <c r="AF83" s="133">
        <v>0.10427911860112093</v>
      </c>
      <c r="AG83" s="133">
        <v>0.36714735990025804</v>
      </c>
      <c r="AH83" s="133">
        <v>0.83816459626782602</v>
      </c>
      <c r="AI83" s="133">
        <v>0.82675212765922279</v>
      </c>
      <c r="AJ83" s="133">
        <v>0.47660399109721929</v>
      </c>
      <c r="AK83" s="133">
        <v>4.7022718720356127E-2</v>
      </c>
      <c r="AL83" s="133">
        <v>0.96671540205434214</v>
      </c>
      <c r="AM83" s="133">
        <v>0.38630278470318913</v>
      </c>
      <c r="AN83" s="133">
        <v>0.69387545618130142</v>
      </c>
      <c r="AO83" s="133">
        <v>0.14255940544069234</v>
      </c>
      <c r="AP83" s="133">
        <v>0.7388739416613237</v>
      </c>
      <c r="AQ83" s="133">
        <v>0.96707063839137963</v>
      </c>
      <c r="AR83" s="133">
        <v>0.30290299011911437</v>
      </c>
      <c r="AS83" s="133">
        <v>0.85105478055624528</v>
      </c>
      <c r="AT83" s="133">
        <v>2.4253615651801286E-2</v>
      </c>
      <c r="AU83" s="133">
        <v>0.92439625572162876</v>
      </c>
      <c r="AV83" s="133">
        <v>0.59228290228671965</v>
      </c>
      <c r="AW83" s="133">
        <v>0.49923750223304975</v>
      </c>
      <c r="AX83" s="133">
        <v>0.50024198653633434</v>
      </c>
    </row>
    <row r="84" spans="1:50" ht="30" customHeight="1">
      <c r="A84" s="135" t="s">
        <v>34</v>
      </c>
      <c r="B84" s="133">
        <v>9.1847781280168794E-2</v>
      </c>
      <c r="C84" s="133">
        <v>0.39918813348765592</v>
      </c>
      <c r="D84" s="133">
        <v>0.14134653979958145</v>
      </c>
      <c r="E84" s="133">
        <v>0.82181534784380916</v>
      </c>
      <c r="F84" s="133">
        <v>0.66495783202209369</v>
      </c>
      <c r="G84" s="133">
        <v>0.83923815631947607</v>
      </c>
      <c r="H84" s="133">
        <v>0.39331369527412119</v>
      </c>
      <c r="I84" s="133">
        <v>0.88673547563635258</v>
      </c>
      <c r="J84" s="133">
        <v>0.9442672247159114</v>
      </c>
      <c r="K84" s="133">
        <v>0.98758054906943848</v>
      </c>
      <c r="L84" s="133">
        <v>0.7097144206183178</v>
      </c>
      <c r="M84" s="133">
        <v>0.66574692551575976</v>
      </c>
      <c r="N84" s="133">
        <v>0.2319768259172359</v>
      </c>
      <c r="O84" s="133">
        <v>0.72355897786118129</v>
      </c>
      <c r="P84" s="133">
        <v>2.6911256445700804E-3</v>
      </c>
      <c r="Q84" s="133">
        <v>0.38631484469441646</v>
      </c>
      <c r="R84" s="133">
        <v>0.97341918417831463</v>
      </c>
      <c r="S84" s="133">
        <v>0.20235176847199787</v>
      </c>
      <c r="T84" s="133">
        <v>0.80728358221915664</v>
      </c>
      <c r="U84" s="133">
        <v>2.6941654271073312E-2</v>
      </c>
      <c r="V84" s="133">
        <v>0.73512908977580471</v>
      </c>
      <c r="W84" s="133">
        <v>0.73479693491279341</v>
      </c>
      <c r="X84" s="133">
        <v>0.18855140822531324</v>
      </c>
      <c r="Y84" s="133">
        <v>0.80875907218444154</v>
      </c>
      <c r="Z84" s="133">
        <v>0.73280978159163268</v>
      </c>
      <c r="AA84" s="133">
        <v>0.1232700648703875</v>
      </c>
      <c r="AB84" s="133">
        <v>0.43135285839193305</v>
      </c>
      <c r="AC84" s="133">
        <v>0.27538412308638716</v>
      </c>
      <c r="AD84" s="133">
        <v>0.54497325932914931</v>
      </c>
      <c r="AE84" s="133">
        <v>0.13654218792870032</v>
      </c>
      <c r="AF84" s="133">
        <v>0.80734071601044466</v>
      </c>
      <c r="AG84" s="133">
        <v>0.25444818007706593</v>
      </c>
      <c r="AH84" s="133">
        <v>0.8053387133945904</v>
      </c>
      <c r="AI84" s="133">
        <v>9.5269239260412308E-2</v>
      </c>
      <c r="AJ84" s="133">
        <v>0.55656012251353271</v>
      </c>
      <c r="AK84" s="133">
        <v>0.78816388512971525</v>
      </c>
      <c r="AL84" s="133">
        <v>0.20427303498504212</v>
      </c>
      <c r="AM84" s="133">
        <v>0.47099257719512344</v>
      </c>
      <c r="AN84" s="133">
        <v>0.294610566048088</v>
      </c>
      <c r="AO84" s="133">
        <v>0.45693224973057955</v>
      </c>
      <c r="AP84" s="133">
        <v>0.55992211269422831</v>
      </c>
      <c r="AQ84" s="133">
        <v>0.14625067063221231</v>
      </c>
      <c r="AR84" s="133">
        <v>0.29447030466375712</v>
      </c>
      <c r="AS84" s="133">
        <v>0.47009780895450592</v>
      </c>
      <c r="AT84" s="133">
        <v>0.44979227593399351</v>
      </c>
      <c r="AU84" s="133">
        <v>0.14707618544073575</v>
      </c>
      <c r="AV84" s="133">
        <v>0.5772465099311892</v>
      </c>
      <c r="AW84" s="133">
        <v>6.551491300058665E-2</v>
      </c>
      <c r="AX84" s="133">
        <v>0.67634103636341669</v>
      </c>
    </row>
    <row r="85" spans="1:50" ht="30" customHeight="1">
      <c r="A85" s="135" t="s">
        <v>35</v>
      </c>
      <c r="B85" s="133">
        <v>0.37920744066038348</v>
      </c>
      <c r="C85" s="133">
        <v>0.56418843866687585</v>
      </c>
      <c r="D85" s="133">
        <v>0.74962960527679645</v>
      </c>
      <c r="E85" s="133">
        <v>0.74249177097142816</v>
      </c>
      <c r="F85" s="133">
        <v>0.80489488892072336</v>
      </c>
      <c r="G85" s="133">
        <v>0.47813500302455259</v>
      </c>
      <c r="H85" s="133">
        <v>0.95154879989920182</v>
      </c>
      <c r="I85" s="133">
        <v>0.62279415052068654</v>
      </c>
      <c r="J85" s="133">
        <v>0.23503742739771938</v>
      </c>
      <c r="K85" s="133">
        <v>0.42902762052908394</v>
      </c>
      <c r="L85" s="133">
        <v>0.38090468058700633</v>
      </c>
      <c r="M85" s="133">
        <v>0.27274437834747067</v>
      </c>
      <c r="N85" s="133">
        <v>0.67933720846251844</v>
      </c>
      <c r="O85" s="133">
        <v>0.93907360294058995</v>
      </c>
      <c r="P85" s="133">
        <v>0.61160891068617229</v>
      </c>
      <c r="Q85" s="133">
        <v>0.14568445546214448</v>
      </c>
      <c r="R85" s="133">
        <v>0.50481295308057439</v>
      </c>
      <c r="S85" s="133">
        <v>0.44382234201611814</v>
      </c>
      <c r="T85" s="133">
        <v>0.78141308218085304</v>
      </c>
      <c r="U85" s="133">
        <v>0.52312695147666255</v>
      </c>
      <c r="V85" s="133">
        <v>0.41223158105130597</v>
      </c>
      <c r="W85" s="133">
        <v>0.93967785484843891</v>
      </c>
      <c r="X85" s="133">
        <v>0.55336142180085046</v>
      </c>
      <c r="Y85" s="133">
        <v>0.18975439895256818</v>
      </c>
      <c r="Z85" s="133">
        <v>0.36301548154037677</v>
      </c>
      <c r="AA85" s="133">
        <v>0.80671334286859808</v>
      </c>
      <c r="AB85" s="133">
        <v>0.22245748636351359</v>
      </c>
      <c r="AC85" s="133">
        <v>0.73691443805934198</v>
      </c>
      <c r="AD85" s="133">
        <v>0.32138489002908333</v>
      </c>
      <c r="AE85" s="133">
        <v>3.1662786164317724E-2</v>
      </c>
      <c r="AF85" s="133">
        <v>0.84555396102871061</v>
      </c>
      <c r="AG85" s="133">
        <v>0.26986692670948309</v>
      </c>
      <c r="AH85" s="133">
        <v>6.5701291956354879E-3</v>
      </c>
      <c r="AI85" s="133">
        <v>0.62582081747548246</v>
      </c>
      <c r="AJ85" s="133">
        <v>0.13585357979594215</v>
      </c>
      <c r="AK85" s="133">
        <v>0.69783009749730929</v>
      </c>
      <c r="AL85" s="133">
        <v>0.26271737848183863</v>
      </c>
      <c r="AM85" s="133">
        <v>0.34531116991384281</v>
      </c>
      <c r="AN85" s="133">
        <v>0.40224156001941125</v>
      </c>
      <c r="AO85" s="133">
        <v>0.44323703130915371</v>
      </c>
      <c r="AP85" s="133">
        <v>0.9906019288089658</v>
      </c>
      <c r="AQ85" s="133">
        <v>0.97661891968275349</v>
      </c>
      <c r="AR85" s="133">
        <v>0.64796695751768363</v>
      </c>
      <c r="AS85" s="133">
        <v>0.10859678122992555</v>
      </c>
      <c r="AT85" s="133">
        <v>0.40919221954331997</v>
      </c>
      <c r="AU85" s="133">
        <v>0.71063242689934503</v>
      </c>
      <c r="AV85" s="133">
        <v>0.38091940174497807</v>
      </c>
      <c r="AW85" s="133">
        <v>0.44006170505006181</v>
      </c>
      <c r="AX85" s="133">
        <v>0.36203649555350115</v>
      </c>
    </row>
    <row r="86" spans="1:50" ht="30" customHeight="1">
      <c r="A86" s="135" t="s">
        <v>36</v>
      </c>
      <c r="B86" s="133">
        <v>0.94671191119753917</v>
      </c>
      <c r="C86" s="133">
        <v>0.19193214426715544</v>
      </c>
      <c r="D86" s="133">
        <v>0.9894294293872411</v>
      </c>
      <c r="E86" s="133">
        <v>0.27002505657627029</v>
      </c>
      <c r="F86" s="133">
        <v>0.58923071810613081</v>
      </c>
      <c r="G86" s="133">
        <v>0.91122339701866861</v>
      </c>
      <c r="H86" s="133">
        <v>0.60103334472697589</v>
      </c>
      <c r="I86" s="133">
        <v>9.0327400868755903E-2</v>
      </c>
      <c r="J86" s="133">
        <v>0.30522668361887439</v>
      </c>
      <c r="K86" s="133">
        <v>0.68960236972247702</v>
      </c>
      <c r="L86" s="133">
        <v>0.77907750870682502</v>
      </c>
      <c r="M86" s="133">
        <v>0.84856093795776766</v>
      </c>
      <c r="N86" s="133">
        <v>0.16366247835634218</v>
      </c>
      <c r="O86" s="133">
        <v>0.65613963106795037</v>
      </c>
      <c r="P86" s="133">
        <v>0.34799440294334916</v>
      </c>
      <c r="Q86" s="133">
        <v>0.93242506255001223</v>
      </c>
      <c r="R86" s="133">
        <v>0.15837249085045146</v>
      </c>
      <c r="S86" s="133">
        <v>0.68921142503345212</v>
      </c>
      <c r="T86" s="133">
        <v>0.55224954557200345</v>
      </c>
      <c r="U86" s="133">
        <v>0.18648891681421109</v>
      </c>
      <c r="V86" s="133">
        <v>0.67919720392594907</v>
      </c>
      <c r="W86" s="133">
        <v>0.16360254910713035</v>
      </c>
      <c r="X86" s="133">
        <v>0.75341874388788943</v>
      </c>
      <c r="Y86" s="133">
        <v>0.56263888119736105</v>
      </c>
      <c r="Z86" s="133">
        <v>0.67323462248992694</v>
      </c>
      <c r="AA86" s="133">
        <v>0.79698775855452297</v>
      </c>
      <c r="AB86" s="133">
        <v>0.31553181049274703</v>
      </c>
      <c r="AC86" s="133">
        <v>0.792939691005764</v>
      </c>
      <c r="AD86" s="133">
        <v>0.77196364541326112</v>
      </c>
      <c r="AE86" s="133">
        <v>0.95705848468191512</v>
      </c>
      <c r="AF86" s="133">
        <v>0.1936766160804112</v>
      </c>
      <c r="AG86" s="133">
        <v>0.73624207336494996</v>
      </c>
      <c r="AH86" s="133">
        <v>0.87387872430292113</v>
      </c>
      <c r="AI86" s="133">
        <v>0.63154860036196703</v>
      </c>
      <c r="AJ86" s="133">
        <v>0.60287275768469983</v>
      </c>
      <c r="AK86" s="133">
        <v>0.89011508719802079</v>
      </c>
      <c r="AL86" s="133">
        <v>0.14696432883018162</v>
      </c>
      <c r="AM86" s="133">
        <v>0.267041789823384</v>
      </c>
      <c r="AN86" s="133">
        <v>0.75708551228248633</v>
      </c>
      <c r="AO86" s="133">
        <v>0.65124610046673304</v>
      </c>
      <c r="AP86" s="133">
        <v>0.82093223450451658</v>
      </c>
      <c r="AQ86" s="133">
        <v>0.3547482882642794</v>
      </c>
      <c r="AR86" s="133">
        <v>0.46095383260909817</v>
      </c>
      <c r="AS86" s="133">
        <v>0.64516062729503532</v>
      </c>
      <c r="AT86" s="133">
        <v>0.23943821359788042</v>
      </c>
      <c r="AU86" s="133">
        <v>0.95020575097141158</v>
      </c>
      <c r="AV86" s="133">
        <v>3.658604994963599E-2</v>
      </c>
      <c r="AW86" s="133">
        <v>0.97274880834916722</v>
      </c>
      <c r="AX86" s="133">
        <v>0.63266029388399836</v>
      </c>
    </row>
    <row r="87" spans="1:50" ht="30" customHeight="1">
      <c r="A87" s="135" t="s">
        <v>37</v>
      </c>
      <c r="B87" s="133">
        <v>9.5705369913694605E-2</v>
      </c>
      <c r="C87" s="133">
        <v>0.13481049124066335</v>
      </c>
      <c r="D87" s="133">
        <v>3.2832406994943275E-2</v>
      </c>
      <c r="E87" s="133">
        <v>0.76642837169342692</v>
      </c>
      <c r="F87" s="133">
        <v>0.48521574178467619</v>
      </c>
      <c r="G87" s="133">
        <v>0.78914610572862121</v>
      </c>
      <c r="H87" s="133">
        <v>8.5534657156114746E-2</v>
      </c>
      <c r="I87" s="133">
        <v>0.15558755470734931</v>
      </c>
      <c r="J87" s="133">
        <v>0.5713706442537918</v>
      </c>
      <c r="K87" s="133">
        <v>0.46610870799599236</v>
      </c>
      <c r="L87" s="133">
        <v>0.68935147273435438</v>
      </c>
      <c r="M87" s="133">
        <v>0.20099331247146912</v>
      </c>
      <c r="N87" s="133">
        <v>0.44595374846993707</v>
      </c>
      <c r="O87" s="133">
        <v>0.83577244329711298</v>
      </c>
      <c r="P87" s="133">
        <v>0.24863383497984437</v>
      </c>
      <c r="Q87" s="133">
        <v>9.7451962516936885E-2</v>
      </c>
      <c r="R87" s="133">
        <v>0.50714410999867521</v>
      </c>
      <c r="S87" s="133">
        <v>0.57333049686739523</v>
      </c>
      <c r="T87" s="133">
        <v>2.1180708327669606E-2</v>
      </c>
      <c r="U87" s="133">
        <v>0.99393527162179018</v>
      </c>
      <c r="V87" s="133">
        <v>0.46514567069418122</v>
      </c>
      <c r="W87" s="133">
        <v>6.6473381987663283E-2</v>
      </c>
      <c r="X87" s="133">
        <v>0.43902677154059666</v>
      </c>
      <c r="Y87" s="133">
        <v>0.61110366218161771</v>
      </c>
      <c r="Z87" s="133">
        <v>0.37056568352865094</v>
      </c>
      <c r="AA87" s="133">
        <v>0.8050673985730864</v>
      </c>
      <c r="AB87" s="133">
        <v>6.5219612392555582E-2</v>
      </c>
      <c r="AC87" s="133">
        <v>0.29997962276751722</v>
      </c>
      <c r="AD87" s="133">
        <v>0.96725359100612074</v>
      </c>
      <c r="AE87" s="133">
        <v>0.1528674395244356</v>
      </c>
      <c r="AF87" s="133">
        <v>0.90164867882161415</v>
      </c>
      <c r="AG87" s="133">
        <v>0.41105556964095424</v>
      </c>
      <c r="AH87" s="133">
        <v>0.16156315092425277</v>
      </c>
      <c r="AI87" s="133">
        <v>0.64576284943681284</v>
      </c>
      <c r="AJ87" s="133">
        <v>0.32985827996040851</v>
      </c>
      <c r="AK87" s="133">
        <v>0.45260704040251831</v>
      </c>
      <c r="AL87" s="133">
        <v>0.23401546834932063</v>
      </c>
      <c r="AM87" s="133">
        <v>0.6334439094049007</v>
      </c>
      <c r="AN87" s="133">
        <v>0.46543027070123555</v>
      </c>
      <c r="AO87" s="133">
        <v>0.18103807558614804</v>
      </c>
      <c r="AP87" s="133">
        <v>0.96866427124092291</v>
      </c>
      <c r="AQ87" s="133">
        <v>6.4758980803935051E-3</v>
      </c>
      <c r="AR87" s="133">
        <v>0.84796914248120725</v>
      </c>
      <c r="AS87" s="133">
        <v>0.24029191816113527</v>
      </c>
      <c r="AT87" s="133">
        <v>0.76869629988986188</v>
      </c>
      <c r="AU87" s="133">
        <v>0.67103876622505243</v>
      </c>
      <c r="AV87" s="133">
        <v>0.46580617478963238</v>
      </c>
      <c r="AW87" s="133">
        <v>0.24559036794228783</v>
      </c>
      <c r="AX87" s="133">
        <v>5.4669997131043035E-2</v>
      </c>
    </row>
    <row r="88" spans="1:50" ht="30" customHeight="1">
      <c r="A88" s="135" t="s">
        <v>27</v>
      </c>
      <c r="B88" s="133">
        <v>1.961989382419882E-2</v>
      </c>
      <c r="C88" s="133">
        <v>0.28490461361176744</v>
      </c>
      <c r="D88" s="133">
        <v>0.36342436169689618</v>
      </c>
      <c r="E88" s="133">
        <v>0.8291854130438171</v>
      </c>
      <c r="F88" s="133">
        <v>0.129133078118705</v>
      </c>
      <c r="G88" s="133">
        <v>0.66762906009993428</v>
      </c>
      <c r="H88" s="133">
        <v>7.5575568403740578E-2</v>
      </c>
      <c r="I88" s="133">
        <v>0.76226707295669871</v>
      </c>
      <c r="J88" s="133">
        <v>0.85469714511217687</v>
      </c>
      <c r="K88" s="133">
        <v>0.62852470674376404</v>
      </c>
      <c r="L88" s="133">
        <v>0.72648951115204796</v>
      </c>
      <c r="M88" s="133">
        <v>0.68411833307889014</v>
      </c>
      <c r="N88" s="133">
        <v>0.52859567472997515</v>
      </c>
      <c r="O88" s="133">
        <v>0.46354142741136239</v>
      </c>
      <c r="P88" s="133">
        <v>7.6714969574159797E-3</v>
      </c>
      <c r="Q88" s="133">
        <v>0.14316622369724263</v>
      </c>
      <c r="R88" s="133">
        <v>0.83205520534525745</v>
      </c>
      <c r="S88" s="133">
        <v>0.76489778241197326</v>
      </c>
      <c r="T88" s="133">
        <v>0.49957811029345345</v>
      </c>
      <c r="U88" s="133">
        <v>0.51508852699423924</v>
      </c>
      <c r="V88" s="133">
        <v>0.7225307689369399</v>
      </c>
      <c r="W88" s="133">
        <v>0.98540233182829728</v>
      </c>
      <c r="X88" s="133">
        <v>0.19057346030507849</v>
      </c>
      <c r="Y88" s="133">
        <v>0.38069632949341825</v>
      </c>
      <c r="Z88" s="133">
        <v>0.50971556476287494</v>
      </c>
      <c r="AA88" s="133">
        <v>0.65275514550494163</v>
      </c>
      <c r="AB88" s="133">
        <v>7.4563242068015789E-2</v>
      </c>
      <c r="AC88" s="133">
        <v>0.54392124767255368</v>
      </c>
      <c r="AD88" s="133">
        <v>1.25941415344899E-3</v>
      </c>
      <c r="AE88" s="133">
        <v>0.66111685604242221</v>
      </c>
      <c r="AF88" s="133">
        <v>0.73445950996878639</v>
      </c>
      <c r="AG88" s="133">
        <v>0.13887461635136711</v>
      </c>
      <c r="AH88" s="133">
        <v>0.24427617785051381</v>
      </c>
      <c r="AI88" s="133">
        <v>0.99927459653552331</v>
      </c>
      <c r="AJ88" s="133">
        <v>3.1385309953966267E-3</v>
      </c>
      <c r="AK88" s="133">
        <v>0.63084901911826796</v>
      </c>
      <c r="AL88" s="133">
        <v>0.72578566315342374</v>
      </c>
      <c r="AM88" s="133">
        <v>0.19715708742369908</v>
      </c>
      <c r="AN88" s="133">
        <v>5.1168702129053889E-2</v>
      </c>
      <c r="AO88" s="133">
        <v>0.42823063336137135</v>
      </c>
      <c r="AP88" s="133">
        <v>0.83820219117021688</v>
      </c>
      <c r="AQ88" s="133">
        <v>0.79395401919015918</v>
      </c>
      <c r="AR88" s="133">
        <v>0.93387598668825167</v>
      </c>
      <c r="AS88" s="133">
        <v>0.13948091390614137</v>
      </c>
      <c r="AT88" s="133">
        <v>7.2977403195239487E-2</v>
      </c>
      <c r="AU88" s="133">
        <v>0.46129873708555336</v>
      </c>
      <c r="AV88" s="133">
        <v>0.95428485993009593</v>
      </c>
      <c r="AW88" s="133">
        <v>0.25839227301632706</v>
      </c>
      <c r="AX88" s="133">
        <v>0.23191554843718765</v>
      </c>
    </row>
    <row r="89" spans="1:50" ht="30" customHeight="1">
      <c r="A89" s="135" t="s">
        <v>32</v>
      </c>
      <c r="B89" s="133">
        <v>0.9136795944403161</v>
      </c>
      <c r="C89" s="133">
        <v>0.41962710499790101</v>
      </c>
      <c r="D89" s="133">
        <v>0.13466353290690425</v>
      </c>
      <c r="E89" s="133">
        <v>0.39997338491005041</v>
      </c>
      <c r="F89" s="133">
        <v>0.84664464242822168</v>
      </c>
      <c r="G89" s="133">
        <v>0.19204418489892972</v>
      </c>
      <c r="H89" s="133">
        <v>0.91073513769157088</v>
      </c>
      <c r="I89" s="133">
        <v>0.62723236470589327</v>
      </c>
      <c r="J89" s="133">
        <v>0.47797442464087481</v>
      </c>
      <c r="K89" s="133">
        <v>0.14882082478745073</v>
      </c>
      <c r="L89" s="133">
        <v>0.2419390007382769</v>
      </c>
      <c r="M89" s="133">
        <v>0.13274232793934859</v>
      </c>
      <c r="N89" s="133">
        <v>0.46536520542621496</v>
      </c>
      <c r="O89" s="133">
        <v>0.11845325594567169</v>
      </c>
      <c r="P89" s="133">
        <v>0.33712843295313133</v>
      </c>
      <c r="Q89" s="133">
        <v>0.55397293634743494</v>
      </c>
      <c r="R89" s="133">
        <v>4.3347927130420461E-3</v>
      </c>
      <c r="S89" s="133">
        <v>5.2159100096524469E-2</v>
      </c>
      <c r="T89" s="133">
        <v>0.77095276049091299</v>
      </c>
      <c r="U89" s="133">
        <v>0.95842640942288981</v>
      </c>
      <c r="V89" s="133">
        <v>0.61096999823829057</v>
      </c>
      <c r="W89" s="133">
        <v>0.71341960550456784</v>
      </c>
      <c r="X89" s="133">
        <v>0.24620316010204302</v>
      </c>
      <c r="Y89" s="133">
        <v>0.90718107648932977</v>
      </c>
      <c r="Z89" s="133">
        <v>0.12043710939923724</v>
      </c>
      <c r="AA89" s="133">
        <v>0.96263161615749759</v>
      </c>
      <c r="AB89" s="133">
        <v>0.9467315356031637</v>
      </c>
      <c r="AC89" s="133">
        <v>0.273824865679132</v>
      </c>
      <c r="AD89" s="133">
        <v>0.81125492287138101</v>
      </c>
      <c r="AE89" s="133">
        <v>6.6489998243284054E-2</v>
      </c>
      <c r="AF89" s="133">
        <v>0.67014876487372566</v>
      </c>
      <c r="AG89" s="133">
        <v>2.4218114960958492E-2</v>
      </c>
      <c r="AH89" s="133">
        <v>0.73040858564163746</v>
      </c>
      <c r="AI89" s="133">
        <v>0.95404469203719111</v>
      </c>
      <c r="AJ89" s="133">
        <v>0.5691007914940549</v>
      </c>
      <c r="AK89" s="133">
        <v>0.85782000000936465</v>
      </c>
      <c r="AL89" s="133">
        <v>0.16792024412555551</v>
      </c>
      <c r="AM89" s="133">
        <v>3.5711949634751328E-3</v>
      </c>
      <c r="AN89" s="133">
        <v>3.0157729476884443E-2</v>
      </c>
      <c r="AO89" s="133">
        <v>7.0751422276790543E-2</v>
      </c>
      <c r="AP89" s="133">
        <v>5.2229038278173157E-3</v>
      </c>
      <c r="AQ89" s="133">
        <v>0.19119598550567174</v>
      </c>
      <c r="AR89" s="133">
        <v>0.6612147201881603</v>
      </c>
      <c r="AS89" s="133">
        <v>0.5480495249135211</v>
      </c>
      <c r="AT89" s="133">
        <v>0.53239914099227292</v>
      </c>
      <c r="AU89" s="133">
        <v>0.31548095248730235</v>
      </c>
      <c r="AV89" s="133">
        <v>0.68261304839584591</v>
      </c>
      <c r="AW89" s="133">
        <v>0.84870238675341381</v>
      </c>
      <c r="AX89" s="133">
        <v>0.25164695987304109</v>
      </c>
    </row>
    <row r="90" spans="1:50" ht="30" customHeight="1">
      <c r="A90" s="135" t="s">
        <v>28</v>
      </c>
      <c r="B90" s="133">
        <v>0.52932876271710838</v>
      </c>
      <c r="C90" s="133">
        <v>0.74815462948300848</v>
      </c>
      <c r="D90" s="133">
        <v>0.89815945543973263</v>
      </c>
      <c r="E90" s="133">
        <v>0.1732622072502592</v>
      </c>
      <c r="F90" s="133">
        <v>0.28960653224655841</v>
      </c>
      <c r="G90" s="133">
        <v>0.2140289507199844</v>
      </c>
      <c r="H90" s="133">
        <v>0.50125103064866339</v>
      </c>
      <c r="I90" s="133">
        <v>0.30393920018068665</v>
      </c>
      <c r="J90" s="133">
        <v>0.43400100145743681</v>
      </c>
      <c r="K90" s="133">
        <v>0.34080351203174886</v>
      </c>
      <c r="L90" s="133">
        <v>0.29346775483126586</v>
      </c>
      <c r="M90" s="133">
        <v>3.4979380273278071E-2</v>
      </c>
      <c r="N90" s="133">
        <v>2.1991344296350301E-2</v>
      </c>
      <c r="O90" s="133">
        <v>0.16628702931034689</v>
      </c>
      <c r="P90" s="133">
        <v>0.1125190122559927</v>
      </c>
      <c r="Q90" s="133">
        <v>0.31489199536334855</v>
      </c>
      <c r="R90" s="133">
        <v>0.27381666590520337</v>
      </c>
      <c r="S90" s="133">
        <v>0.33694380626834364</v>
      </c>
      <c r="T90" s="133">
        <v>0.36502769210638519</v>
      </c>
      <c r="U90" s="133">
        <v>5.9163716482440454E-2</v>
      </c>
      <c r="V90" s="133">
        <v>0.96052095662675685</v>
      </c>
      <c r="W90" s="133">
        <v>0.32870676763338624</v>
      </c>
      <c r="X90" s="133">
        <v>0.51613397933975458</v>
      </c>
      <c r="Y90" s="133">
        <v>0.34588821239550027</v>
      </c>
      <c r="Z90" s="133">
        <v>0.72835081595409701</v>
      </c>
      <c r="AA90" s="133">
        <v>0.43969593679064534</v>
      </c>
      <c r="AB90" s="133">
        <v>0.22072172971908977</v>
      </c>
      <c r="AC90" s="133">
        <v>0.89130234048753809</v>
      </c>
      <c r="AD90" s="133">
        <v>0.73031137843958471</v>
      </c>
      <c r="AE90" s="133">
        <v>0.89318245917332351</v>
      </c>
      <c r="AF90" s="133">
        <v>0.21582518477208923</v>
      </c>
      <c r="AG90" s="133">
        <v>0.64887321547462573</v>
      </c>
      <c r="AH90" s="133">
        <v>0.38681825191894126</v>
      </c>
      <c r="AI90" s="133">
        <v>0.31473858979150005</v>
      </c>
      <c r="AJ90" s="133">
        <v>0.82357793137888624</v>
      </c>
      <c r="AK90" s="133">
        <v>0.81793729314941432</v>
      </c>
      <c r="AL90" s="133">
        <v>0.52492018106156313</v>
      </c>
      <c r="AM90" s="133">
        <v>0.71570939059149719</v>
      </c>
      <c r="AN90" s="133">
        <v>0.89280505606094251</v>
      </c>
      <c r="AO90" s="133">
        <v>0.43558869851863513</v>
      </c>
      <c r="AP90" s="133">
        <v>0.38725844929288766</v>
      </c>
      <c r="AQ90" s="133">
        <v>0.24801213426904822</v>
      </c>
      <c r="AR90" s="133">
        <v>0.40259520606616939</v>
      </c>
      <c r="AS90" s="133">
        <v>0.98558282642247474</v>
      </c>
      <c r="AT90" s="133">
        <v>0.86981732516032317</v>
      </c>
      <c r="AU90" s="133">
        <v>0.25183948785795707</v>
      </c>
      <c r="AV90" s="133">
        <v>0.12922039667261842</v>
      </c>
      <c r="AW90" s="133">
        <v>0.19864280599767115</v>
      </c>
      <c r="AX90" s="133">
        <v>0.24484801510879106</v>
      </c>
    </row>
    <row r="91" spans="1:50" ht="30" customHeight="1">
      <c r="A91" s="135" t="s">
        <v>31</v>
      </c>
      <c r="B91" s="133">
        <v>0.79789934461090672</v>
      </c>
      <c r="C91" s="133">
        <v>0.73849712448691485</v>
      </c>
      <c r="D91" s="133">
        <v>0.97932054773736266</v>
      </c>
      <c r="E91" s="133">
        <v>0.53038939260287798</v>
      </c>
      <c r="F91" s="133">
        <v>0.97451106308477076</v>
      </c>
      <c r="G91" s="133">
        <v>0.51068711143250056</v>
      </c>
      <c r="H91" s="133">
        <v>0.62229117989329408</v>
      </c>
      <c r="I91" s="133">
        <v>0.34887322490504802</v>
      </c>
      <c r="J91" s="133">
        <v>0.25216690155956667</v>
      </c>
      <c r="K91" s="133">
        <v>0.57864622371546137</v>
      </c>
      <c r="L91" s="133">
        <v>0.98586304399495639</v>
      </c>
      <c r="M91" s="133">
        <v>0.97616456314468136</v>
      </c>
      <c r="N91" s="133">
        <v>0.40187419547367809</v>
      </c>
      <c r="O91" s="133">
        <v>0.91262934387570105</v>
      </c>
      <c r="P91" s="133">
        <v>0.2990365377193358</v>
      </c>
      <c r="Q91" s="133">
        <v>0.98535347441358445</v>
      </c>
      <c r="R91" s="133">
        <v>0.85699980290092459</v>
      </c>
      <c r="S91" s="133">
        <v>0.86497761646571758</v>
      </c>
      <c r="T91" s="133">
        <v>0.42038345010682665</v>
      </c>
      <c r="U91" s="133">
        <v>8.6748053529037361E-2</v>
      </c>
      <c r="V91" s="133">
        <v>0.8642001508651862</v>
      </c>
      <c r="W91" s="133">
        <v>0.51929166305112084</v>
      </c>
      <c r="X91" s="133">
        <v>0.57242444876343024</v>
      </c>
      <c r="Y91" s="133">
        <v>0.76723691749350686</v>
      </c>
      <c r="Z91" s="133">
        <v>7.5946109622539781E-2</v>
      </c>
      <c r="AA91" s="133">
        <v>0.3019848014646096</v>
      </c>
      <c r="AB91" s="133">
        <v>0.2588939060493769</v>
      </c>
      <c r="AC91" s="133">
        <v>0.60766979034078428</v>
      </c>
      <c r="AD91" s="133">
        <v>0.27869783868166265</v>
      </c>
      <c r="AE91" s="133">
        <v>0.69712316837985711</v>
      </c>
      <c r="AF91" s="133">
        <v>0.26653027674056184</v>
      </c>
      <c r="AG91" s="133">
        <v>0.7374994190342492</v>
      </c>
      <c r="AH91" s="133">
        <v>0.37903657320257711</v>
      </c>
      <c r="AI91" s="133">
        <v>0.18375948298346834</v>
      </c>
      <c r="AJ91" s="133">
        <v>0.73850787948634233</v>
      </c>
      <c r="AK91" s="133">
        <v>0.47727653517547131</v>
      </c>
      <c r="AL91" s="133">
        <v>0.5848214955065183</v>
      </c>
      <c r="AM91" s="133">
        <v>0.74167954193947738</v>
      </c>
      <c r="AN91" s="133">
        <v>0.63714964359725168</v>
      </c>
      <c r="AO91" s="133">
        <v>0.22861580731513176</v>
      </c>
      <c r="AP91" s="133">
        <v>0.17642402565384152</v>
      </c>
      <c r="AQ91" s="133">
        <v>2.1050634815865887E-2</v>
      </c>
      <c r="AR91" s="133">
        <v>0.23570345622531153</v>
      </c>
      <c r="AS91" s="133">
        <v>0.14772953921063414</v>
      </c>
      <c r="AT91" s="133">
        <v>0.52206737673581349</v>
      </c>
      <c r="AU91" s="133">
        <v>0.73981317710295491</v>
      </c>
      <c r="AV91" s="133">
        <v>0.16699008345158517</v>
      </c>
      <c r="AW91" s="133">
        <v>0.17420219549664218</v>
      </c>
      <c r="AX91" s="133">
        <v>0.38939205507977337</v>
      </c>
    </row>
    <row r="92" spans="1:50" ht="30" customHeight="1">
      <c r="A92" s="137" t="s">
        <v>172</v>
      </c>
      <c r="B92" s="133">
        <v>0.99127864278734878</v>
      </c>
      <c r="C92" s="133">
        <v>0.64728267161370767</v>
      </c>
      <c r="D92" s="133">
        <v>0.99397441217079963</v>
      </c>
      <c r="E92" s="133">
        <v>0.88715324404098128</v>
      </c>
      <c r="F92" s="133">
        <v>0.27199048654889146</v>
      </c>
      <c r="G92" s="133">
        <v>0.7584455073683789</v>
      </c>
      <c r="H92" s="133">
        <v>0.17292702455503139</v>
      </c>
      <c r="I92" s="133">
        <v>0.3746979366282881</v>
      </c>
      <c r="J92" s="133">
        <v>0.70426374100568978</v>
      </c>
      <c r="K92" s="133">
        <v>0.50343579721929677</v>
      </c>
      <c r="L92" s="133">
        <v>0.71970176461086244</v>
      </c>
      <c r="M92" s="133">
        <v>0.71407363841914206</v>
      </c>
      <c r="N92" s="133">
        <v>0.10013960377447395</v>
      </c>
      <c r="O92" s="133">
        <v>0.22728812854210878</v>
      </c>
      <c r="P92" s="133">
        <v>0.73003920941084255</v>
      </c>
      <c r="Q92" s="133">
        <v>6.6866510355035769E-2</v>
      </c>
      <c r="R92" s="133">
        <v>3.6005898039380702E-2</v>
      </c>
      <c r="S92" s="133">
        <v>0.92557182639540436</v>
      </c>
      <c r="T92" s="133">
        <v>0.10303450031780348</v>
      </c>
      <c r="U92" s="133">
        <v>0.13479245957031394</v>
      </c>
      <c r="V92" s="133">
        <v>0.56330374700123242</v>
      </c>
      <c r="W92" s="133">
        <v>0.52013847743510233</v>
      </c>
      <c r="X92" s="133">
        <v>0.81213341785301407</v>
      </c>
      <c r="Y92" s="133">
        <v>0.4656981227868443</v>
      </c>
      <c r="Z92" s="133">
        <v>0.83501603606033414</v>
      </c>
      <c r="AA92" s="133">
        <v>0.37440200366575638</v>
      </c>
      <c r="AB92" s="133">
        <v>0.37741319440298071</v>
      </c>
      <c r="AC92" s="133">
        <v>4.7814352679991234E-2</v>
      </c>
      <c r="AD92" s="133">
        <v>0.71840193420008602</v>
      </c>
      <c r="AE92" s="133">
        <v>0.6733527486535289</v>
      </c>
      <c r="AF92" s="133">
        <v>0.20770169470349542</v>
      </c>
      <c r="AG92" s="133">
        <v>0.37965237524498374</v>
      </c>
      <c r="AH92" s="133">
        <v>0.23146388849011745</v>
      </c>
      <c r="AI92" s="133">
        <v>7.9102628866174141E-2</v>
      </c>
      <c r="AJ92" s="133">
        <v>0.97533588356300249</v>
      </c>
      <c r="AK92" s="133">
        <v>0.70149917918110971</v>
      </c>
      <c r="AL92" s="133">
        <v>0.57137837819944859</v>
      </c>
      <c r="AM92" s="133">
        <v>0.62377050013812774</v>
      </c>
      <c r="AN92" s="133">
        <v>0.79800403947557319</v>
      </c>
      <c r="AO92" s="133">
        <v>7.8921414463811623E-2</v>
      </c>
      <c r="AP92" s="133">
        <v>0.60920625226148306</v>
      </c>
      <c r="AQ92" s="133">
        <v>0.95035741395625506</v>
      </c>
      <c r="AR92" s="133">
        <v>0.42495990021190877</v>
      </c>
      <c r="AS92" s="133">
        <v>0.31792133195487171</v>
      </c>
      <c r="AT92" s="133">
        <v>0.99279435615311973</v>
      </c>
      <c r="AU92" s="133">
        <v>0.95941427831452408</v>
      </c>
      <c r="AV92" s="133">
        <v>0.56214717331351138</v>
      </c>
      <c r="AW92" s="133">
        <v>0.79058590679902196</v>
      </c>
      <c r="AX92" s="133">
        <v>0.79957566260858093</v>
      </c>
    </row>
    <row r="93" spans="1:50" ht="30" customHeight="1">
      <c r="A93" s="135" t="s">
        <v>173</v>
      </c>
      <c r="B93" s="133">
        <v>0.19510647571143092</v>
      </c>
      <c r="C93" s="133">
        <v>0.4535326688941218</v>
      </c>
      <c r="D93" s="133">
        <v>4.0679532243952043E-2</v>
      </c>
      <c r="E93" s="133">
        <v>0.99156379158009122</v>
      </c>
      <c r="F93" s="133">
        <v>0.2181468262279429</v>
      </c>
      <c r="G93" s="133">
        <v>0.64607280388473265</v>
      </c>
      <c r="H93" s="133">
        <v>0.38472352730569148</v>
      </c>
      <c r="I93" s="133">
        <v>0.50352725261265252</v>
      </c>
      <c r="J93" s="133">
        <v>0.1654528707173728</v>
      </c>
      <c r="K93" s="133">
        <v>0.97226513526608349</v>
      </c>
      <c r="L93" s="133">
        <v>0.67500983907796763</v>
      </c>
      <c r="M93" s="133">
        <v>0.6992734843523043</v>
      </c>
      <c r="N93" s="133">
        <v>0.59997459895942751</v>
      </c>
      <c r="O93" s="133">
        <v>0.44049985054115492</v>
      </c>
      <c r="P93" s="133">
        <v>0.98348148500783239</v>
      </c>
      <c r="Q93" s="133">
        <v>0.81290539729911615</v>
      </c>
      <c r="R93" s="133">
        <v>0.91842585465824722</v>
      </c>
      <c r="S93" s="133">
        <v>0.67237836086286606</v>
      </c>
      <c r="T93" s="133">
        <v>0.24868015342333671</v>
      </c>
      <c r="U93" s="133">
        <v>0.74291315718354656</v>
      </c>
      <c r="V93" s="133">
        <v>0.27386098055558694</v>
      </c>
      <c r="W93" s="133">
        <v>0.84468285616040861</v>
      </c>
      <c r="X93" s="133">
        <v>0.40030812943572791</v>
      </c>
      <c r="Y93" s="133">
        <v>0.37215487387181134</v>
      </c>
      <c r="Z93" s="133">
        <v>0.6996093203185576</v>
      </c>
      <c r="AA93" s="133">
        <v>0.18471116307307955</v>
      </c>
      <c r="AB93" s="133">
        <v>0.60087649341296845</v>
      </c>
      <c r="AC93" s="133">
        <v>0.30771172119387658</v>
      </c>
      <c r="AD93" s="133">
        <v>0.51437728795394844</v>
      </c>
      <c r="AE93" s="133">
        <v>0.22801890347840437</v>
      </c>
      <c r="AF93" s="133">
        <v>0.54443156857884645</v>
      </c>
      <c r="AG93" s="133">
        <v>0.50053452208292093</v>
      </c>
      <c r="AH93" s="133">
        <v>0.82203393091005883</v>
      </c>
      <c r="AI93" s="133">
        <v>0.2122071622452123</v>
      </c>
      <c r="AJ93" s="133">
        <v>0.59004220799020934</v>
      </c>
      <c r="AK93" s="133">
        <v>4.8351144406860058E-2</v>
      </c>
      <c r="AL93" s="133">
        <v>0.85063794289960737</v>
      </c>
      <c r="AM93" s="133">
        <v>0.12473194792699371</v>
      </c>
      <c r="AN93" s="133">
        <v>0.16681530163476388</v>
      </c>
      <c r="AO93" s="133">
        <v>0.67329086996529675</v>
      </c>
      <c r="AP93" s="133">
        <v>0.40280032259553433</v>
      </c>
      <c r="AQ93" s="133">
        <v>4.5439421033797833E-2</v>
      </c>
      <c r="AR93" s="133">
        <v>0.55938046196219482</v>
      </c>
      <c r="AS93" s="133">
        <v>0.46917527999475772</v>
      </c>
      <c r="AT93" s="133">
        <v>0.85046967895826109</v>
      </c>
      <c r="AU93" s="133">
        <v>0.36100370152759176</v>
      </c>
      <c r="AV93" s="133">
        <v>0.17498069581828846</v>
      </c>
      <c r="AW93" s="133">
        <v>4.9345644542833633E-2</v>
      </c>
      <c r="AX93" s="133">
        <v>0.83073203810866636</v>
      </c>
    </row>
  </sheetData>
  <hyperlinks>
    <hyperlink ref="B1" r:id="rId1" display="http://finance.yahoo.com/q?s=ASB" xr:uid="{9BCF6F26-6C38-524A-A209-055EDB393ECF}"/>
    <hyperlink ref="C1" r:id="rId2" display="http://finance.yahoo.com/q?s=AUB" xr:uid="{6C15939C-7A1F-B049-95B1-F2C8CC6A6A1B}"/>
    <hyperlink ref="D1" r:id="rId3" display="http://finance.yahoo.com/q?s=AX" xr:uid="{E0648397-BC3D-5840-9BBA-E7E6C0748598}"/>
    <hyperlink ref="E1" r:id="rId4" display="http://finance.yahoo.com/q?s=BANC" xr:uid="{9C677EDF-E997-324B-B413-18A0F38E9646}"/>
    <hyperlink ref="F1" r:id="rId5" display="http://finance.yahoo.com/q?s=BAC" xr:uid="{990EFA2F-B593-A941-90CE-08E0261023B4}"/>
    <hyperlink ref="G1" r:id="rId6" display="http://finance.yahoo.com/q?s=BOH" xr:uid="{46E5EC58-2F1B-F442-ADDA-6EE1D679B651}"/>
    <hyperlink ref="H1" r:id="rId7" display="http://finance.yahoo.com/q?s=BKU" xr:uid="{EC56F3A7-58FE-9741-A4E2-F343E42C8A83}"/>
    <hyperlink ref="I1" r:id="rId8" display="http://finance.yahoo.com/q?s=BHB" xr:uid="{BACA5614-E1DE-FC4A-9819-B1A53AF4DE2E}"/>
    <hyperlink ref="J1" r:id="rId9" display="http://finance.yahoo.com/q?s=BHLB" xr:uid="{D7DC30D2-558E-FB4B-BE30-760981F4BB8F}"/>
    <hyperlink ref="K1" r:id="rId10" display="http://finance.yahoo.com/q?s=BRBS" xr:uid="{97413915-0CA9-3648-9404-5E462DA0F6BD}"/>
    <hyperlink ref="L1" r:id="rId11" display="http://finance.yahoo.com/q?s=BY" xr:uid="{121C3F79-C83F-094A-89C0-83E1F3F70214}"/>
    <hyperlink ref="M1" r:id="rId12" display="http://finance.yahoo.com/q?s=CADE" xr:uid="{DE4782E8-91EF-6A40-94AC-9E2AF37631AF}"/>
    <hyperlink ref="N1" r:id="rId13" display="http://finance.yahoo.com/q?s=CPF" xr:uid="{E58C149F-1C4D-4649-B728-3411E8553B53}"/>
    <hyperlink ref="O1" r:id="rId14" display="http://finance.yahoo.com/q?s=C" xr:uid="{27C03618-580C-8D48-9847-71352203CFC2}"/>
    <hyperlink ref="P1" r:id="rId15" display="http://finance.yahoo.com/q?s=CFG" xr:uid="{F077D8EE-F85D-A248-BE03-9C8F5B3E3634}"/>
    <hyperlink ref="Q1" r:id="rId16" display="http://finance.yahoo.com/q?s=CMA" xr:uid="{2E20DFE2-7852-7E49-8BA3-2FB4DAAFEAD0}"/>
    <hyperlink ref="R1" r:id="rId17" display="http://finance.yahoo.com/q?s=CBU" xr:uid="{E982F62A-584E-3541-848B-18EE956AEC57}"/>
    <hyperlink ref="S1" r:id="rId18" display="http://finance.yahoo.com/q?s=CFR" xr:uid="{7A099245-9CE6-4B42-91FF-3C330EFB1C18}"/>
    <hyperlink ref="T1" r:id="rId19" display="http://finance.yahoo.com/q?s=CUBI" xr:uid="{1B59C929-7621-0B42-B701-86B22B26305B}"/>
    <hyperlink ref="U1" r:id="rId20" display="http://finance.yahoo.com/q?s=EVBN" xr:uid="{4F0D7274-3542-E24A-A4CD-CCF904A81BBD}"/>
    <hyperlink ref="V1" r:id="rId21" display="http://finance.yahoo.com/q?s=FNB" xr:uid="{10A33AEF-C6E8-BD4E-82E1-E9FF6D19F3B3}"/>
    <hyperlink ref="W1" r:id="rId22" display="http://finance.yahoo.com/q?s=FBK" xr:uid="{98335A7C-73FC-0A4A-B288-FA71EEC48F7D}"/>
    <hyperlink ref="X1" r:id="rId23" display="http://finance.yahoo.com/q?s=FCF" xr:uid="{DBFF9090-C179-E645-971C-5E791D9CA31E}"/>
    <hyperlink ref="Y1" r:id="rId24" display="http://finance.yahoo.com/q?s=FHN" xr:uid="{2E86BE47-B84C-7E42-9621-400488D562D0}"/>
    <hyperlink ref="Z1" r:id="rId25" display="http://finance.yahoo.com/q?s=GBCI" xr:uid="{0DA8225D-5A39-7B4D-A8C5-5475B83DFFD5}"/>
    <hyperlink ref="AA1" r:id="rId26" display="http://finance.yahoo.com/q?s=GNTY" xr:uid="{A37E97E6-5E70-2A4B-901E-4B56B7B82D67}"/>
    <hyperlink ref="AB1" r:id="rId27" display="http://finance.yahoo.com/q?s=HTH" xr:uid="{F1D56879-F417-6C41-ADD1-2CD5E38CED8D}"/>
    <hyperlink ref="AC1" r:id="rId28" display="http://finance.yahoo.com/q?s=HOMB" xr:uid="{DE8BEB51-9D88-794A-9E26-2101CB6D2CFE}"/>
    <hyperlink ref="AD1" r:id="rId29" display="http://finance.yahoo.com/q?s=JPM" xr:uid="{CF622B7B-9D98-7F47-8433-6E85D80573B4}"/>
    <hyperlink ref="AE1" r:id="rId30" display="http://finance.yahoo.com/q?s=KEY" xr:uid="{BA08B09B-C445-9448-8951-08428ACE642B}"/>
    <hyperlink ref="AF1" r:id="rId31" display="http://finance.yahoo.com/q?s=LOB" xr:uid="{53F2E4A0-8642-464D-B126-3F80B289B283}"/>
    <hyperlink ref="AG1" r:id="rId32" display="http://finance.yahoo.com/q?s=MTB" xr:uid="{6EF30D16-17C5-AF45-97E8-A7F26F7B0F57}"/>
    <hyperlink ref="AH1" r:id="rId33" display="http://finance.yahoo.com/q?s=MCB" xr:uid="{FED7103D-3D3C-B945-A60E-FA0E4E906B6F}"/>
    <hyperlink ref="AI1" r:id="rId34" display="http://finance.yahoo.com/q?s=NBHC" xr:uid="{DCA6BC65-0B23-E241-A475-151065745176}"/>
    <hyperlink ref="AJ1" r:id="rId35" display="http://finance.yahoo.com/q?s=NIC" xr:uid="{46E97BD7-7F37-EA44-9BF2-BD37FC0AD799}"/>
    <hyperlink ref="AK1" r:id="rId36" display="http://finance.yahoo.com/q?s=PRK" xr:uid="{525859E8-FA4B-F942-936C-0B41D94A6C7F}"/>
    <hyperlink ref="AL1" r:id="rId37" display="http://finance.yahoo.com/q?s=PNC" xr:uid="{8A619FC9-246E-6F40-8B9A-57AB74DA649C}"/>
    <hyperlink ref="AM1" r:id="rId38" display="http://finance.yahoo.com/q?s=PB" xr:uid="{0166F339-C48A-8A46-952B-51E2BDF275E5}"/>
    <hyperlink ref="AN1" r:id="rId39" display="http://finance.yahoo.com/q?s=PFS" xr:uid="{6EE4E593-C469-FB4F-8FA2-CBF56247F19E}"/>
    <hyperlink ref="AO1" r:id="rId40" display="http://finance.yahoo.com/q?s=RF" xr:uid="{56C54805-42F8-1F4F-AE0A-98EA8C592188}"/>
    <hyperlink ref="AP1" r:id="rId41" display="http://finance.yahoo.com/q?s=SFBS" xr:uid="{3083A652-36D9-0448-8022-EDBD9E8A0AA6}"/>
    <hyperlink ref="AQ1" r:id="rId42" display="http://finance.yahoo.com/q?s=SNV" xr:uid="{B107165F-6173-D84D-B2FA-0113AB18F0AA}"/>
    <hyperlink ref="AR1" r:id="rId43" display="http://finance.yahoo.com/q?s=TMP" xr:uid="{86058296-4E0F-CD44-81FA-466BEFD36457}"/>
    <hyperlink ref="AS1" r:id="rId44" display="http://finance.yahoo.com/q?s=TFC" xr:uid="{54E57CCC-B721-DA49-81EE-09A9F098F828}"/>
    <hyperlink ref="AT1" r:id="rId45" display="http://finance.yahoo.com/q?s=USB" xr:uid="{75E99C72-3B83-0640-8A32-280FF94B2EAB}"/>
    <hyperlink ref="AU1" r:id="rId46" display="http://finance.yahoo.com/q?s=WBS" xr:uid="{F49E76AC-8BC0-7F48-8E48-1BE643BF3CD2}"/>
    <hyperlink ref="AV1" r:id="rId47" display="http://finance.yahoo.com/q?s=WFC" xr:uid="{72159D29-68F7-1943-B85D-B6097F661F24}"/>
    <hyperlink ref="AW1" r:id="rId48" display="http://finance.yahoo.com/q?s=WAL" xr:uid="{129BD676-2BE6-004C-ADBC-32874615F9C0}"/>
    <hyperlink ref="AX1" r:id="rId49" display="http://finance.yahoo.com/q?s=NYCB" xr:uid="{50B69ADE-23B7-C647-9C52-515B891118B9}"/>
  </hyperlinks>
  <pageMargins left="0.7" right="0.7" top="0.75" bottom="0.75" header="0.3" footer="0.3"/>
  <legacyDrawing r:id="rId5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A51B0-D061-1446-B22A-0558907F263E}">
  <dimension ref="A1:D28"/>
  <sheetViews>
    <sheetView workbookViewId="0">
      <selection activeCell="B8" sqref="B8"/>
    </sheetView>
  </sheetViews>
  <sheetFormatPr baseColWidth="10" defaultColWidth="38.19921875" defaultRowHeight="32" customHeight="1"/>
  <cols>
    <col min="1" max="1" width="62.796875" style="142" customWidth="1"/>
    <col min="2" max="16384" width="38.19921875" style="142"/>
  </cols>
  <sheetData>
    <row r="1" spans="1:4" ht="32" customHeight="1">
      <c r="A1" s="142" t="s">
        <v>680</v>
      </c>
      <c r="B1" s="142">
        <f>IF(D1="",0,D1)</f>
        <v>990596000</v>
      </c>
      <c r="C1" s="142">
        <v>8</v>
      </c>
      <c r="D1" s="142">
        <f>VLOOKUP(output!$B$3,'source-income'!$B$1:$AJ$49,C1,FALSE)</f>
        <v>990596000</v>
      </c>
    </row>
    <row r="2" spans="1:4" ht="32" customHeight="1">
      <c r="A2" s="142" t="s">
        <v>681</v>
      </c>
      <c r="B2" s="142">
        <f t="shared" ref="B2:B28" si="0">IF(D2="",0,D2)</f>
        <v>0</v>
      </c>
      <c r="C2" s="142">
        <v>9</v>
      </c>
      <c r="D2" s="142" t="str">
        <f>VLOOKUP(output!$B$3,'source-income'!$B$1:$AJ$49,C2,FALSE)</f>
        <v/>
      </c>
    </row>
    <row r="3" spans="1:4" ht="32" customHeight="1">
      <c r="A3" s="142" t="s">
        <v>682</v>
      </c>
      <c r="B3" s="142">
        <f t="shared" si="0"/>
        <v>990596000</v>
      </c>
      <c r="C3" s="142">
        <v>10</v>
      </c>
      <c r="D3" s="142">
        <f>VLOOKUP(output!$B$3,'source-income'!$B$1:$AJ$49,C3,FALSE)</f>
        <v>990596000</v>
      </c>
    </row>
    <row r="4" spans="1:4" ht="32" customHeight="1">
      <c r="A4" s="142" t="s">
        <v>683</v>
      </c>
      <c r="B4" s="142">
        <f t="shared" si="0"/>
        <v>1</v>
      </c>
      <c r="C4" s="142">
        <v>11</v>
      </c>
      <c r="D4" s="142">
        <f>VLOOKUP(output!$B$3,'source-income'!$B$1:$AJ$49,C4,FALSE)</f>
        <v>1</v>
      </c>
    </row>
    <row r="5" spans="1:4" ht="32" customHeight="1">
      <c r="A5" s="142" t="s">
        <v>684</v>
      </c>
      <c r="B5" s="142">
        <f t="shared" si="0"/>
        <v>0</v>
      </c>
      <c r="C5" s="142">
        <v>12</v>
      </c>
      <c r="D5" s="142" t="str">
        <f>VLOOKUP(output!$B$3,'source-income'!$B$1:$AJ$49,C5,FALSE)</f>
        <v/>
      </c>
    </row>
    <row r="6" spans="1:4" ht="32" customHeight="1">
      <c r="A6" s="142" t="s">
        <v>685</v>
      </c>
      <c r="B6" s="142">
        <f t="shared" si="0"/>
        <v>283547000</v>
      </c>
      <c r="C6" s="142">
        <v>13</v>
      </c>
      <c r="D6" s="142">
        <f>VLOOKUP(output!$B$3,'source-income'!$B$1:$AJ$49,C6,FALSE)</f>
        <v>283547000</v>
      </c>
    </row>
    <row r="7" spans="1:4" ht="32" customHeight="1">
      <c r="A7" s="142" t="s">
        <v>686</v>
      </c>
      <c r="B7" s="142">
        <f t="shared" si="0"/>
        <v>0</v>
      </c>
      <c r="C7" s="142">
        <v>14</v>
      </c>
      <c r="D7" s="142" t="str">
        <f>VLOOKUP(output!$B$3,'source-income'!$B$1:$AJ$49,C7,FALSE)</f>
        <v/>
      </c>
    </row>
    <row r="8" spans="1:4" ht="32" customHeight="1">
      <c r="A8" s="142" t="s">
        <v>687</v>
      </c>
      <c r="B8" s="142">
        <f t="shared" si="0"/>
        <v>283547000</v>
      </c>
      <c r="C8" s="142">
        <v>15</v>
      </c>
      <c r="D8" s="142">
        <f>VLOOKUP(output!$B$3,'source-income'!$B$1:$AJ$49,C8,FALSE)</f>
        <v>283547000</v>
      </c>
    </row>
    <row r="9" spans="1:4" ht="32" customHeight="1">
      <c r="A9" s="142" t="s">
        <v>688</v>
      </c>
      <c r="B9" s="142">
        <f t="shared" si="0"/>
        <v>0</v>
      </c>
      <c r="C9" s="142">
        <v>16</v>
      </c>
      <c r="D9" s="142" t="str">
        <f>VLOOKUP(output!$B$3,'source-income'!$B$1:$AJ$49,C9,FALSE)</f>
        <v/>
      </c>
    </row>
    <row r="10" spans="1:4" ht="32" customHeight="1">
      <c r="A10" s="142" t="s">
        <v>689</v>
      </c>
      <c r="B10" s="142">
        <f t="shared" si="0"/>
        <v>11730000</v>
      </c>
      <c r="C10" s="142">
        <v>17</v>
      </c>
      <c r="D10" s="142">
        <f>VLOOKUP(output!$B$3,'source-income'!$B$1:$AJ$49,C10,FALSE)</f>
        <v>11730000</v>
      </c>
    </row>
    <row r="11" spans="1:4" ht="32" customHeight="1">
      <c r="A11" s="142" t="s">
        <v>690</v>
      </c>
      <c r="B11" s="142">
        <f t="shared" si="0"/>
        <v>11730000</v>
      </c>
      <c r="C11" s="142">
        <v>18</v>
      </c>
      <c r="D11" s="142">
        <f>VLOOKUP(output!$B$3,'source-income'!$B$1:$AJ$49,C11,FALSE)</f>
        <v>11730000</v>
      </c>
    </row>
    <row r="12" spans="1:4" ht="32" customHeight="1">
      <c r="A12" s="142" t="s">
        <v>691</v>
      </c>
      <c r="B12" s="142">
        <f t="shared" si="0"/>
        <v>1230451000</v>
      </c>
      <c r="C12" s="142">
        <v>19</v>
      </c>
      <c r="D12" s="142">
        <f>VLOOKUP(output!$B$3,'source-income'!$B$1:$AJ$49,C12,FALSE)</f>
        <v>1230451000</v>
      </c>
    </row>
    <row r="13" spans="1:4" ht="32" customHeight="1">
      <c r="A13" s="142" t="s">
        <v>692</v>
      </c>
      <c r="B13" s="142">
        <f t="shared" si="0"/>
        <v>317491000</v>
      </c>
      <c r="C13" s="142">
        <v>20</v>
      </c>
      <c r="D13" s="142">
        <f>VLOOKUP(output!$B$3,'source-income'!$B$1:$AJ$49,C13,FALSE)</f>
        <v>317491000</v>
      </c>
    </row>
    <row r="14" spans="1:4" ht="32" customHeight="1">
      <c r="A14" s="142" t="s">
        <v>693</v>
      </c>
      <c r="B14" s="142">
        <f t="shared" si="0"/>
        <v>50388000</v>
      </c>
      <c r="C14" s="142">
        <v>21</v>
      </c>
      <c r="D14" s="142">
        <f>VLOOKUP(output!$B$3,'source-income'!$B$1:$AJ$49,C14,FALSE)</f>
        <v>50388000</v>
      </c>
    </row>
    <row r="15" spans="1:4" ht="32" customHeight="1">
      <c r="A15" s="142" t="s">
        <v>694</v>
      </c>
      <c r="B15" s="142">
        <f t="shared" si="0"/>
        <v>762268000</v>
      </c>
      <c r="C15" s="142">
        <v>22</v>
      </c>
      <c r="D15" s="142">
        <f>VLOOKUP(output!$B$3,'source-income'!$B$1:$AJ$49,C15,FALSE)</f>
        <v>762268000</v>
      </c>
    </row>
    <row r="16" spans="1:4" ht="32" customHeight="1">
      <c r="A16" s="142" t="s">
        <v>695</v>
      </c>
      <c r="B16" s="142">
        <f t="shared" si="0"/>
        <v>0.76950441960000004</v>
      </c>
      <c r="C16" s="142">
        <v>23</v>
      </c>
      <c r="D16" s="142">
        <f>VLOOKUP(output!$B$3,'source-income'!$B$1:$AJ$49,C16,FALSE)</f>
        <v>0.76950441960000004</v>
      </c>
    </row>
    <row r="17" spans="1:4" ht="32" customHeight="1">
      <c r="A17" s="142" t="s">
        <v>696</v>
      </c>
      <c r="B17" s="142">
        <f t="shared" si="0"/>
        <v>711880000</v>
      </c>
      <c r="C17" s="142">
        <v>24</v>
      </c>
      <c r="D17" s="142">
        <f>VLOOKUP(output!$B$3,'source-income'!$B$1:$AJ$49,C17,FALSE)</f>
        <v>711880000</v>
      </c>
    </row>
    <row r="18" spans="1:4" ht="32" customHeight="1">
      <c r="A18" s="142" t="s">
        <v>697</v>
      </c>
      <c r="B18" s="142">
        <f t="shared" si="0"/>
        <v>0.71863807239999999</v>
      </c>
      <c r="C18" s="142">
        <v>25</v>
      </c>
      <c r="D18" s="142">
        <f>VLOOKUP(output!$B$3,'source-income'!$B$1:$AJ$49,C18,FALSE)</f>
        <v>0.71863807239999999</v>
      </c>
    </row>
    <row r="19" spans="1:4" ht="32" customHeight="1">
      <c r="A19" s="142" t="s">
        <v>698</v>
      </c>
      <c r="B19" s="142">
        <f t="shared" si="0"/>
        <v>-336748000</v>
      </c>
      <c r="C19" s="142">
        <v>26</v>
      </c>
      <c r="D19" s="142">
        <f>VLOOKUP(output!$B$3,'source-income'!$B$1:$AJ$49,C19,FALSE)</f>
        <v>-336748000</v>
      </c>
    </row>
    <row r="20" spans="1:4" ht="32" customHeight="1">
      <c r="A20" s="142" t="s">
        <v>699</v>
      </c>
      <c r="B20" s="142">
        <f t="shared" si="0"/>
        <v>375132000</v>
      </c>
      <c r="C20" s="142">
        <v>27</v>
      </c>
      <c r="D20" s="142">
        <f>VLOOKUP(output!$B$3,'source-income'!$B$1:$AJ$49,C20,FALSE)</f>
        <v>375132000</v>
      </c>
    </row>
    <row r="21" spans="1:4" ht="32" customHeight="1">
      <c r="A21" s="142" t="s">
        <v>700</v>
      </c>
      <c r="B21" s="142">
        <f t="shared" si="0"/>
        <v>0.37869323110000003</v>
      </c>
      <c r="C21" s="142">
        <v>28</v>
      </c>
      <c r="D21" s="142">
        <f>VLOOKUP(output!$B$3,'source-income'!$B$1:$AJ$49,C21,FALSE)</f>
        <v>0.37869323110000003</v>
      </c>
    </row>
    <row r="22" spans="1:4" ht="32" customHeight="1">
      <c r="A22" s="142" t="s">
        <v>701</v>
      </c>
      <c r="B22" s="142">
        <f t="shared" si="0"/>
        <v>90161000</v>
      </c>
      <c r="C22" s="142">
        <v>29</v>
      </c>
      <c r="D22" s="142">
        <f>VLOOKUP(output!$B$3,'source-income'!$B$1:$AJ$49,C22,FALSE)</f>
        <v>90161000</v>
      </c>
    </row>
    <row r="23" spans="1:4" ht="32" customHeight="1">
      <c r="A23" s="142" t="s">
        <v>702</v>
      </c>
      <c r="B23" s="142">
        <f t="shared" si="0"/>
        <v>284971000</v>
      </c>
      <c r="C23" s="142">
        <v>30</v>
      </c>
      <c r="D23" s="142">
        <f>VLOOKUP(output!$B$3,'source-income'!$B$1:$AJ$49,C23,FALSE)</f>
        <v>284971000</v>
      </c>
    </row>
    <row r="24" spans="1:4" ht="32" customHeight="1">
      <c r="A24" s="142" t="s">
        <v>703</v>
      </c>
      <c r="B24" s="142">
        <f t="shared" si="0"/>
        <v>0.28767630799999999</v>
      </c>
      <c r="C24" s="142">
        <v>31</v>
      </c>
      <c r="D24" s="142">
        <f>VLOOKUP(output!$B$3,'source-income'!$B$1:$AJ$49,C24,FALSE)</f>
        <v>0.28767630799999999</v>
      </c>
    </row>
    <row r="25" spans="1:4" ht="32" customHeight="1">
      <c r="A25" s="142" t="s">
        <v>704</v>
      </c>
      <c r="B25" s="142">
        <f t="shared" si="0"/>
        <v>3.15</v>
      </c>
      <c r="C25" s="142">
        <v>32</v>
      </c>
      <c r="D25" s="142">
        <f>VLOOKUP(output!$B$3,'source-income'!$B$1:$AJ$49,C25,FALSE)</f>
        <v>3.15</v>
      </c>
    </row>
    <row r="26" spans="1:4" ht="32" customHeight="1">
      <c r="A26" s="142" t="s">
        <v>705</v>
      </c>
      <c r="B26" s="142">
        <f t="shared" si="0"/>
        <v>3.15</v>
      </c>
      <c r="C26" s="142">
        <v>33</v>
      </c>
      <c r="D26" s="142">
        <f>VLOOKUP(output!$B$3,'source-income'!$B$1:$AJ$49,C26,FALSE)</f>
        <v>3.15</v>
      </c>
    </row>
    <row r="27" spans="1:4" ht="32" customHeight="1">
      <c r="A27" s="142" t="s">
        <v>706</v>
      </c>
      <c r="B27" s="142">
        <f t="shared" si="0"/>
        <v>90400188</v>
      </c>
      <c r="C27" s="142">
        <v>34</v>
      </c>
      <c r="D27" s="142">
        <f>VLOOKUP(output!$B$3,'source-income'!$B$1:$AJ$49,C27,FALSE)</f>
        <v>90400188</v>
      </c>
    </row>
    <row r="28" spans="1:4" ht="32" customHeight="1">
      <c r="A28" s="142" t="s">
        <v>707</v>
      </c>
      <c r="B28" s="142">
        <f t="shared" si="0"/>
        <v>90400322</v>
      </c>
      <c r="C28" s="142">
        <v>35</v>
      </c>
      <c r="D28" s="142">
        <f>VLOOKUP(output!$B$3,'source-income'!$B$1:$AJ$49,C28,FALSE)</f>
        <v>90400322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BB74E-9DFB-0347-8506-99534AFCEDAF}">
  <dimension ref="A1:D44"/>
  <sheetViews>
    <sheetView workbookViewId="0">
      <selection activeCell="E1" sqref="E1"/>
    </sheetView>
  </sheetViews>
  <sheetFormatPr baseColWidth="10" defaultColWidth="25" defaultRowHeight="31" customHeight="1"/>
  <cols>
    <col min="1" max="1" width="52.796875" style="143" customWidth="1"/>
    <col min="2" max="2" width="25" style="133"/>
    <col min="3" max="16384" width="25" style="142"/>
  </cols>
  <sheetData>
    <row r="1" spans="1:4" ht="31" customHeight="1">
      <c r="A1" s="140" t="s">
        <v>636</v>
      </c>
      <c r="B1" s="141">
        <f>IF(D1="",0,D1)</f>
        <v>572647000</v>
      </c>
      <c r="C1" s="142">
        <v>8</v>
      </c>
      <c r="D1" s="142">
        <f>VLOOKUP(output!$B$3,'source-balance'!$B$1:$AZ$49,C1,FALSE)</f>
        <v>572647000</v>
      </c>
    </row>
    <row r="2" spans="1:4" ht="31" customHeight="1">
      <c r="A2" s="140" t="s">
        <v>637</v>
      </c>
      <c r="B2" s="141">
        <f t="shared" ref="B2:B44" si="0">IF(D2="",0,D2)</f>
        <v>9755327000</v>
      </c>
      <c r="C2" s="142">
        <v>9</v>
      </c>
      <c r="D2" s="142">
        <f>VLOOKUP(output!$B$3,'source-balance'!$B$1:$AZ$49,C2,FALSE)</f>
        <v>9755327000</v>
      </c>
    </row>
    <row r="3" spans="1:4" ht="31" customHeight="1">
      <c r="A3" s="140" t="s">
        <v>638</v>
      </c>
      <c r="B3" s="141">
        <f t="shared" si="0"/>
        <v>572647000</v>
      </c>
      <c r="C3" s="142">
        <v>10</v>
      </c>
      <c r="D3" s="142">
        <f>VLOOKUP(output!$B$3,'source-balance'!$B$1:$AZ$49,C3,FALSE)</f>
        <v>572647000</v>
      </c>
    </row>
    <row r="4" spans="1:4" ht="31" customHeight="1">
      <c r="A4" s="140" t="s">
        <v>639</v>
      </c>
      <c r="B4" s="141">
        <f t="shared" si="0"/>
        <v>0</v>
      </c>
      <c r="C4" s="142">
        <v>11</v>
      </c>
      <c r="D4" s="142" t="str">
        <f>VLOOKUP(output!$B$3,'source-balance'!$B$1:$AZ$49,C4,FALSE)</f>
        <v/>
      </c>
    </row>
    <row r="5" spans="1:4" ht="31" customHeight="1">
      <c r="A5" s="140" t="s">
        <v>640</v>
      </c>
      <c r="B5" s="141">
        <f t="shared" si="0"/>
        <v>0</v>
      </c>
      <c r="C5" s="142">
        <v>12</v>
      </c>
      <c r="D5" s="142" t="str">
        <f>VLOOKUP(output!$B$3,'source-balance'!$B$1:$AZ$49,C5,FALSE)</f>
        <v/>
      </c>
    </row>
    <row r="6" spans="1:4" ht="31" customHeight="1">
      <c r="A6" s="140" t="s">
        <v>641</v>
      </c>
      <c r="B6" s="141">
        <f t="shared" si="0"/>
        <v>0</v>
      </c>
      <c r="C6" s="142">
        <v>13</v>
      </c>
      <c r="D6" s="142" t="str">
        <f>VLOOKUP(output!$B$3,'source-balance'!$B$1:$AZ$49,C6,FALSE)</f>
        <v/>
      </c>
    </row>
    <row r="7" spans="1:4" ht="31" customHeight="1">
      <c r="A7" s="140" t="s">
        <v>642</v>
      </c>
      <c r="B7" s="141">
        <f t="shared" si="0"/>
        <v>572647000</v>
      </c>
      <c r="C7" s="142">
        <v>14</v>
      </c>
      <c r="D7" s="142">
        <f>VLOOKUP(output!$B$3,'source-balance'!$B$1:$AZ$49,C7,FALSE)</f>
        <v>572647000</v>
      </c>
    </row>
    <row r="8" spans="1:4" ht="31" customHeight="1">
      <c r="A8" s="140" t="s">
        <v>643</v>
      </c>
      <c r="B8" s="141">
        <f t="shared" si="0"/>
        <v>539799000</v>
      </c>
      <c r="C8" s="142">
        <v>15</v>
      </c>
      <c r="D8" s="142">
        <f>VLOOKUP(output!$B$3,'source-balance'!$B$1:$AZ$49,C8,FALSE)</f>
        <v>539799000</v>
      </c>
    </row>
    <row r="9" spans="1:4" ht="31" customHeight="1">
      <c r="A9" s="140" t="s">
        <v>644</v>
      </c>
      <c r="B9" s="141">
        <f t="shared" si="0"/>
        <v>77637000</v>
      </c>
      <c r="C9" s="142">
        <v>16</v>
      </c>
      <c r="D9" s="142">
        <f>VLOOKUP(output!$B$3,'source-balance'!$B$1:$AZ$49,C9,FALSE)</f>
        <v>77637000</v>
      </c>
    </row>
    <row r="10" spans="1:4" ht="31" customHeight="1">
      <c r="A10" s="140" t="s">
        <v>645</v>
      </c>
      <c r="B10" s="141">
        <f t="shared" si="0"/>
        <v>0</v>
      </c>
      <c r="C10" s="142">
        <v>17</v>
      </c>
      <c r="D10" s="142" t="str">
        <f>VLOOKUP(output!$B$3,'source-balance'!$B$1:$AZ$49,C10,FALSE)</f>
        <v/>
      </c>
    </row>
    <row r="11" spans="1:4" ht="31" customHeight="1">
      <c r="A11" s="140" t="s">
        <v>646</v>
      </c>
      <c r="B11" s="141">
        <f t="shared" si="0"/>
        <v>77637000</v>
      </c>
      <c r="C11" s="142">
        <v>18</v>
      </c>
      <c r="D11" s="142">
        <f>VLOOKUP(output!$B$3,'source-balance'!$B$1:$AZ$49,C11,FALSE)</f>
        <v>77637000</v>
      </c>
    </row>
    <row r="12" spans="1:4" ht="31" customHeight="1">
      <c r="A12" s="140" t="s">
        <v>647</v>
      </c>
      <c r="B12" s="141">
        <f t="shared" si="0"/>
        <v>10049499000</v>
      </c>
      <c r="C12" s="142">
        <v>19</v>
      </c>
      <c r="D12" s="142">
        <f>VLOOKUP(output!$B$3,'source-balance'!$B$1:$AZ$49,C12,FALSE)</f>
        <v>10049499000</v>
      </c>
    </row>
    <row r="13" spans="1:4" ht="31" customHeight="1">
      <c r="A13" s="140" t="s">
        <v>648</v>
      </c>
      <c r="B13" s="141">
        <f t="shared" si="0"/>
        <v>0</v>
      </c>
      <c r="C13" s="142">
        <v>20</v>
      </c>
      <c r="D13" s="142" t="str">
        <f>VLOOKUP(output!$B$3,'source-balance'!$B$1:$AZ$49,C13,FALSE)</f>
        <v/>
      </c>
    </row>
    <row r="14" spans="1:4" ht="31" customHeight="1">
      <c r="A14" s="140" t="s">
        <v>649</v>
      </c>
      <c r="B14" s="141">
        <f t="shared" si="0"/>
        <v>-10666935000</v>
      </c>
      <c r="C14" s="142">
        <v>21</v>
      </c>
      <c r="D14" s="142">
        <f>VLOOKUP(output!$B$3,'source-balance'!$B$1:$AZ$49,C14,FALSE)</f>
        <v>-10666935000</v>
      </c>
    </row>
    <row r="15" spans="1:4" ht="31" customHeight="1">
      <c r="A15" s="140" t="s">
        <v>650</v>
      </c>
      <c r="B15" s="141">
        <f t="shared" si="0"/>
        <v>10666935000</v>
      </c>
      <c r="C15" s="142">
        <v>22</v>
      </c>
      <c r="D15" s="142">
        <f>VLOOKUP(output!$B$3,'source-balance'!$B$1:$AZ$49,C15,FALSE)</f>
        <v>10666935000</v>
      </c>
    </row>
    <row r="16" spans="1:4" ht="31" customHeight="1">
      <c r="A16" s="140" t="s">
        <v>651</v>
      </c>
      <c r="B16" s="141">
        <f t="shared" si="0"/>
        <v>25787130000</v>
      </c>
      <c r="C16" s="142">
        <v>23</v>
      </c>
      <c r="D16" s="142">
        <f>VLOOKUP(output!$B$3,'source-balance'!$B$1:$AZ$49,C16,FALSE)</f>
        <v>25787130000</v>
      </c>
    </row>
    <row r="17" spans="1:4" ht="31" customHeight="1">
      <c r="A17" s="140" t="s">
        <v>652</v>
      </c>
      <c r="B17" s="141">
        <f t="shared" si="0"/>
        <v>37026712000</v>
      </c>
      <c r="C17" s="142">
        <v>24</v>
      </c>
      <c r="D17" s="142">
        <f>VLOOKUP(output!$B$3,'source-balance'!$B$1:$AZ$49,C17,FALSE)</f>
        <v>37026712000</v>
      </c>
    </row>
    <row r="18" spans="1:4" ht="31" customHeight="1">
      <c r="A18" s="140" t="s">
        <v>653</v>
      </c>
      <c r="B18" s="141">
        <f t="shared" si="0"/>
        <v>0</v>
      </c>
      <c r="C18" s="142">
        <v>25</v>
      </c>
      <c r="D18" s="142" t="str">
        <f>VLOOKUP(output!$B$3,'source-balance'!$B$1:$AZ$49,C18,FALSE)</f>
        <v/>
      </c>
    </row>
    <row r="19" spans="1:4" ht="31" customHeight="1">
      <c r="A19" s="140" t="s">
        <v>654</v>
      </c>
      <c r="B19" s="141">
        <f t="shared" si="0"/>
        <v>0</v>
      </c>
      <c r="C19" s="142">
        <v>26</v>
      </c>
      <c r="D19" s="142" t="str">
        <f>VLOOKUP(output!$B$3,'source-balance'!$B$1:$AZ$49,C19,FALSE)</f>
        <v/>
      </c>
    </row>
    <row r="20" spans="1:4" ht="31" customHeight="1">
      <c r="A20" s="140" t="s">
        <v>655</v>
      </c>
      <c r="B20" s="141">
        <f t="shared" si="0"/>
        <v>0</v>
      </c>
      <c r="C20" s="142">
        <v>27</v>
      </c>
      <c r="D20" s="142" t="str">
        <f>VLOOKUP(output!$B$3,'source-balance'!$B$1:$AZ$49,C20,FALSE)</f>
        <v/>
      </c>
    </row>
    <row r="21" spans="1:4" ht="31" customHeight="1">
      <c r="A21" s="140" t="s">
        <v>656</v>
      </c>
      <c r="B21" s="141">
        <f t="shared" si="0"/>
        <v>0</v>
      </c>
      <c r="C21" s="142">
        <v>28</v>
      </c>
      <c r="D21" s="142" t="str">
        <f>VLOOKUP(output!$B$3,'source-balance'!$B$1:$AZ$49,C21,FALSE)</f>
        <v/>
      </c>
    </row>
    <row r="22" spans="1:4" ht="31" customHeight="1">
      <c r="A22" s="140" t="s">
        <v>657</v>
      </c>
      <c r="B22" s="141">
        <f t="shared" si="0"/>
        <v>0</v>
      </c>
      <c r="C22" s="142">
        <v>29</v>
      </c>
      <c r="D22" s="142" t="str">
        <f>VLOOKUP(output!$B$3,'source-balance'!$B$1:$AZ$49,C22,FALSE)</f>
        <v/>
      </c>
    </row>
    <row r="23" spans="1:4" ht="31" customHeight="1">
      <c r="A23" s="140" t="s">
        <v>658</v>
      </c>
      <c r="B23" s="141">
        <f t="shared" si="0"/>
        <v>0</v>
      </c>
      <c r="C23" s="142">
        <v>30</v>
      </c>
      <c r="D23" s="142" t="str">
        <f>VLOOKUP(output!$B$3,'source-balance'!$B$1:$AZ$49,C23,FALSE)</f>
        <v/>
      </c>
    </row>
    <row r="24" spans="1:4" ht="31" customHeight="1">
      <c r="A24" s="140" t="s">
        <v>659</v>
      </c>
      <c r="B24" s="141">
        <f t="shared" si="0"/>
        <v>6140923000</v>
      </c>
      <c r="C24" s="142">
        <v>31</v>
      </c>
      <c r="D24" s="142">
        <f>VLOOKUP(output!$B$3,'source-balance'!$B$1:$AZ$49,C24,FALSE)</f>
        <v>6140923000</v>
      </c>
    </row>
    <row r="25" spans="1:4" ht="31" customHeight="1">
      <c r="A25" s="140" t="s">
        <v>660</v>
      </c>
      <c r="B25" s="141">
        <f t="shared" si="0"/>
        <v>0</v>
      </c>
      <c r="C25" s="142">
        <v>32</v>
      </c>
      <c r="D25" s="142" t="str">
        <f>VLOOKUP(output!$B$3,'source-balance'!$B$1:$AZ$49,C25,FALSE)</f>
        <v/>
      </c>
    </row>
    <row r="26" spans="1:4" ht="31" customHeight="1">
      <c r="A26" s="140" t="s">
        <v>661</v>
      </c>
      <c r="B26" s="141">
        <f t="shared" si="0"/>
        <v>0</v>
      </c>
      <c r="C26" s="142">
        <v>33</v>
      </c>
      <c r="D26" s="142" t="str">
        <f>VLOOKUP(output!$B$3,'source-balance'!$B$1:$AZ$49,C26,FALSE)</f>
        <v/>
      </c>
    </row>
    <row r="27" spans="1:4" ht="31" customHeight="1">
      <c r="A27" s="140" t="s">
        <v>662</v>
      </c>
      <c r="B27" s="141">
        <f t="shared" si="0"/>
        <v>-6140923000</v>
      </c>
      <c r="C27" s="142">
        <v>34</v>
      </c>
      <c r="D27" s="142">
        <f>VLOOKUP(output!$B$3,'source-balance'!$B$1:$AZ$49,C27,FALSE)</f>
        <v>-6140923000</v>
      </c>
    </row>
    <row r="28" spans="1:4" ht="31" customHeight="1">
      <c r="A28" s="140" t="s">
        <v>663</v>
      </c>
      <c r="B28" s="141">
        <f t="shared" si="0"/>
        <v>34590731000</v>
      </c>
      <c r="C28" s="142">
        <v>35</v>
      </c>
      <c r="D28" s="142">
        <f>VLOOKUP(output!$B$3,'source-balance'!$B$1:$AZ$49,C28,FALSE)</f>
        <v>34590731000</v>
      </c>
    </row>
    <row r="29" spans="1:4" ht="31" customHeight="1">
      <c r="A29" s="140" t="s">
        <v>664</v>
      </c>
      <c r="B29" s="141">
        <f t="shared" si="0"/>
        <v>34590731000</v>
      </c>
      <c r="C29" s="142">
        <v>36</v>
      </c>
      <c r="D29" s="142">
        <f>VLOOKUP(output!$B$3,'source-balance'!$B$1:$AZ$49,C29,FALSE)</f>
        <v>34590731000</v>
      </c>
    </row>
    <row r="30" spans="1:4" ht="31" customHeight="1">
      <c r="A30" s="140" t="s">
        <v>665</v>
      </c>
      <c r="B30" s="141">
        <f t="shared" si="0"/>
        <v>28389000</v>
      </c>
      <c r="C30" s="142">
        <v>37</v>
      </c>
      <c r="D30" s="142">
        <f>VLOOKUP(output!$B$3,'source-balance'!$B$1:$AZ$49,C30,FALSE)</f>
        <v>28389000</v>
      </c>
    </row>
    <row r="31" spans="1:4" ht="31" customHeight="1">
      <c r="A31" s="140" t="s">
        <v>666</v>
      </c>
      <c r="B31" s="141">
        <f t="shared" si="0"/>
        <v>34590731000</v>
      </c>
      <c r="C31" s="142">
        <v>38</v>
      </c>
      <c r="D31" s="142">
        <f>VLOOKUP(output!$B$3,'source-balance'!$B$1:$AZ$49,C31,FALSE)</f>
        <v>34590731000</v>
      </c>
    </row>
    <row r="32" spans="1:4" ht="31" customHeight="1">
      <c r="A32" s="140" t="s">
        <v>667</v>
      </c>
      <c r="B32" s="141">
        <f t="shared" si="0"/>
        <v>0</v>
      </c>
      <c r="C32" s="142">
        <v>39</v>
      </c>
      <c r="D32" s="142" t="str">
        <f>VLOOKUP(output!$B$3,'source-balance'!$B$1:$AZ$49,C32,FALSE)</f>
        <v/>
      </c>
    </row>
    <row r="33" spans="1:4" ht="31" customHeight="1">
      <c r="A33" s="140" t="s">
        <v>668</v>
      </c>
      <c r="B33" s="141">
        <f t="shared" si="0"/>
        <v>757000</v>
      </c>
      <c r="C33" s="142">
        <v>40</v>
      </c>
      <c r="D33" s="142">
        <f>VLOOKUP(output!$B$3,'source-balance'!$B$1:$AZ$49,C33,FALSE)</f>
        <v>757000</v>
      </c>
    </row>
    <row r="34" spans="1:4" ht="31" customHeight="1">
      <c r="A34" s="140" t="s">
        <v>669</v>
      </c>
      <c r="B34" s="141">
        <f t="shared" si="0"/>
        <v>2551400000</v>
      </c>
      <c r="C34" s="142">
        <v>41</v>
      </c>
      <c r="D34" s="142">
        <f>VLOOKUP(output!$B$3,'source-balance'!$B$1:$AZ$49,C34,FALSE)</f>
        <v>2551400000</v>
      </c>
    </row>
    <row r="35" spans="1:4" ht="31" customHeight="1">
      <c r="A35" s="140" t="s">
        <v>670</v>
      </c>
      <c r="B35" s="141">
        <f t="shared" si="0"/>
        <v>-437905000</v>
      </c>
      <c r="C35" s="142">
        <v>42</v>
      </c>
      <c r="D35" s="142">
        <f>VLOOKUP(output!$B$3,'source-balance'!$B$1:$AZ$49,C35,FALSE)</f>
        <v>-437905000</v>
      </c>
    </row>
    <row r="36" spans="1:4" ht="31" customHeight="1">
      <c r="A36" s="140" t="s">
        <v>671</v>
      </c>
      <c r="B36" s="141">
        <f t="shared" si="0"/>
        <v>321729000</v>
      </c>
      <c r="C36" s="142">
        <v>43</v>
      </c>
      <c r="D36" s="142">
        <f>VLOOKUP(output!$B$3,'source-balance'!$B$1:$AZ$49,C36,FALSE)</f>
        <v>321729000</v>
      </c>
    </row>
    <row r="37" spans="1:4" ht="31" customHeight="1">
      <c r="A37" s="140" t="s">
        <v>672</v>
      </c>
      <c r="B37" s="141">
        <f t="shared" si="0"/>
        <v>2435981000</v>
      </c>
      <c r="C37" s="142">
        <v>44</v>
      </c>
      <c r="D37" s="142">
        <f>VLOOKUP(output!$B$3,'source-balance'!$B$1:$AZ$49,C37,FALSE)</f>
        <v>2435981000</v>
      </c>
    </row>
    <row r="38" spans="1:4" ht="31" customHeight="1">
      <c r="A38" s="140" t="s">
        <v>673</v>
      </c>
      <c r="B38" s="141">
        <f t="shared" si="0"/>
        <v>2435981000</v>
      </c>
      <c r="C38" s="142">
        <v>45</v>
      </c>
      <c r="D38" s="142">
        <f>VLOOKUP(output!$B$3,'source-balance'!$B$1:$AZ$49,C38,FALSE)</f>
        <v>2435981000</v>
      </c>
    </row>
    <row r="39" spans="1:4" ht="31" customHeight="1">
      <c r="A39" s="140" t="s">
        <v>674</v>
      </c>
      <c r="B39" s="141">
        <f t="shared" si="0"/>
        <v>37026712000</v>
      </c>
      <c r="C39" s="142">
        <v>46</v>
      </c>
      <c r="D39" s="142">
        <f>VLOOKUP(output!$B$3,'source-balance'!$B$1:$AZ$49,C39,FALSE)</f>
        <v>37026712000</v>
      </c>
    </row>
    <row r="40" spans="1:4" ht="31" customHeight="1">
      <c r="A40" s="140" t="s">
        <v>675</v>
      </c>
      <c r="B40" s="141">
        <f t="shared" si="0"/>
        <v>0</v>
      </c>
      <c r="C40" s="142">
        <v>47</v>
      </c>
      <c r="D40" s="142" t="str">
        <f>VLOOKUP(output!$B$3,'source-balance'!$B$1:$AZ$49,C40,FALSE)</f>
        <v/>
      </c>
    </row>
    <row r="41" spans="1:4" ht="31" customHeight="1">
      <c r="A41" s="140" t="s">
        <v>676</v>
      </c>
      <c r="B41" s="141">
        <f t="shared" si="0"/>
        <v>37026712000</v>
      </c>
      <c r="C41" s="142">
        <v>48</v>
      </c>
      <c r="D41" s="142">
        <f>VLOOKUP(output!$B$3,'source-balance'!$B$1:$AZ$49,C41,FALSE)</f>
        <v>37026712000</v>
      </c>
    </row>
    <row r="42" spans="1:4" ht="31" customHeight="1">
      <c r="A42" s="140" t="s">
        <v>677</v>
      </c>
      <c r="B42" s="141">
        <f t="shared" si="0"/>
        <v>10049499000</v>
      </c>
      <c r="C42" s="142">
        <v>49</v>
      </c>
      <c r="D42" s="142">
        <f>VLOOKUP(output!$B$3,'source-balance'!$B$1:$AZ$49,C42,FALSE)</f>
        <v>10049499000</v>
      </c>
    </row>
    <row r="43" spans="1:4" ht="31" customHeight="1">
      <c r="A43" s="140" t="s">
        <v>678</v>
      </c>
      <c r="B43" s="141">
        <f t="shared" si="0"/>
        <v>6140923000</v>
      </c>
      <c r="C43" s="142">
        <v>50</v>
      </c>
      <c r="D43" s="142">
        <f>VLOOKUP(output!$B$3,'source-balance'!$B$1:$AZ$49,C43,FALSE)</f>
        <v>6140923000</v>
      </c>
    </row>
    <row r="44" spans="1:4" ht="31" customHeight="1">
      <c r="A44" s="140" t="s">
        <v>679</v>
      </c>
      <c r="B44" s="141">
        <f t="shared" si="0"/>
        <v>5568276000</v>
      </c>
      <c r="C44" s="142">
        <v>51</v>
      </c>
      <c r="D44" s="142">
        <f>VLOOKUP(output!$B$3,'source-balance'!$B$1:$AZ$49,C44,FALSE)</f>
        <v>5568276000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CC1F9-ED33-0A4B-96FC-2F2CD20DE53B}">
  <dimension ref="A1:AZ49"/>
  <sheetViews>
    <sheetView workbookViewId="0">
      <selection activeCell="I2" sqref="I2:AZ49"/>
    </sheetView>
  </sheetViews>
  <sheetFormatPr baseColWidth="10" defaultRowHeight="16"/>
  <cols>
    <col min="1" max="8" width="11" style="150"/>
    <col min="9" max="12" width="20.796875" style="150" bestFit="1" customWidth="1"/>
    <col min="13" max="14" width="20.3984375" style="150" bestFit="1" customWidth="1"/>
    <col min="15" max="15" width="20.796875" style="150" bestFit="1" customWidth="1"/>
    <col min="16" max="19" width="19.59765625" style="150" bestFit="1" customWidth="1"/>
    <col min="20" max="20" width="22.59765625" style="150" bestFit="1" customWidth="1"/>
    <col min="21" max="21" width="20.3984375" style="150" bestFit="1" customWidth="1"/>
    <col min="22" max="22" width="23.3984375" style="150" bestFit="1" customWidth="1"/>
    <col min="23" max="25" width="22.59765625" style="150" bestFit="1" customWidth="1"/>
    <col min="26" max="26" width="20.796875" style="150" bestFit="1" customWidth="1"/>
    <col min="27" max="28" width="19.59765625" style="150" bestFit="1" customWidth="1"/>
    <col min="29" max="29" width="20.3984375" style="150" bestFit="1" customWidth="1"/>
    <col min="30" max="30" width="21.59765625" style="150" bestFit="1" customWidth="1"/>
    <col min="31" max="32" width="20.796875" style="150" bestFit="1" customWidth="1"/>
    <col min="33" max="33" width="15.19921875" style="150" bestFit="1" customWidth="1"/>
    <col min="34" max="34" width="20.3984375" style="150" bestFit="1" customWidth="1"/>
    <col min="35" max="37" width="22.59765625" style="150" bestFit="1" customWidth="1"/>
    <col min="38" max="38" width="16.3984375" style="150" bestFit="1" customWidth="1"/>
    <col min="39" max="39" width="22.59765625" style="150" bestFit="1" customWidth="1"/>
    <col min="40" max="41" width="19.59765625" style="150" bestFit="1" customWidth="1"/>
    <col min="42" max="42" width="20.796875" style="150" bestFit="1" customWidth="1"/>
    <col min="43" max="44" width="20.3984375" style="150" bestFit="1" customWidth="1"/>
    <col min="45" max="46" width="20.796875" style="150" bestFit="1" customWidth="1"/>
    <col min="47" max="47" width="22.59765625" style="150" bestFit="1" customWidth="1"/>
    <col min="48" max="48" width="18.19921875" style="150" bestFit="1" customWidth="1"/>
    <col min="49" max="50" width="22.59765625" style="150" bestFit="1" customWidth="1"/>
    <col min="51" max="51" width="20.796875" style="150" bestFit="1" customWidth="1"/>
    <col min="52" max="52" width="21.59765625" style="150" bestFit="1" customWidth="1"/>
    <col min="53" max="16384" width="11" style="150"/>
  </cols>
  <sheetData>
    <row r="1" spans="1:52">
      <c r="A1" s="150" t="s">
        <v>712</v>
      </c>
      <c r="B1" s="150" t="s">
        <v>713</v>
      </c>
      <c r="C1" s="150" t="s">
        <v>714</v>
      </c>
      <c r="D1" s="150" t="s">
        <v>715</v>
      </c>
      <c r="E1" s="150" t="s">
        <v>716</v>
      </c>
      <c r="F1" s="150" t="s">
        <v>717</v>
      </c>
      <c r="G1" s="150" t="s">
        <v>718</v>
      </c>
      <c r="H1" s="150" t="s">
        <v>719</v>
      </c>
      <c r="I1" s="150" t="s">
        <v>636</v>
      </c>
      <c r="J1" s="150" t="s">
        <v>637</v>
      </c>
      <c r="K1" s="150" t="s">
        <v>638</v>
      </c>
      <c r="L1" s="150" t="s">
        <v>639</v>
      </c>
      <c r="M1" s="150" t="s">
        <v>640</v>
      </c>
      <c r="N1" s="150" t="s">
        <v>641</v>
      </c>
      <c r="O1" s="150" t="s">
        <v>642</v>
      </c>
      <c r="P1" s="150" t="s">
        <v>643</v>
      </c>
      <c r="Q1" s="150" t="s">
        <v>644</v>
      </c>
      <c r="R1" s="150" t="s">
        <v>645</v>
      </c>
      <c r="S1" s="150" t="s">
        <v>646</v>
      </c>
      <c r="T1" s="150" t="s">
        <v>647</v>
      </c>
      <c r="U1" s="150" t="s">
        <v>648</v>
      </c>
      <c r="V1" s="150" t="s">
        <v>649</v>
      </c>
      <c r="W1" s="150" t="s">
        <v>650</v>
      </c>
      <c r="X1" s="150" t="s">
        <v>651</v>
      </c>
      <c r="Y1" s="150" t="s">
        <v>652</v>
      </c>
      <c r="Z1" s="150" t="s">
        <v>653</v>
      </c>
      <c r="AA1" s="150" t="s">
        <v>654</v>
      </c>
      <c r="AB1" s="150" t="s">
        <v>655</v>
      </c>
      <c r="AC1" s="150" t="s">
        <v>656</v>
      </c>
      <c r="AD1" s="150" t="s">
        <v>657</v>
      </c>
      <c r="AE1" s="150" t="s">
        <v>658</v>
      </c>
      <c r="AF1" s="150" t="s">
        <v>659</v>
      </c>
      <c r="AG1" s="150" t="s">
        <v>660</v>
      </c>
      <c r="AH1" s="150" t="s">
        <v>661</v>
      </c>
      <c r="AI1" s="150" t="s">
        <v>662</v>
      </c>
      <c r="AJ1" s="150" t="s">
        <v>663</v>
      </c>
      <c r="AK1" s="150" t="s">
        <v>664</v>
      </c>
      <c r="AL1" s="150" t="s">
        <v>665</v>
      </c>
      <c r="AM1" s="150" t="s">
        <v>666</v>
      </c>
      <c r="AN1" s="150" t="s">
        <v>667</v>
      </c>
      <c r="AO1" s="150" t="s">
        <v>668</v>
      </c>
      <c r="AP1" s="150" t="s">
        <v>669</v>
      </c>
      <c r="AQ1" s="150" t="s">
        <v>670</v>
      </c>
      <c r="AR1" s="150" t="s">
        <v>671</v>
      </c>
      <c r="AS1" s="150" t="s">
        <v>672</v>
      </c>
      <c r="AT1" s="150" t="s">
        <v>673</v>
      </c>
      <c r="AU1" s="150" t="s">
        <v>674</v>
      </c>
      <c r="AV1" s="150" t="s">
        <v>675</v>
      </c>
      <c r="AW1" s="150" t="s">
        <v>676</v>
      </c>
      <c r="AX1" s="150" t="s">
        <v>677</v>
      </c>
      <c r="AY1" s="150" t="s">
        <v>678</v>
      </c>
      <c r="AZ1" s="150" t="s">
        <v>679</v>
      </c>
    </row>
    <row r="2" spans="1:52">
      <c r="A2" s="150" t="s">
        <v>720</v>
      </c>
      <c r="B2" s="150" t="s">
        <v>511</v>
      </c>
      <c r="C2" s="150" t="s">
        <v>721</v>
      </c>
      <c r="D2" s="150" t="s">
        <v>722</v>
      </c>
      <c r="E2" s="150" t="s">
        <v>723</v>
      </c>
      <c r="F2" s="150" t="s">
        <v>724</v>
      </c>
      <c r="G2" s="150" t="s">
        <v>725</v>
      </c>
      <c r="H2" s="150" t="s">
        <v>726</v>
      </c>
      <c r="I2" s="151">
        <v>593645000</v>
      </c>
      <c r="J2" s="151">
        <v>2742025000</v>
      </c>
      <c r="K2" s="151">
        <v>436952000</v>
      </c>
      <c r="L2" s="151">
        <v>144449000</v>
      </c>
      <c r="M2" s="151" t="s">
        <v>727</v>
      </c>
      <c r="N2" s="151" t="s">
        <v>727</v>
      </c>
      <c r="O2" s="151">
        <v>581401000</v>
      </c>
      <c r="P2" s="151">
        <v>376906000</v>
      </c>
      <c r="Q2" s="151">
        <v>1104992000</v>
      </c>
      <c r="R2" s="151">
        <v>126633000</v>
      </c>
      <c r="S2" s="151">
        <v>1231625000</v>
      </c>
      <c r="T2" s="151">
        <v>7004412000</v>
      </c>
      <c r="U2" s="151">
        <v>34361000</v>
      </c>
      <c r="V2" s="151">
        <v>-6648286000</v>
      </c>
      <c r="W2" s="151">
        <v>1999018000</v>
      </c>
      <c r="X2" s="151">
        <v>36825308000</v>
      </c>
      <c r="Y2" s="151">
        <v>39405727000</v>
      </c>
      <c r="Z2" s="151" t="s">
        <v>727</v>
      </c>
      <c r="AA2" s="151">
        <v>20798000</v>
      </c>
      <c r="AB2" s="151" t="s">
        <v>727</v>
      </c>
      <c r="AC2" s="151" t="s">
        <v>727</v>
      </c>
      <c r="AD2" s="151">
        <v>-20798000</v>
      </c>
      <c r="AE2" s="151">
        <v>20798000</v>
      </c>
      <c r="AF2" s="151">
        <v>4567932000</v>
      </c>
      <c r="AG2" s="151" t="s">
        <v>727</v>
      </c>
      <c r="AH2" s="151" t="s">
        <v>727</v>
      </c>
      <c r="AI2" s="151">
        <v>-4547134000</v>
      </c>
      <c r="AJ2" s="151">
        <v>20798000</v>
      </c>
      <c r="AK2" s="151">
        <v>35348641000</v>
      </c>
      <c r="AL2" s="151">
        <v>469000</v>
      </c>
      <c r="AM2" s="151">
        <v>35390237000</v>
      </c>
      <c r="AN2" s="151">
        <v>194112000</v>
      </c>
      <c r="AO2" s="151">
        <v>1752000</v>
      </c>
      <c r="AP2" s="151">
        <v>2904882000</v>
      </c>
      <c r="AQ2" s="151">
        <v>-272799000</v>
      </c>
      <c r="AR2" s="151">
        <v>1187543000</v>
      </c>
      <c r="AS2" s="151">
        <v>4015490000</v>
      </c>
      <c r="AT2" s="151">
        <v>4015490000</v>
      </c>
      <c r="AU2" s="151">
        <v>39405727000</v>
      </c>
      <c r="AV2" s="151" t="s">
        <v>727</v>
      </c>
      <c r="AW2" s="151">
        <v>39405727000</v>
      </c>
      <c r="AX2" s="151">
        <v>5484050000</v>
      </c>
      <c r="AY2" s="151">
        <v>4588730000</v>
      </c>
      <c r="AZ2" s="151">
        <v>3995085000</v>
      </c>
    </row>
    <row r="3" spans="1:52">
      <c r="A3" s="150" t="s">
        <v>720</v>
      </c>
      <c r="B3" s="150" t="s">
        <v>513</v>
      </c>
      <c r="C3" s="150" t="s">
        <v>721</v>
      </c>
      <c r="D3" s="150" t="s">
        <v>728</v>
      </c>
      <c r="E3" s="150" t="s">
        <v>729</v>
      </c>
      <c r="F3" s="150" t="s">
        <v>730</v>
      </c>
      <c r="G3" s="150" t="s">
        <v>725</v>
      </c>
      <c r="H3" s="150" t="s">
        <v>726</v>
      </c>
      <c r="I3" s="151">
        <v>318491000</v>
      </c>
      <c r="J3" s="151">
        <v>2741816000</v>
      </c>
      <c r="K3" s="151">
        <v>3060307000</v>
      </c>
      <c r="L3" s="151" t="s">
        <v>727</v>
      </c>
      <c r="M3" s="151" t="s">
        <v>727</v>
      </c>
      <c r="N3" s="151" t="s">
        <v>727</v>
      </c>
      <c r="O3" s="151">
        <v>3060307000</v>
      </c>
      <c r="P3" s="151">
        <v>118243000</v>
      </c>
      <c r="Q3" s="151">
        <v>925211000</v>
      </c>
      <c r="R3" s="151">
        <v>26761000</v>
      </c>
      <c r="S3" s="151">
        <v>951972000</v>
      </c>
      <c r="T3" s="151">
        <v>3589548000</v>
      </c>
      <c r="U3" s="151" t="s">
        <v>727</v>
      </c>
      <c r="V3" s="151">
        <v>-4659763000</v>
      </c>
      <c r="W3" s="151">
        <v>4659763000</v>
      </c>
      <c r="X3" s="151">
        <v>12741068000</v>
      </c>
      <c r="Y3" s="151">
        <v>20461138000</v>
      </c>
      <c r="Z3" s="151" t="s">
        <v>727</v>
      </c>
      <c r="AA3" s="151">
        <v>1176000000</v>
      </c>
      <c r="AB3" s="151" t="s">
        <v>727</v>
      </c>
      <c r="AC3" s="151" t="s">
        <v>727</v>
      </c>
      <c r="AD3" s="151">
        <v>-160000000</v>
      </c>
      <c r="AE3" s="151">
        <v>1016000000</v>
      </c>
      <c r="AF3" s="151">
        <v>389863000</v>
      </c>
      <c r="AG3" s="151" t="s">
        <v>727</v>
      </c>
      <c r="AH3" s="151" t="s">
        <v>727</v>
      </c>
      <c r="AI3" s="151">
        <v>626137000</v>
      </c>
      <c r="AJ3" s="151">
        <v>1016000000</v>
      </c>
      <c r="AK3" s="151">
        <v>16056401000</v>
      </c>
      <c r="AL3" s="151" t="s">
        <v>727</v>
      </c>
      <c r="AM3" s="151">
        <v>18088401000</v>
      </c>
      <c r="AN3" s="151">
        <v>173000</v>
      </c>
      <c r="AO3" s="151">
        <v>98873000</v>
      </c>
      <c r="AP3" s="151">
        <v>919537000</v>
      </c>
      <c r="AQ3" s="151">
        <v>-418286000</v>
      </c>
      <c r="AR3" s="151">
        <v>1772440000</v>
      </c>
      <c r="AS3" s="151">
        <v>2372737000</v>
      </c>
      <c r="AT3" s="151">
        <v>2372737000</v>
      </c>
      <c r="AU3" s="151">
        <v>20461138000</v>
      </c>
      <c r="AV3" s="151" t="s">
        <v>727</v>
      </c>
      <c r="AW3" s="151">
        <v>20461138000</v>
      </c>
      <c r="AX3" s="151">
        <v>6331364000</v>
      </c>
      <c r="AY3" s="151">
        <v>1565863000</v>
      </c>
      <c r="AZ3" s="151">
        <v>1247372000</v>
      </c>
    </row>
    <row r="4" spans="1:52">
      <c r="A4" s="150" t="s">
        <v>720</v>
      </c>
      <c r="B4" s="150" t="s">
        <v>515</v>
      </c>
      <c r="C4" s="150" t="s">
        <v>721</v>
      </c>
      <c r="D4" s="150" t="s">
        <v>731</v>
      </c>
      <c r="E4" s="150" t="s">
        <v>732</v>
      </c>
      <c r="F4" s="150" t="s">
        <v>733</v>
      </c>
      <c r="G4" s="150" t="s">
        <v>725</v>
      </c>
      <c r="H4" s="150" t="s">
        <v>726</v>
      </c>
      <c r="I4" s="151">
        <v>228896000</v>
      </c>
      <c r="J4" s="151">
        <v>868297000</v>
      </c>
      <c r="K4" s="151">
        <v>1097193000</v>
      </c>
      <c r="L4" s="151">
        <v>7029078000</v>
      </c>
      <c r="M4" s="151" t="s">
        <v>727</v>
      </c>
      <c r="N4" s="151" t="s">
        <v>727</v>
      </c>
      <c r="O4" s="151">
        <v>1097193000</v>
      </c>
      <c r="P4" s="151">
        <v>107345000</v>
      </c>
      <c r="Q4" s="151">
        <v>114312000</v>
      </c>
      <c r="R4" s="151">
        <v>7526000</v>
      </c>
      <c r="S4" s="151">
        <v>121838000</v>
      </c>
      <c r="T4" s="151">
        <v>1196938000</v>
      </c>
      <c r="U4" s="151">
        <v>50518000</v>
      </c>
      <c r="V4" s="151">
        <v>-50518000</v>
      </c>
      <c r="W4" s="151">
        <v>1426121000</v>
      </c>
      <c r="X4" s="151">
        <v>6673702000</v>
      </c>
      <c r="Y4" s="151">
        <v>9197016000</v>
      </c>
      <c r="Z4" s="151" t="s">
        <v>727</v>
      </c>
      <c r="AA4" s="151" t="s">
        <v>727</v>
      </c>
      <c r="AB4" s="151" t="s">
        <v>727</v>
      </c>
      <c r="AC4" s="151">
        <v>50518000</v>
      </c>
      <c r="AD4" s="151" t="s">
        <v>727</v>
      </c>
      <c r="AE4" s="151">
        <v>50518000</v>
      </c>
      <c r="AF4" s="151">
        <v>1002254000</v>
      </c>
      <c r="AG4" s="151" t="s">
        <v>727</v>
      </c>
      <c r="AH4" s="151" t="s">
        <v>727</v>
      </c>
      <c r="AI4" s="151">
        <v>7184626000</v>
      </c>
      <c r="AJ4" s="151">
        <v>8186880000</v>
      </c>
      <c r="AK4" s="151" t="s">
        <v>727</v>
      </c>
      <c r="AL4" s="151" t="s">
        <v>727</v>
      </c>
      <c r="AM4" s="151">
        <v>8237398000</v>
      </c>
      <c r="AN4" s="151" t="s">
        <v>727</v>
      </c>
      <c r="AO4" s="151">
        <v>656000</v>
      </c>
      <c r="AP4" s="151">
        <v>248988000</v>
      </c>
      <c r="AQ4" s="151">
        <v>-40597000</v>
      </c>
      <c r="AR4" s="151">
        <v>750571000</v>
      </c>
      <c r="AS4" s="151">
        <v>959618000</v>
      </c>
      <c r="AT4" s="151">
        <v>959618000</v>
      </c>
      <c r="AU4" s="151">
        <v>9197016000</v>
      </c>
      <c r="AV4" s="151" t="s">
        <v>727</v>
      </c>
      <c r="AW4" s="151">
        <v>9197016000</v>
      </c>
      <c r="AX4" s="151">
        <v>2065235000</v>
      </c>
      <c r="AY4" s="151">
        <v>1002254000</v>
      </c>
      <c r="AZ4" s="151">
        <v>773358000</v>
      </c>
    </row>
    <row r="5" spans="1:52">
      <c r="A5" s="150" t="s">
        <v>720</v>
      </c>
      <c r="B5" s="150" t="s">
        <v>517</v>
      </c>
      <c r="C5" s="150" t="s">
        <v>721</v>
      </c>
      <c r="D5" s="150" t="s">
        <v>734</v>
      </c>
      <c r="E5" s="150" t="s">
        <v>735</v>
      </c>
      <c r="F5" s="150" t="s">
        <v>736</v>
      </c>
      <c r="G5" s="150" t="s">
        <v>725</v>
      </c>
      <c r="H5" s="150" t="s">
        <v>726</v>
      </c>
      <c r="I5" s="151">
        <v>237462000000</v>
      </c>
      <c r="J5" s="151">
        <v>220788000000</v>
      </c>
      <c r="K5" s="151">
        <v>458250000000</v>
      </c>
      <c r="L5" s="151">
        <v>81021000000</v>
      </c>
      <c r="M5" s="151" t="s">
        <v>727</v>
      </c>
      <c r="N5" s="151" t="s">
        <v>727</v>
      </c>
      <c r="O5" s="151">
        <v>539271000000</v>
      </c>
      <c r="P5" s="151">
        <v>11510000000</v>
      </c>
      <c r="Q5" s="151">
        <v>69022000000</v>
      </c>
      <c r="R5" s="151" t="s">
        <v>727</v>
      </c>
      <c r="S5" s="151">
        <v>69022000000</v>
      </c>
      <c r="T5" s="151">
        <v>1158371000000</v>
      </c>
      <c r="U5" s="151" t="s">
        <v>727</v>
      </c>
      <c r="V5" s="151">
        <v>-1238903000000</v>
      </c>
      <c r="W5" s="151">
        <v>1238903000000</v>
      </c>
      <c r="X5" s="151">
        <v>1272532000000</v>
      </c>
      <c r="Y5" s="151">
        <v>3050706000000</v>
      </c>
      <c r="Z5" s="151" t="s">
        <v>727</v>
      </c>
      <c r="AA5" s="151">
        <v>26932000000</v>
      </c>
      <c r="AB5" s="151" t="s">
        <v>727</v>
      </c>
      <c r="AC5" s="151" t="s">
        <v>727</v>
      </c>
      <c r="AD5" s="151">
        <v>-26932000000</v>
      </c>
      <c r="AE5" s="151">
        <v>26932000000</v>
      </c>
      <c r="AF5" s="151">
        <v>275982000000</v>
      </c>
      <c r="AG5" s="151" t="s">
        <v>727</v>
      </c>
      <c r="AH5" s="151" t="s">
        <v>727</v>
      </c>
      <c r="AI5" s="151">
        <v>2221633000000</v>
      </c>
      <c r="AJ5" s="151">
        <v>2497615000000</v>
      </c>
      <c r="AK5" s="151">
        <v>252962000000</v>
      </c>
      <c r="AL5" s="151" t="s">
        <v>727</v>
      </c>
      <c r="AM5" s="151">
        <v>2777509000000</v>
      </c>
      <c r="AN5" s="151">
        <v>28397000000</v>
      </c>
      <c r="AO5" s="151">
        <v>58953000000</v>
      </c>
      <c r="AP5" s="151">
        <v>207003000000</v>
      </c>
      <c r="AQ5" s="151">
        <v>-21156000000</v>
      </c>
      <c r="AR5" s="151" t="s">
        <v>727</v>
      </c>
      <c r="AS5" s="151">
        <v>273197000000</v>
      </c>
      <c r="AT5" s="151">
        <v>273197000000</v>
      </c>
      <c r="AU5" s="151">
        <v>3050706000000</v>
      </c>
      <c r="AV5" s="151" t="s">
        <v>727</v>
      </c>
      <c r="AW5" s="151">
        <v>3050706000000</v>
      </c>
      <c r="AX5" s="151">
        <v>1379159000000</v>
      </c>
      <c r="AY5" s="151">
        <v>302914000000</v>
      </c>
      <c r="AZ5" s="151">
        <v>65452000000</v>
      </c>
    </row>
    <row r="6" spans="1:52">
      <c r="A6" s="150" t="s">
        <v>720</v>
      </c>
      <c r="B6" s="150" t="s">
        <v>519</v>
      </c>
      <c r="C6" s="150" t="s">
        <v>721</v>
      </c>
      <c r="D6" s="150" t="s">
        <v>737</v>
      </c>
      <c r="E6" s="150" t="s">
        <v>738</v>
      </c>
      <c r="F6" s="150" t="s">
        <v>739</v>
      </c>
      <c r="G6" s="150" t="s">
        <v>725</v>
      </c>
      <c r="H6" s="150" t="s">
        <v>726</v>
      </c>
      <c r="I6" s="151">
        <v>320403000</v>
      </c>
      <c r="J6" s="151">
        <v>2844823000</v>
      </c>
      <c r="K6" s="151">
        <v>3165226000</v>
      </c>
      <c r="L6" s="151">
        <v>130493000</v>
      </c>
      <c r="M6" s="151" t="s">
        <v>727</v>
      </c>
      <c r="N6" s="151" t="s">
        <v>727</v>
      </c>
      <c r="O6" s="151">
        <v>3295719000</v>
      </c>
      <c r="P6" s="151">
        <v>299084000</v>
      </c>
      <c r="Q6" s="151">
        <v>31517000</v>
      </c>
      <c r="R6" s="151">
        <v>22619000</v>
      </c>
      <c r="S6" s="151">
        <v>54136000</v>
      </c>
      <c r="T6" s="151">
        <v>8258962000</v>
      </c>
      <c r="U6" s="151" t="s">
        <v>727</v>
      </c>
      <c r="V6" s="151">
        <v>-8612182000</v>
      </c>
      <c r="W6" s="151">
        <v>8612182000</v>
      </c>
      <c r="X6" s="151">
        <v>11698976000</v>
      </c>
      <c r="Y6" s="151">
        <v>23606877000</v>
      </c>
      <c r="Z6" s="151">
        <v>9698000</v>
      </c>
      <c r="AA6" s="151">
        <v>100526000</v>
      </c>
      <c r="AB6" s="151">
        <v>7104000</v>
      </c>
      <c r="AC6" s="151" t="s">
        <v>727</v>
      </c>
      <c r="AD6" s="151">
        <v>-100526000</v>
      </c>
      <c r="AE6" s="151">
        <v>9698000</v>
      </c>
      <c r="AF6" s="151">
        <v>510820000</v>
      </c>
      <c r="AG6" s="151" t="s">
        <v>727</v>
      </c>
      <c r="AH6" s="151" t="s">
        <v>727</v>
      </c>
      <c r="AI6" s="151">
        <v>-501122000</v>
      </c>
      <c r="AJ6" s="151">
        <v>9698000</v>
      </c>
      <c r="AK6" s="151">
        <v>22270486000</v>
      </c>
      <c r="AL6" s="151">
        <v>100526000</v>
      </c>
      <c r="AM6" s="151">
        <v>22289882000</v>
      </c>
      <c r="AN6" s="151">
        <v>180000000</v>
      </c>
      <c r="AO6" s="151">
        <v>582000</v>
      </c>
      <c r="AP6" s="151">
        <v>2055912000</v>
      </c>
      <c r="AQ6" s="151">
        <v>-434658000</v>
      </c>
      <c r="AR6" s="151">
        <v>-484841000</v>
      </c>
      <c r="AS6" s="151">
        <v>1316995000</v>
      </c>
      <c r="AT6" s="151">
        <v>1316995000</v>
      </c>
      <c r="AU6" s="151">
        <v>23606877000</v>
      </c>
      <c r="AV6" s="151" t="s">
        <v>727</v>
      </c>
      <c r="AW6" s="151">
        <v>23606877000</v>
      </c>
      <c r="AX6" s="151">
        <v>11103785000</v>
      </c>
      <c r="AY6" s="151">
        <v>510820000</v>
      </c>
      <c r="AZ6" s="151">
        <v>190417000</v>
      </c>
    </row>
    <row r="7" spans="1:52">
      <c r="A7" s="150" t="s">
        <v>720</v>
      </c>
      <c r="B7" s="150" t="s">
        <v>521</v>
      </c>
      <c r="C7" s="150" t="s">
        <v>721</v>
      </c>
      <c r="D7" s="150" t="s">
        <v>740</v>
      </c>
      <c r="E7" s="150" t="s">
        <v>735</v>
      </c>
      <c r="F7" s="150" t="s">
        <v>741</v>
      </c>
      <c r="G7" s="150" t="s">
        <v>725</v>
      </c>
      <c r="H7" s="150" t="s">
        <v>726</v>
      </c>
      <c r="I7" s="151">
        <v>572647000</v>
      </c>
      <c r="J7" s="151">
        <v>9755327000</v>
      </c>
      <c r="K7" s="151">
        <v>572647000</v>
      </c>
      <c r="L7" s="151" t="s">
        <v>727</v>
      </c>
      <c r="M7" s="151" t="s">
        <v>727</v>
      </c>
      <c r="N7" s="151" t="s">
        <v>727</v>
      </c>
      <c r="O7" s="151">
        <v>572647000</v>
      </c>
      <c r="P7" s="151">
        <v>539799000</v>
      </c>
      <c r="Q7" s="151">
        <v>77637000</v>
      </c>
      <c r="R7" s="151" t="s">
        <v>727</v>
      </c>
      <c r="S7" s="151">
        <v>77637000</v>
      </c>
      <c r="T7" s="151">
        <v>10049499000</v>
      </c>
      <c r="U7" s="151" t="s">
        <v>727</v>
      </c>
      <c r="V7" s="151">
        <v>-10666935000</v>
      </c>
      <c r="W7" s="151">
        <v>10666935000</v>
      </c>
      <c r="X7" s="151">
        <v>25787130000</v>
      </c>
      <c r="Y7" s="151">
        <v>37026712000</v>
      </c>
      <c r="Z7" s="151" t="s">
        <v>727</v>
      </c>
      <c r="AA7" s="151" t="s">
        <v>727</v>
      </c>
      <c r="AB7" s="151" t="s">
        <v>727</v>
      </c>
      <c r="AC7" s="151" t="s">
        <v>727</v>
      </c>
      <c r="AD7" s="151" t="s">
        <v>727</v>
      </c>
      <c r="AE7" s="151" t="s">
        <v>727</v>
      </c>
      <c r="AF7" s="151">
        <v>6140923000</v>
      </c>
      <c r="AG7" s="151" t="s">
        <v>727</v>
      </c>
      <c r="AH7" s="151" t="s">
        <v>727</v>
      </c>
      <c r="AI7" s="151">
        <v>-6140923000</v>
      </c>
      <c r="AJ7" s="151">
        <v>34590731000</v>
      </c>
      <c r="AK7" s="151">
        <v>34590731000</v>
      </c>
      <c r="AL7" s="151">
        <v>28389000</v>
      </c>
      <c r="AM7" s="151">
        <v>34590731000</v>
      </c>
      <c r="AN7" s="151" t="s">
        <v>727</v>
      </c>
      <c r="AO7" s="151">
        <v>757000</v>
      </c>
      <c r="AP7" s="151">
        <v>2551400000</v>
      </c>
      <c r="AQ7" s="151">
        <v>-437905000</v>
      </c>
      <c r="AR7" s="151">
        <v>321729000</v>
      </c>
      <c r="AS7" s="151">
        <v>2435981000</v>
      </c>
      <c r="AT7" s="151">
        <v>2435981000</v>
      </c>
      <c r="AU7" s="151">
        <v>37026712000</v>
      </c>
      <c r="AV7" s="151" t="s">
        <v>727</v>
      </c>
      <c r="AW7" s="151">
        <v>37026712000</v>
      </c>
      <c r="AX7" s="151">
        <v>10049499000</v>
      </c>
      <c r="AY7" s="151">
        <v>6140923000</v>
      </c>
      <c r="AZ7" s="151">
        <v>5568276000</v>
      </c>
    </row>
    <row r="8" spans="1:52">
      <c r="A8" s="150" t="s">
        <v>720</v>
      </c>
      <c r="B8" s="150" t="s">
        <v>523</v>
      </c>
      <c r="C8" s="150" t="s">
        <v>721</v>
      </c>
      <c r="D8" s="150" t="s">
        <v>742</v>
      </c>
      <c r="E8" s="150" t="s">
        <v>743</v>
      </c>
      <c r="F8" s="150" t="s">
        <v>744</v>
      </c>
      <c r="G8" s="150" t="s">
        <v>725</v>
      </c>
      <c r="H8" s="150" t="s">
        <v>726</v>
      </c>
      <c r="I8" s="151">
        <v>92295000</v>
      </c>
      <c r="J8" s="151">
        <v>559516000</v>
      </c>
      <c r="K8" s="151">
        <v>651811000</v>
      </c>
      <c r="L8" s="151" t="s">
        <v>727</v>
      </c>
      <c r="M8" s="151" t="s">
        <v>727</v>
      </c>
      <c r="N8" s="151" t="s">
        <v>727</v>
      </c>
      <c r="O8" s="151">
        <v>651811000</v>
      </c>
      <c r="P8" s="151">
        <v>47622000</v>
      </c>
      <c r="Q8" s="151">
        <v>119477000</v>
      </c>
      <c r="R8" s="151">
        <v>5801000</v>
      </c>
      <c r="S8" s="151">
        <v>125278000</v>
      </c>
      <c r="T8" s="151">
        <v>559516000</v>
      </c>
      <c r="U8" s="151">
        <v>24443000</v>
      </c>
      <c r="V8" s="151">
        <v>-24443000</v>
      </c>
      <c r="W8" s="151">
        <v>732416000</v>
      </c>
      <c r="X8" s="151">
        <v>2525576000</v>
      </c>
      <c r="Y8" s="151">
        <v>3909803000</v>
      </c>
      <c r="Z8" s="151" t="s">
        <v>727</v>
      </c>
      <c r="AA8" s="151">
        <v>331369000</v>
      </c>
      <c r="AB8" s="151" t="s">
        <v>727</v>
      </c>
      <c r="AC8" s="151" t="s">
        <v>727</v>
      </c>
      <c r="AD8" s="151">
        <v>-331369000</v>
      </c>
      <c r="AE8" s="151">
        <v>331369000</v>
      </c>
      <c r="AF8" s="151">
        <v>394246000</v>
      </c>
      <c r="AG8" s="151" t="s">
        <v>727</v>
      </c>
      <c r="AH8" s="151" t="s">
        <v>727</v>
      </c>
      <c r="AI8" s="151">
        <v>-62877000</v>
      </c>
      <c r="AJ8" s="151">
        <v>331369000</v>
      </c>
      <c r="AK8" s="151">
        <v>2853615000</v>
      </c>
      <c r="AL8" s="151" t="s">
        <v>727</v>
      </c>
      <c r="AM8" s="151">
        <v>3516353000</v>
      </c>
      <c r="AN8" s="151" t="s">
        <v>727</v>
      </c>
      <c r="AO8" s="151">
        <v>32857000</v>
      </c>
      <c r="AP8" s="151">
        <v>243815000</v>
      </c>
      <c r="AQ8" s="151">
        <v>-58340000</v>
      </c>
      <c r="AR8" s="151">
        <v>175118000</v>
      </c>
      <c r="AS8" s="151">
        <v>393450000</v>
      </c>
      <c r="AT8" s="151">
        <v>393450000</v>
      </c>
      <c r="AU8" s="151">
        <v>3909803000</v>
      </c>
      <c r="AV8" s="151" t="s">
        <v>727</v>
      </c>
      <c r="AW8" s="151">
        <v>3909803000</v>
      </c>
      <c r="AX8" s="151">
        <v>1119032000</v>
      </c>
      <c r="AY8" s="151">
        <v>725615000</v>
      </c>
      <c r="AZ8" s="151">
        <v>633320000</v>
      </c>
    </row>
    <row r="9" spans="1:52">
      <c r="A9" s="150" t="s">
        <v>720</v>
      </c>
      <c r="B9" s="150" t="s">
        <v>525</v>
      </c>
      <c r="C9" s="150" t="s">
        <v>721</v>
      </c>
      <c r="D9" s="150" t="s">
        <v>745</v>
      </c>
      <c r="E9" s="150" t="s">
        <v>738</v>
      </c>
      <c r="F9" s="150" t="s">
        <v>746</v>
      </c>
      <c r="G9" s="150" t="s">
        <v>725</v>
      </c>
      <c r="H9" s="150" t="s">
        <v>726</v>
      </c>
      <c r="I9" s="151">
        <v>145342000</v>
      </c>
      <c r="J9" s="151">
        <v>1963213000</v>
      </c>
      <c r="K9" s="151">
        <v>2108555000</v>
      </c>
      <c r="L9" s="151">
        <v>81254000</v>
      </c>
      <c r="M9" s="151" t="s">
        <v>727</v>
      </c>
      <c r="N9" s="151" t="s">
        <v>727</v>
      </c>
      <c r="O9" s="151">
        <v>2189809000</v>
      </c>
      <c r="P9" s="151">
        <v>85217000</v>
      </c>
      <c r="Q9" s="151">
        <v>-13047000</v>
      </c>
      <c r="R9" s="151">
        <v>37530000</v>
      </c>
      <c r="S9" s="151">
        <v>24483000</v>
      </c>
      <c r="T9" s="151">
        <v>2566139000</v>
      </c>
      <c r="U9" s="151" t="s">
        <v>727</v>
      </c>
      <c r="V9" s="151">
        <v>131378000</v>
      </c>
      <c r="W9" s="151">
        <v>2807217000</v>
      </c>
      <c r="X9" s="151">
        <v>6665838000</v>
      </c>
      <c r="Y9" s="151">
        <v>11662864000</v>
      </c>
      <c r="Z9" s="151">
        <v>1610000</v>
      </c>
      <c r="AA9" s="151" t="s">
        <v>727</v>
      </c>
      <c r="AB9" s="151" t="s">
        <v>727</v>
      </c>
      <c r="AC9" s="151" t="s">
        <v>727</v>
      </c>
      <c r="AD9" s="151">
        <v>-1610000</v>
      </c>
      <c r="AE9" s="151">
        <v>1610000</v>
      </c>
      <c r="AF9" s="151">
        <v>125509000</v>
      </c>
      <c r="AG9" s="151" t="s">
        <v>727</v>
      </c>
      <c r="AH9" s="151" t="s">
        <v>727</v>
      </c>
      <c r="AI9" s="151">
        <v>-123899000</v>
      </c>
      <c r="AJ9" s="151">
        <v>1610000</v>
      </c>
      <c r="AK9" s="151">
        <v>10705582000</v>
      </c>
      <c r="AL9" s="151">
        <v>63042000</v>
      </c>
      <c r="AM9" s="151">
        <v>10708802000</v>
      </c>
      <c r="AN9" s="151" t="s">
        <v>727</v>
      </c>
      <c r="AO9" s="151">
        <v>528000</v>
      </c>
      <c r="AP9" s="151">
        <v>-71428000</v>
      </c>
      <c r="AQ9" s="151">
        <v>-181052000</v>
      </c>
      <c r="AR9" s="151">
        <v>1206014000</v>
      </c>
      <c r="AS9" s="151">
        <v>954062000</v>
      </c>
      <c r="AT9" s="151">
        <v>954062000</v>
      </c>
      <c r="AU9" s="151">
        <v>11662864000</v>
      </c>
      <c r="AV9" s="151" t="s">
        <v>727</v>
      </c>
      <c r="AW9" s="151">
        <v>11662864000</v>
      </c>
      <c r="AX9" s="151">
        <v>4529352000</v>
      </c>
      <c r="AY9" s="151">
        <v>125509000</v>
      </c>
      <c r="AZ9" s="151">
        <v>-19833000</v>
      </c>
    </row>
    <row r="10" spans="1:52">
      <c r="A10" s="150" t="s">
        <v>720</v>
      </c>
      <c r="B10" s="150" t="s">
        <v>527</v>
      </c>
      <c r="C10" s="150" t="s">
        <v>721</v>
      </c>
      <c r="D10" s="150" t="s">
        <v>747</v>
      </c>
      <c r="E10" s="150" t="s">
        <v>748</v>
      </c>
      <c r="F10" s="150" t="s">
        <v>749</v>
      </c>
      <c r="G10" s="150" t="s">
        <v>725</v>
      </c>
      <c r="H10" s="150" t="s">
        <v>726</v>
      </c>
      <c r="I10" s="151">
        <v>77274000</v>
      </c>
      <c r="J10" s="151">
        <v>354341000</v>
      </c>
      <c r="K10" s="151">
        <v>431615000</v>
      </c>
      <c r="L10" s="151">
        <v>12569000</v>
      </c>
      <c r="M10" s="151" t="s">
        <v>727</v>
      </c>
      <c r="N10" s="151" t="s">
        <v>727</v>
      </c>
      <c r="O10" s="151">
        <v>444008000</v>
      </c>
      <c r="P10" s="151">
        <v>30055000</v>
      </c>
      <c r="Q10" s="151">
        <v>26826000</v>
      </c>
      <c r="R10" s="151">
        <v>35574000</v>
      </c>
      <c r="S10" s="151">
        <v>62400000</v>
      </c>
      <c r="T10" s="151">
        <v>402789000</v>
      </c>
      <c r="U10" s="151">
        <v>9182000</v>
      </c>
      <c r="V10" s="151">
        <v>-9182000</v>
      </c>
      <c r="W10" s="151">
        <v>495244000</v>
      </c>
      <c r="X10" s="151">
        <v>2201793000</v>
      </c>
      <c r="Y10" s="151">
        <v>3141045000</v>
      </c>
      <c r="Z10" s="151" t="s">
        <v>727</v>
      </c>
      <c r="AA10" s="151" t="s">
        <v>727</v>
      </c>
      <c r="AB10" s="151" t="s">
        <v>727</v>
      </c>
      <c r="AC10" s="151" t="s">
        <v>727</v>
      </c>
      <c r="AD10" s="151" t="s">
        <v>727</v>
      </c>
      <c r="AE10" s="151" t="s">
        <v>727</v>
      </c>
      <c r="AF10" s="151">
        <v>359480000</v>
      </c>
      <c r="AG10" s="151" t="s">
        <v>727</v>
      </c>
      <c r="AH10" s="151" t="s">
        <v>727</v>
      </c>
      <c r="AI10" s="151">
        <v>-359480000</v>
      </c>
      <c r="AJ10" s="151">
        <v>2881672000</v>
      </c>
      <c r="AK10" s="151">
        <v>2881672000</v>
      </c>
      <c r="AL10" s="151">
        <v>7860000</v>
      </c>
      <c r="AM10" s="151">
        <v>2881672000</v>
      </c>
      <c r="AN10" s="151" t="s">
        <v>727</v>
      </c>
      <c r="AO10" s="151">
        <v>195960000</v>
      </c>
      <c r="AP10" s="151">
        <v>108262000</v>
      </c>
      <c r="AQ10" s="151">
        <v>-45101000</v>
      </c>
      <c r="AR10" s="151">
        <v>252000</v>
      </c>
      <c r="AS10" s="151">
        <v>259373000</v>
      </c>
      <c r="AT10" s="151">
        <v>259373000</v>
      </c>
      <c r="AU10" s="151">
        <v>3141045000</v>
      </c>
      <c r="AV10" s="151" t="s">
        <v>727</v>
      </c>
      <c r="AW10" s="151">
        <v>3141045000</v>
      </c>
      <c r="AX10" s="151">
        <v>757130000</v>
      </c>
      <c r="AY10" s="151">
        <v>359480000</v>
      </c>
      <c r="AZ10" s="151">
        <v>282206000</v>
      </c>
    </row>
    <row r="11" spans="1:52">
      <c r="A11" s="150" t="s">
        <v>720</v>
      </c>
      <c r="B11" s="150" t="s">
        <v>529</v>
      </c>
      <c r="C11" s="150" t="s">
        <v>721</v>
      </c>
      <c r="D11" s="150" t="s">
        <v>750</v>
      </c>
      <c r="E11" s="150" t="s">
        <v>751</v>
      </c>
      <c r="F11" s="150" t="s">
        <v>752</v>
      </c>
      <c r="G11" s="150" t="s">
        <v>725</v>
      </c>
      <c r="H11" s="150" t="s">
        <v>726</v>
      </c>
      <c r="I11" s="151">
        <v>179353000</v>
      </c>
      <c r="J11" s="151">
        <v>1174431000</v>
      </c>
      <c r="K11" s="151">
        <v>1353784000</v>
      </c>
      <c r="L11" s="151">
        <v>717210000</v>
      </c>
      <c r="M11" s="151" t="s">
        <v>727</v>
      </c>
      <c r="N11" s="151" t="s">
        <v>727</v>
      </c>
      <c r="O11" s="151">
        <v>1911478000</v>
      </c>
      <c r="P11" s="151">
        <v>56798000</v>
      </c>
      <c r="Q11" s="151">
        <v>148353000</v>
      </c>
      <c r="R11" s="151">
        <v>10534000</v>
      </c>
      <c r="S11" s="151">
        <v>158887000</v>
      </c>
      <c r="T11" s="151">
        <v>1204297000</v>
      </c>
      <c r="U11" s="151" t="s">
        <v>727</v>
      </c>
      <c r="V11" s="151">
        <v>11352000</v>
      </c>
      <c r="W11" s="151">
        <v>1431334000</v>
      </c>
      <c r="X11" s="151">
        <v>4020129000</v>
      </c>
      <c r="Y11" s="151">
        <v>7362941000</v>
      </c>
      <c r="Z11" s="151">
        <v>4494000</v>
      </c>
      <c r="AA11" s="151" t="s">
        <v>727</v>
      </c>
      <c r="AB11" s="151">
        <v>266245000</v>
      </c>
      <c r="AC11" s="151" t="s">
        <v>727</v>
      </c>
      <c r="AD11" s="151">
        <v>-4494000</v>
      </c>
      <c r="AE11" s="151">
        <v>4494000</v>
      </c>
      <c r="AF11" s="151">
        <v>751428000</v>
      </c>
      <c r="AG11" s="151" t="s">
        <v>727</v>
      </c>
      <c r="AH11" s="151" t="s">
        <v>727</v>
      </c>
      <c r="AI11" s="151">
        <v>-746934000</v>
      </c>
      <c r="AJ11" s="151">
        <v>4494000</v>
      </c>
      <c r="AK11" s="151">
        <v>6588137000</v>
      </c>
      <c r="AL11" s="151">
        <v>14391000</v>
      </c>
      <c r="AM11" s="151">
        <v>6597125000</v>
      </c>
      <c r="AN11" s="151" t="s">
        <v>727</v>
      </c>
      <c r="AO11" s="151">
        <v>389000</v>
      </c>
      <c r="AP11" s="151">
        <v>335794000</v>
      </c>
      <c r="AQ11" s="151">
        <v>-117550000</v>
      </c>
      <c r="AR11" s="151">
        <v>547183000</v>
      </c>
      <c r="AS11" s="151">
        <v>765816000</v>
      </c>
      <c r="AT11" s="151">
        <v>765816000</v>
      </c>
      <c r="AU11" s="151">
        <v>7362941000</v>
      </c>
      <c r="AV11" s="151" t="s">
        <v>727</v>
      </c>
      <c r="AW11" s="151">
        <v>7362941000</v>
      </c>
      <c r="AX11" s="151">
        <v>2378728000</v>
      </c>
      <c r="AY11" s="151">
        <v>751428000</v>
      </c>
      <c r="AZ11" s="151">
        <v>572075000</v>
      </c>
    </row>
    <row r="12" spans="1:52">
      <c r="A12" s="150" t="s">
        <v>720</v>
      </c>
      <c r="B12" s="150" t="s">
        <v>531</v>
      </c>
      <c r="C12" s="150" t="s">
        <v>721</v>
      </c>
      <c r="D12" s="150" t="s">
        <v>753</v>
      </c>
      <c r="E12" s="150" t="s">
        <v>720</v>
      </c>
      <c r="F12" s="150" t="s">
        <v>754</v>
      </c>
      <c r="G12" s="150" t="s">
        <v>725</v>
      </c>
      <c r="H12" s="150" t="s">
        <v>726</v>
      </c>
      <c r="I12" s="151">
        <v>1998152000</v>
      </c>
      <c r="J12" s="151">
        <v>11944096000</v>
      </c>
      <c r="K12" s="151">
        <v>13942248000</v>
      </c>
      <c r="L12" s="151" t="s">
        <v>727</v>
      </c>
      <c r="M12" s="151" t="s">
        <v>727</v>
      </c>
      <c r="N12" s="151" t="s">
        <v>727</v>
      </c>
      <c r="O12" s="151">
        <v>13942248000</v>
      </c>
      <c r="P12" s="151">
        <v>817430000</v>
      </c>
      <c r="Q12" s="151">
        <v>1458795000</v>
      </c>
      <c r="R12" s="151">
        <v>132764000</v>
      </c>
      <c r="S12" s="151">
        <v>1591559000</v>
      </c>
      <c r="T12" s="151">
        <v>11944096000</v>
      </c>
      <c r="U12" s="151" t="s">
        <v>727</v>
      </c>
      <c r="V12" s="151">
        <v>-14353085000</v>
      </c>
      <c r="W12" s="151">
        <v>14353085000</v>
      </c>
      <c r="X12" s="151">
        <v>20358081000</v>
      </c>
      <c r="Y12" s="151">
        <v>48653414000</v>
      </c>
      <c r="Z12" s="151" t="s">
        <v>727</v>
      </c>
      <c r="AA12" s="151">
        <v>3100231000</v>
      </c>
      <c r="AB12" s="151" t="s">
        <v>727</v>
      </c>
      <c r="AC12" s="151" t="s">
        <v>727</v>
      </c>
      <c r="AD12" s="151">
        <v>-3100231000</v>
      </c>
      <c r="AE12" s="151">
        <v>3100231000</v>
      </c>
      <c r="AF12" s="151">
        <v>462554000</v>
      </c>
      <c r="AG12" s="151" t="s">
        <v>727</v>
      </c>
      <c r="AH12" s="151" t="s">
        <v>727</v>
      </c>
      <c r="AI12" s="151">
        <v>2637677000</v>
      </c>
      <c r="AJ12" s="151">
        <v>3100231000</v>
      </c>
      <c r="AK12" s="151">
        <v>38141578000</v>
      </c>
      <c r="AL12" s="151" t="s">
        <v>727</v>
      </c>
      <c r="AM12" s="151">
        <v>44342040000</v>
      </c>
      <c r="AN12" s="151">
        <v>166993000</v>
      </c>
      <c r="AO12" s="151">
        <v>456093000</v>
      </c>
      <c r="AP12" s="151">
        <v>2201435000</v>
      </c>
      <c r="AQ12" s="151">
        <v>-1222538000</v>
      </c>
      <c r="AR12" s="151">
        <v>2709391000</v>
      </c>
      <c r="AS12" s="151">
        <v>4311374000</v>
      </c>
      <c r="AT12" s="151">
        <v>4311374000</v>
      </c>
      <c r="AU12" s="151">
        <v>48653414000</v>
      </c>
      <c r="AV12" s="151" t="s">
        <v>727</v>
      </c>
      <c r="AW12" s="151">
        <v>48653414000</v>
      </c>
      <c r="AX12" s="151">
        <v>23888192000</v>
      </c>
      <c r="AY12" s="151">
        <v>3562785000</v>
      </c>
      <c r="AZ12" s="151">
        <v>1564633000</v>
      </c>
    </row>
    <row r="13" spans="1:52">
      <c r="A13" s="150" t="s">
        <v>720</v>
      </c>
      <c r="B13" s="150" t="s">
        <v>533</v>
      </c>
      <c r="C13" s="150" t="s">
        <v>721</v>
      </c>
      <c r="D13" s="150" t="s">
        <v>755</v>
      </c>
      <c r="E13" s="150" t="s">
        <v>729</v>
      </c>
      <c r="F13" s="150" t="s">
        <v>756</v>
      </c>
      <c r="G13" s="150" t="s">
        <v>725</v>
      </c>
      <c r="H13" s="150" t="s">
        <v>726</v>
      </c>
      <c r="I13" s="151">
        <v>112044000</v>
      </c>
      <c r="J13" s="151">
        <v>671794000</v>
      </c>
      <c r="K13" s="151">
        <v>783838000</v>
      </c>
      <c r="L13" s="151">
        <v>20345000</v>
      </c>
      <c r="M13" s="151" t="s">
        <v>727</v>
      </c>
      <c r="N13" s="151" t="s">
        <v>727</v>
      </c>
      <c r="O13" s="151">
        <v>804183000</v>
      </c>
      <c r="P13" s="151">
        <v>126619000</v>
      </c>
      <c r="Q13" s="151" t="s">
        <v>727</v>
      </c>
      <c r="R13" s="151">
        <v>9074000</v>
      </c>
      <c r="S13" s="151">
        <v>9074000</v>
      </c>
      <c r="T13" s="151">
        <v>1383318000</v>
      </c>
      <c r="U13" s="151" t="s">
        <v>727</v>
      </c>
      <c r="V13" s="151">
        <v>-1519011000</v>
      </c>
      <c r="W13" s="151">
        <v>1519011000</v>
      </c>
      <c r="X13" s="151">
        <v>5109569000</v>
      </c>
      <c r="Y13" s="151">
        <v>7432763000</v>
      </c>
      <c r="Z13" s="151" t="s">
        <v>727</v>
      </c>
      <c r="AA13" s="151">
        <v>5000000</v>
      </c>
      <c r="AB13" s="151" t="s">
        <v>727</v>
      </c>
      <c r="AC13" s="151" t="s">
        <v>727</v>
      </c>
      <c r="AD13" s="151">
        <v>-5000000</v>
      </c>
      <c r="AE13" s="151">
        <v>5000000</v>
      </c>
      <c r="AF13" s="151">
        <v>141748000</v>
      </c>
      <c r="AG13" s="151" t="s">
        <v>727</v>
      </c>
      <c r="AH13" s="151" t="s">
        <v>727</v>
      </c>
      <c r="AI13" s="151">
        <v>-136748000</v>
      </c>
      <c r="AJ13" s="151">
        <v>5000000</v>
      </c>
      <c r="AK13" s="151">
        <v>6969892000</v>
      </c>
      <c r="AL13" s="151">
        <v>35889000</v>
      </c>
      <c r="AM13" s="151">
        <v>6979892000</v>
      </c>
      <c r="AN13" s="151" t="s">
        <v>727</v>
      </c>
      <c r="AO13" s="151">
        <v>408071000</v>
      </c>
      <c r="AP13" s="151">
        <v>87438000</v>
      </c>
      <c r="AQ13" s="151">
        <v>-143984000</v>
      </c>
      <c r="AR13" s="151">
        <v>101346000</v>
      </c>
      <c r="AS13" s="151">
        <v>452871000</v>
      </c>
      <c r="AT13" s="151">
        <v>452871000</v>
      </c>
      <c r="AU13" s="151">
        <v>7432763000</v>
      </c>
      <c r="AV13" s="151" t="s">
        <v>727</v>
      </c>
      <c r="AW13" s="151">
        <v>7432763000</v>
      </c>
      <c r="AX13" s="151">
        <v>2055112000</v>
      </c>
      <c r="AY13" s="151">
        <v>146748000</v>
      </c>
      <c r="AZ13" s="151">
        <v>34704000</v>
      </c>
    </row>
    <row r="14" spans="1:52">
      <c r="A14" s="150" t="s">
        <v>720</v>
      </c>
      <c r="B14" s="150" t="s">
        <v>535</v>
      </c>
      <c r="C14" s="150" t="s">
        <v>721</v>
      </c>
      <c r="D14" s="150" t="s">
        <v>757</v>
      </c>
      <c r="E14" s="150" t="s">
        <v>732</v>
      </c>
      <c r="F14" s="150" t="s">
        <v>758</v>
      </c>
      <c r="G14" s="150" t="s">
        <v>725</v>
      </c>
      <c r="H14" s="150" t="s">
        <v>726</v>
      </c>
      <c r="I14" s="151">
        <v>342025000000</v>
      </c>
      <c r="J14" s="151">
        <v>249679000000</v>
      </c>
      <c r="K14" s="151">
        <v>580771000000</v>
      </c>
      <c r="L14" s="151">
        <v>54192000000</v>
      </c>
      <c r="M14" s="151" t="s">
        <v>727</v>
      </c>
      <c r="N14" s="151" t="s">
        <v>727</v>
      </c>
      <c r="O14" s="151">
        <v>635317000000</v>
      </c>
      <c r="P14" s="151">
        <v>26253000000</v>
      </c>
      <c r="Q14" s="151">
        <v>19691000000</v>
      </c>
      <c r="R14" s="151">
        <v>4428000000</v>
      </c>
      <c r="S14" s="151">
        <v>24119000000</v>
      </c>
      <c r="T14" s="151">
        <v>860696000000</v>
      </c>
      <c r="U14" s="151" t="s">
        <v>727</v>
      </c>
      <c r="V14" s="151">
        <v>-144468000000</v>
      </c>
      <c r="W14" s="151">
        <v>766600000000</v>
      </c>
      <c r="X14" s="151">
        <v>1014759000000</v>
      </c>
      <c r="Y14" s="151">
        <v>2416676000000</v>
      </c>
      <c r="Z14" s="151">
        <v>69218000000</v>
      </c>
      <c r="AA14" s="151">
        <v>47096000000</v>
      </c>
      <c r="AB14" s="151" t="s">
        <v>727</v>
      </c>
      <c r="AC14" s="151" t="s">
        <v>727</v>
      </c>
      <c r="AD14" s="151">
        <v>-116314000000</v>
      </c>
      <c r="AE14" s="151">
        <v>116314000000</v>
      </c>
      <c r="AF14" s="151">
        <v>271606000000</v>
      </c>
      <c r="AG14" s="151" t="s">
        <v>727</v>
      </c>
      <c r="AH14" s="151" t="s">
        <v>727</v>
      </c>
      <c r="AI14" s="151">
        <v>-155292000000</v>
      </c>
      <c r="AJ14" s="151">
        <v>116314000000</v>
      </c>
      <c r="AK14" s="151">
        <v>1982210000000</v>
      </c>
      <c r="AL14" s="151" t="s">
        <v>727</v>
      </c>
      <c r="AM14" s="151">
        <v>2214838000000</v>
      </c>
      <c r="AN14" s="151">
        <v>18995000000</v>
      </c>
      <c r="AO14" s="151">
        <v>31000000</v>
      </c>
      <c r="AP14" s="151">
        <v>194734000000</v>
      </c>
      <c r="AQ14" s="151">
        <v>-47062000000</v>
      </c>
      <c r="AR14" s="151">
        <v>34491000000</v>
      </c>
      <c r="AS14" s="151">
        <v>201189000000</v>
      </c>
      <c r="AT14" s="151">
        <v>201189000000</v>
      </c>
      <c r="AU14" s="151">
        <v>2416676000000</v>
      </c>
      <c r="AV14" s="151">
        <v>649000000</v>
      </c>
      <c r="AW14" s="151">
        <v>2416676000000</v>
      </c>
      <c r="AX14" s="151">
        <v>954974000000</v>
      </c>
      <c r="AY14" s="151">
        <v>318702000000</v>
      </c>
      <c r="AZ14" s="151">
        <v>-23323000000</v>
      </c>
    </row>
    <row r="15" spans="1:52">
      <c r="A15" s="150" t="s">
        <v>720</v>
      </c>
      <c r="B15" s="150" t="s">
        <v>537</v>
      </c>
      <c r="C15" s="150" t="s">
        <v>721</v>
      </c>
      <c r="D15" s="150" t="s">
        <v>759</v>
      </c>
      <c r="E15" s="150" t="s">
        <v>760</v>
      </c>
      <c r="F15" s="150" t="s">
        <v>761</v>
      </c>
      <c r="G15" s="150" t="s">
        <v>725</v>
      </c>
      <c r="H15" s="150" t="s">
        <v>726</v>
      </c>
      <c r="I15" s="151">
        <v>10850000000</v>
      </c>
      <c r="J15" s="151">
        <v>24007000000</v>
      </c>
      <c r="K15" s="151">
        <v>34857000000</v>
      </c>
      <c r="L15" s="151">
        <v>1479000000</v>
      </c>
      <c r="M15" s="151" t="s">
        <v>727</v>
      </c>
      <c r="N15" s="151">
        <v>-36020000000</v>
      </c>
      <c r="O15" s="151">
        <v>316000000</v>
      </c>
      <c r="P15" s="151">
        <v>844000000</v>
      </c>
      <c r="Q15" s="151">
        <v>8173000000</v>
      </c>
      <c r="R15" s="151">
        <v>197000000</v>
      </c>
      <c r="S15" s="151">
        <v>8370000000</v>
      </c>
      <c r="T15" s="151">
        <v>33841000000</v>
      </c>
      <c r="U15" s="151">
        <v>57000000</v>
      </c>
      <c r="V15" s="151">
        <v>-33841000000</v>
      </c>
      <c r="W15" s="151">
        <v>9271000000</v>
      </c>
      <c r="X15" s="151">
        <v>217146000000</v>
      </c>
      <c r="Y15" s="151">
        <v>226733000000</v>
      </c>
      <c r="Z15" s="151" t="s">
        <v>727</v>
      </c>
      <c r="AA15" s="151">
        <v>3000000</v>
      </c>
      <c r="AB15" s="151" t="s">
        <v>727</v>
      </c>
      <c r="AC15" s="151" t="s">
        <v>727</v>
      </c>
      <c r="AD15" s="151">
        <v>-3000000</v>
      </c>
      <c r="AE15" s="151">
        <v>3000000</v>
      </c>
      <c r="AF15" s="151">
        <v>15887000000</v>
      </c>
      <c r="AG15" s="151" t="s">
        <v>727</v>
      </c>
      <c r="AH15" s="151" t="s">
        <v>727</v>
      </c>
      <c r="AI15" s="151">
        <v>-15884000000</v>
      </c>
      <c r="AJ15" s="151">
        <v>3000000</v>
      </c>
      <c r="AK15" s="151">
        <v>203037000000</v>
      </c>
      <c r="AL15" s="151" t="s">
        <v>727</v>
      </c>
      <c r="AM15" s="151">
        <v>203043000000</v>
      </c>
      <c r="AN15" s="151">
        <v>2014000000</v>
      </c>
      <c r="AO15" s="151">
        <v>6000000</v>
      </c>
      <c r="AP15" s="151">
        <v>9159000000</v>
      </c>
      <c r="AQ15" s="151">
        <v>-4560000000</v>
      </c>
      <c r="AR15" s="151">
        <v>17071000000</v>
      </c>
      <c r="AS15" s="151">
        <v>23690000000</v>
      </c>
      <c r="AT15" s="151">
        <v>23690000000</v>
      </c>
      <c r="AU15" s="151">
        <v>226733000000</v>
      </c>
      <c r="AV15" s="151" t="s">
        <v>727</v>
      </c>
      <c r="AW15" s="151">
        <v>226733000000</v>
      </c>
      <c r="AX15" s="151">
        <v>57848000000</v>
      </c>
      <c r="AY15" s="151">
        <v>15890000000</v>
      </c>
      <c r="AZ15" s="151">
        <v>5040000000</v>
      </c>
    </row>
    <row r="16" spans="1:52">
      <c r="A16" s="150" t="s">
        <v>720</v>
      </c>
      <c r="B16" s="150" t="s">
        <v>539</v>
      </c>
      <c r="C16" s="150" t="s">
        <v>721</v>
      </c>
      <c r="D16" s="150" t="s">
        <v>762</v>
      </c>
      <c r="E16" s="150" t="s">
        <v>763</v>
      </c>
      <c r="F16" s="150" t="s">
        <v>764</v>
      </c>
      <c r="G16" s="150" t="s">
        <v>725</v>
      </c>
      <c r="H16" s="150" t="s">
        <v>726</v>
      </c>
      <c r="I16" s="151">
        <v>6282000000</v>
      </c>
      <c r="J16" s="151">
        <v>19169000000</v>
      </c>
      <c r="K16" s="151">
        <v>25451000000</v>
      </c>
      <c r="L16" s="151">
        <v>7523000000</v>
      </c>
      <c r="M16" s="151" t="s">
        <v>727</v>
      </c>
      <c r="N16" s="151">
        <v>-1693000000</v>
      </c>
      <c r="O16" s="151">
        <v>31281000000</v>
      </c>
      <c r="P16" s="151">
        <v>400000000</v>
      </c>
      <c r="Q16" s="151">
        <v>635000000</v>
      </c>
      <c r="R16" s="151" t="s">
        <v>727</v>
      </c>
      <c r="S16" s="151">
        <v>635000000</v>
      </c>
      <c r="T16" s="151">
        <v>19169000000</v>
      </c>
      <c r="U16" s="151" t="s">
        <v>727</v>
      </c>
      <c r="V16" s="151">
        <v>-19804000000</v>
      </c>
      <c r="W16" s="151">
        <v>400000000</v>
      </c>
      <c r="X16" s="151">
        <v>53725000000</v>
      </c>
      <c r="Y16" s="151">
        <v>85406000000</v>
      </c>
      <c r="Z16" s="151" t="s">
        <v>727</v>
      </c>
      <c r="AA16" s="151">
        <v>3211000000</v>
      </c>
      <c r="AB16" s="151" t="s">
        <v>727</v>
      </c>
      <c r="AC16" s="151" t="s">
        <v>727</v>
      </c>
      <c r="AD16" s="151" t="s">
        <v>727</v>
      </c>
      <c r="AE16" s="151">
        <v>3211000000</v>
      </c>
      <c r="AF16" s="151">
        <v>3024000000</v>
      </c>
      <c r="AG16" s="151" t="s">
        <v>727</v>
      </c>
      <c r="AH16" s="151" t="s">
        <v>727</v>
      </c>
      <c r="AI16" s="151">
        <v>73990000000</v>
      </c>
      <c r="AJ16" s="151">
        <v>77014000000</v>
      </c>
      <c r="AK16" s="151" t="s">
        <v>727</v>
      </c>
      <c r="AL16" s="151" t="s">
        <v>727</v>
      </c>
      <c r="AM16" s="151">
        <v>80225000000</v>
      </c>
      <c r="AN16" s="151">
        <v>394000000</v>
      </c>
      <c r="AO16" s="151">
        <v>1141000000</v>
      </c>
      <c r="AP16" s="151">
        <v>11258000000</v>
      </c>
      <c r="AQ16" s="151">
        <v>-3742000000</v>
      </c>
      <c r="AR16" s="151">
        <v>-3870000000</v>
      </c>
      <c r="AS16" s="151">
        <v>5181000000</v>
      </c>
      <c r="AT16" s="151">
        <v>5181000000</v>
      </c>
      <c r="AU16" s="151">
        <v>85406000000</v>
      </c>
      <c r="AV16" s="151" t="s">
        <v>727</v>
      </c>
      <c r="AW16" s="151">
        <v>85406000000</v>
      </c>
      <c r="AX16" s="151">
        <v>38338000000</v>
      </c>
      <c r="AY16" s="151">
        <v>6235000000</v>
      </c>
      <c r="AZ16" s="151">
        <v>-47000000</v>
      </c>
    </row>
    <row r="17" spans="1:52">
      <c r="A17" s="150" t="s">
        <v>720</v>
      </c>
      <c r="B17" s="150" t="s">
        <v>541</v>
      </c>
      <c r="C17" s="150" t="s">
        <v>721</v>
      </c>
      <c r="D17" s="150" t="s">
        <v>765</v>
      </c>
      <c r="E17" s="150" t="s">
        <v>738</v>
      </c>
      <c r="F17" s="150" t="s">
        <v>766</v>
      </c>
      <c r="G17" s="150" t="s">
        <v>725</v>
      </c>
      <c r="H17" s="150" t="s">
        <v>726</v>
      </c>
      <c r="I17" s="151">
        <v>209896000</v>
      </c>
      <c r="J17" s="151">
        <v>4151851000</v>
      </c>
      <c r="K17" s="151">
        <v>4361747000</v>
      </c>
      <c r="L17" s="151">
        <v>52613000</v>
      </c>
      <c r="M17" s="151" t="s">
        <v>727</v>
      </c>
      <c r="N17" s="151" t="s">
        <v>727</v>
      </c>
      <c r="O17" s="151">
        <v>4414360000</v>
      </c>
      <c r="P17" s="151">
        <v>160778000</v>
      </c>
      <c r="Q17" s="151">
        <v>841841000</v>
      </c>
      <c r="R17" s="151">
        <v>60996000</v>
      </c>
      <c r="S17" s="151">
        <v>902837000</v>
      </c>
      <c r="T17" s="151">
        <v>5314888000</v>
      </c>
      <c r="U17" s="151" t="s">
        <v>727</v>
      </c>
      <c r="V17" s="151">
        <v>-78641000</v>
      </c>
      <c r="W17" s="151">
        <v>6299862000</v>
      </c>
      <c r="X17" s="151">
        <v>5121429000</v>
      </c>
      <c r="Y17" s="151">
        <v>15835651000</v>
      </c>
      <c r="Z17" s="151">
        <v>133863000</v>
      </c>
      <c r="AA17" s="151">
        <v>768400000</v>
      </c>
      <c r="AB17" s="151" t="s">
        <v>727</v>
      </c>
      <c r="AC17" s="151" t="s">
        <v>727</v>
      </c>
      <c r="AD17" s="151">
        <v>-902263000</v>
      </c>
      <c r="AE17" s="151">
        <v>902263000</v>
      </c>
      <c r="AF17" s="151">
        <v>1137775000</v>
      </c>
      <c r="AG17" s="151" t="s">
        <v>727</v>
      </c>
      <c r="AH17" s="151" t="s">
        <v>727</v>
      </c>
      <c r="AI17" s="151">
        <v>-235512000</v>
      </c>
      <c r="AJ17" s="151">
        <v>902263000</v>
      </c>
      <c r="AK17" s="151">
        <v>12479420000</v>
      </c>
      <c r="AL17" s="151" t="s">
        <v>727</v>
      </c>
      <c r="AM17" s="151">
        <v>14283946000</v>
      </c>
      <c r="AN17" s="151" t="s">
        <v>727</v>
      </c>
      <c r="AO17" s="151">
        <v>54190000</v>
      </c>
      <c r="AP17" s="151">
        <v>1152452000</v>
      </c>
      <c r="AQ17" s="151">
        <v>-686439000</v>
      </c>
      <c r="AR17" s="151">
        <v>1031502000</v>
      </c>
      <c r="AS17" s="151">
        <v>1551705000</v>
      </c>
      <c r="AT17" s="151">
        <v>1551705000</v>
      </c>
      <c r="AU17" s="151">
        <v>15835651000</v>
      </c>
      <c r="AV17" s="151" t="s">
        <v>727</v>
      </c>
      <c r="AW17" s="151">
        <v>15835651000</v>
      </c>
      <c r="AX17" s="151">
        <v>9388098000</v>
      </c>
      <c r="AY17" s="151">
        <v>1906175000</v>
      </c>
      <c r="AZ17" s="151">
        <v>1696279000</v>
      </c>
    </row>
    <row r="18" spans="1:52">
      <c r="A18" s="150" t="s">
        <v>720</v>
      </c>
      <c r="B18" s="150" t="s">
        <v>543</v>
      </c>
      <c r="C18" s="150" t="s">
        <v>721</v>
      </c>
      <c r="D18" s="150" t="s">
        <v>767</v>
      </c>
      <c r="E18" s="150" t="s">
        <v>768</v>
      </c>
      <c r="F18" s="150" t="s">
        <v>769</v>
      </c>
      <c r="G18" s="150" t="s">
        <v>725</v>
      </c>
      <c r="H18" s="150" t="s">
        <v>726</v>
      </c>
      <c r="I18" s="151">
        <v>11820455000</v>
      </c>
      <c r="J18" s="151">
        <v>18243605000</v>
      </c>
      <c r="K18" s="151">
        <v>18935158000</v>
      </c>
      <c r="L18" s="151">
        <v>1077942000</v>
      </c>
      <c r="M18" s="151" t="s">
        <v>727</v>
      </c>
      <c r="N18" s="151" t="s">
        <v>727</v>
      </c>
      <c r="O18" s="151">
        <v>20013100000</v>
      </c>
      <c r="P18" s="151">
        <v>1102695000</v>
      </c>
      <c r="Q18" s="151">
        <v>654952000</v>
      </c>
      <c r="R18" s="151">
        <v>386000</v>
      </c>
      <c r="S18" s="151">
        <v>655000000</v>
      </c>
      <c r="T18" s="151">
        <v>20910733000</v>
      </c>
      <c r="U18" s="151" t="s">
        <v>727</v>
      </c>
      <c r="V18" s="151">
        <v>-20910395000</v>
      </c>
      <c r="W18" s="151">
        <v>1758033000</v>
      </c>
      <c r="X18" s="151">
        <v>31120867000</v>
      </c>
      <c r="Y18" s="151">
        <v>52892000000</v>
      </c>
      <c r="Z18" s="151">
        <v>866257000</v>
      </c>
      <c r="AA18" s="151" t="s">
        <v>727</v>
      </c>
      <c r="AB18" s="151" t="s">
        <v>727</v>
      </c>
      <c r="AC18" s="151" t="s">
        <v>727</v>
      </c>
      <c r="AD18" s="151">
        <v>-866257000</v>
      </c>
      <c r="AE18" s="151">
        <v>866257000</v>
      </c>
      <c r="AF18" s="151">
        <v>222404000</v>
      </c>
      <c r="AG18" s="151" t="s">
        <v>727</v>
      </c>
      <c r="AH18" s="151" t="s">
        <v>727</v>
      </c>
      <c r="AI18" s="151">
        <v>643853000</v>
      </c>
      <c r="AJ18" s="151">
        <v>866257000</v>
      </c>
      <c r="AK18" s="151">
        <v>48022486000</v>
      </c>
      <c r="AL18" s="151" t="s">
        <v>727</v>
      </c>
      <c r="AM18" s="151">
        <v>49755000000</v>
      </c>
      <c r="AN18" s="151">
        <v>145452000</v>
      </c>
      <c r="AO18" s="151">
        <v>643000</v>
      </c>
      <c r="AP18" s="151">
        <v>3309671000</v>
      </c>
      <c r="AQ18" s="151">
        <v>-1348294000</v>
      </c>
      <c r="AR18" s="151">
        <v>1029528000</v>
      </c>
      <c r="AS18" s="151">
        <v>3137000000</v>
      </c>
      <c r="AT18" s="151">
        <v>3137000000</v>
      </c>
      <c r="AU18" s="151">
        <v>52892000000</v>
      </c>
      <c r="AV18" s="151" t="s">
        <v>727</v>
      </c>
      <c r="AW18" s="151">
        <v>52892000000</v>
      </c>
      <c r="AX18" s="151">
        <v>39154338000</v>
      </c>
      <c r="AY18" s="151">
        <v>222404000</v>
      </c>
      <c r="AZ18" s="151">
        <v>-11598051000</v>
      </c>
    </row>
    <row r="19" spans="1:52">
      <c r="A19" s="150" t="s">
        <v>720</v>
      </c>
      <c r="B19" s="150" t="s">
        <v>545</v>
      </c>
      <c r="C19" s="150" t="s">
        <v>721</v>
      </c>
      <c r="D19" s="150" t="s">
        <v>770</v>
      </c>
      <c r="E19" s="150" t="s">
        <v>771</v>
      </c>
      <c r="F19" s="150" t="s">
        <v>772</v>
      </c>
      <c r="G19" s="150" t="s">
        <v>725</v>
      </c>
      <c r="H19" s="150" t="s">
        <v>726</v>
      </c>
      <c r="I19" s="151">
        <v>455806000</v>
      </c>
      <c r="J19" s="151">
        <v>2987500000</v>
      </c>
      <c r="K19" s="151">
        <v>3443306000</v>
      </c>
      <c r="L19" s="151">
        <v>123374000</v>
      </c>
      <c r="M19" s="151" t="s">
        <v>727</v>
      </c>
      <c r="N19" s="151">
        <v>15335435000</v>
      </c>
      <c r="O19" s="151">
        <v>18902115000</v>
      </c>
      <c r="P19" s="151">
        <v>9025000</v>
      </c>
      <c r="Q19" s="151" t="s">
        <v>727</v>
      </c>
      <c r="R19" s="151" t="s">
        <v>727</v>
      </c>
      <c r="S19" s="151">
        <v>3629000</v>
      </c>
      <c r="T19" s="151">
        <v>3827759000</v>
      </c>
      <c r="U19" s="151" t="s">
        <v>727</v>
      </c>
      <c r="V19" s="151">
        <v>-3827759000</v>
      </c>
      <c r="W19" s="151">
        <v>12654000</v>
      </c>
      <c r="X19" s="151">
        <v>1981343000</v>
      </c>
      <c r="Y19" s="151">
        <v>20896112000</v>
      </c>
      <c r="Z19" s="151">
        <v>230666000</v>
      </c>
      <c r="AA19" s="151">
        <v>300000000</v>
      </c>
      <c r="AB19" s="151" t="s">
        <v>727</v>
      </c>
      <c r="AC19" s="151" t="s">
        <v>727</v>
      </c>
      <c r="AD19" s="151">
        <v>-300000000</v>
      </c>
      <c r="AE19" s="151">
        <v>230666000</v>
      </c>
      <c r="AF19" s="151">
        <v>1105532000</v>
      </c>
      <c r="AG19" s="151" t="s">
        <v>727</v>
      </c>
      <c r="AH19" s="151" t="s">
        <v>727</v>
      </c>
      <c r="AI19" s="151">
        <v>-874866000</v>
      </c>
      <c r="AJ19" s="151">
        <v>230666000</v>
      </c>
      <c r="AK19" s="151">
        <v>19031819000</v>
      </c>
      <c r="AL19" s="151" t="s">
        <v>727</v>
      </c>
      <c r="AM19" s="151">
        <v>19493151000</v>
      </c>
      <c r="AN19" s="151">
        <v>137794000</v>
      </c>
      <c r="AO19" s="151">
        <v>35012000</v>
      </c>
      <c r="AP19" s="151">
        <v>924134000</v>
      </c>
      <c r="AQ19" s="151">
        <v>-163096000</v>
      </c>
      <c r="AR19" s="151">
        <v>469117000</v>
      </c>
      <c r="AS19" s="151">
        <v>1402961000</v>
      </c>
      <c r="AT19" s="151">
        <v>1402961000</v>
      </c>
      <c r="AU19" s="151">
        <v>20896112000</v>
      </c>
      <c r="AV19" s="151" t="s">
        <v>727</v>
      </c>
      <c r="AW19" s="151">
        <v>20896112000</v>
      </c>
      <c r="AX19" s="151">
        <v>6815259000</v>
      </c>
      <c r="AY19" s="151">
        <v>1405532000</v>
      </c>
      <c r="AZ19" s="151">
        <v>949726000</v>
      </c>
    </row>
    <row r="20" spans="1:52">
      <c r="A20" s="150" t="s">
        <v>720</v>
      </c>
      <c r="B20" s="150" t="s">
        <v>547</v>
      </c>
      <c r="C20" s="150" t="s">
        <v>721</v>
      </c>
      <c r="D20" s="150" t="s">
        <v>773</v>
      </c>
      <c r="E20" s="150" t="s">
        <v>774</v>
      </c>
      <c r="F20" s="150" t="s">
        <v>775</v>
      </c>
      <c r="G20" s="150" t="s">
        <v>725</v>
      </c>
      <c r="H20" s="150" t="s">
        <v>726</v>
      </c>
      <c r="I20" s="151">
        <v>6258000</v>
      </c>
      <c r="J20" s="151">
        <v>364326000</v>
      </c>
      <c r="K20" s="151">
        <v>387380000</v>
      </c>
      <c r="L20" s="151" t="s">
        <v>727</v>
      </c>
      <c r="M20" s="151" t="s">
        <v>727</v>
      </c>
      <c r="N20" s="151" t="s">
        <v>727</v>
      </c>
      <c r="O20" s="151">
        <v>387380000</v>
      </c>
      <c r="P20" s="151">
        <v>21391000</v>
      </c>
      <c r="Q20" s="151">
        <v>12702000</v>
      </c>
      <c r="R20" s="151">
        <v>1227000</v>
      </c>
      <c r="S20" s="151">
        <v>13929000</v>
      </c>
      <c r="T20" s="151">
        <v>371275000</v>
      </c>
      <c r="U20" s="151" t="s">
        <v>727</v>
      </c>
      <c r="V20" s="151">
        <v>-406595000</v>
      </c>
      <c r="W20" s="151">
        <v>406595000</v>
      </c>
      <c r="X20" s="151">
        <v>1384535000</v>
      </c>
      <c r="Y20" s="151">
        <v>2178510000</v>
      </c>
      <c r="Z20" s="151" t="s">
        <v>727</v>
      </c>
      <c r="AA20" s="151">
        <v>4723000</v>
      </c>
      <c r="AB20" s="151" t="s">
        <v>727</v>
      </c>
      <c r="AC20" s="151" t="s">
        <v>727</v>
      </c>
      <c r="AD20" s="151" t="s">
        <v>727</v>
      </c>
      <c r="AE20" s="151">
        <v>4723000</v>
      </c>
      <c r="AF20" s="151">
        <v>231223000</v>
      </c>
      <c r="AG20" s="151" t="s">
        <v>727</v>
      </c>
      <c r="AH20" s="151" t="s">
        <v>727</v>
      </c>
      <c r="AI20" s="151">
        <v>1788571000</v>
      </c>
      <c r="AJ20" s="151">
        <v>2019794000</v>
      </c>
      <c r="AK20" s="151" t="s">
        <v>727</v>
      </c>
      <c r="AL20" s="151">
        <v>4723000</v>
      </c>
      <c r="AM20" s="151">
        <v>2024517000</v>
      </c>
      <c r="AN20" s="151" t="s">
        <v>727</v>
      </c>
      <c r="AO20" s="151">
        <v>2775000</v>
      </c>
      <c r="AP20" s="151">
        <v>123356000</v>
      </c>
      <c r="AQ20" s="151">
        <v>-49278000</v>
      </c>
      <c r="AR20" s="151">
        <v>77140000</v>
      </c>
      <c r="AS20" s="151">
        <v>153993000</v>
      </c>
      <c r="AT20" s="151">
        <v>153993000</v>
      </c>
      <c r="AU20" s="151">
        <v>2178510000</v>
      </c>
      <c r="AV20" s="151" t="s">
        <v>727</v>
      </c>
      <c r="AW20" s="151">
        <v>2178510000</v>
      </c>
      <c r="AX20" s="151">
        <v>735601000</v>
      </c>
      <c r="AY20" s="151">
        <v>231223000</v>
      </c>
      <c r="AZ20" s="151">
        <v>224965000</v>
      </c>
    </row>
    <row r="21" spans="1:52">
      <c r="A21" s="150" t="s">
        <v>720</v>
      </c>
      <c r="B21" s="150" t="s">
        <v>549</v>
      </c>
      <c r="C21" s="150" t="s">
        <v>721</v>
      </c>
      <c r="D21" s="150" t="s">
        <v>776</v>
      </c>
      <c r="E21" s="150" t="s">
        <v>729</v>
      </c>
      <c r="F21" s="150" t="s">
        <v>777</v>
      </c>
      <c r="G21" s="150" t="s">
        <v>725</v>
      </c>
      <c r="H21" s="150" t="s">
        <v>726</v>
      </c>
      <c r="I21" s="151">
        <v>1674000000</v>
      </c>
      <c r="J21" s="151">
        <v>3275000000</v>
      </c>
      <c r="K21" s="151">
        <v>4949000000</v>
      </c>
      <c r="L21" s="151">
        <v>519000000</v>
      </c>
      <c r="M21" s="151" t="s">
        <v>727</v>
      </c>
      <c r="N21" s="151">
        <v>-519000000</v>
      </c>
      <c r="O21" s="151">
        <v>4949000000</v>
      </c>
      <c r="P21" s="151">
        <v>432000000</v>
      </c>
      <c r="Q21" s="151">
        <v>2477000000</v>
      </c>
      <c r="R21" s="151">
        <v>89000000</v>
      </c>
      <c r="S21" s="151">
        <v>2566000000</v>
      </c>
      <c r="T21" s="151">
        <v>7362000000</v>
      </c>
      <c r="U21" s="151" t="s">
        <v>727</v>
      </c>
      <c r="V21" s="151">
        <v>-7362000000</v>
      </c>
      <c r="W21" s="151">
        <v>2998000000</v>
      </c>
      <c r="X21" s="151">
        <v>35778000000</v>
      </c>
      <c r="Y21" s="151">
        <v>43725000000</v>
      </c>
      <c r="Z21" s="151" t="s">
        <v>727</v>
      </c>
      <c r="AA21" s="151">
        <v>1372000000</v>
      </c>
      <c r="AB21" s="151" t="s">
        <v>727</v>
      </c>
      <c r="AC21" s="151" t="s">
        <v>727</v>
      </c>
      <c r="AD21" s="151" t="s">
        <v>727</v>
      </c>
      <c r="AE21" s="151">
        <v>1372000000</v>
      </c>
      <c r="AF21" s="151">
        <v>1093000000</v>
      </c>
      <c r="AG21" s="151" t="s">
        <v>727</v>
      </c>
      <c r="AH21" s="151" t="s">
        <v>727</v>
      </c>
      <c r="AI21" s="151">
        <v>35607000000</v>
      </c>
      <c r="AJ21" s="151">
        <v>36700000000</v>
      </c>
      <c r="AK21" s="151" t="s">
        <v>727</v>
      </c>
      <c r="AL21" s="151" t="s">
        <v>727</v>
      </c>
      <c r="AM21" s="151">
        <v>38072000000</v>
      </c>
      <c r="AN21" s="151">
        <v>107000000</v>
      </c>
      <c r="AO21" s="151">
        <v>4000000</v>
      </c>
      <c r="AP21" s="151">
        <v>1370000000</v>
      </c>
      <c r="AQ21" s="151">
        <v>-357000000</v>
      </c>
      <c r="AR21" s="151">
        <v>4529000000</v>
      </c>
      <c r="AS21" s="151">
        <v>5653000000</v>
      </c>
      <c r="AT21" s="151">
        <v>5653000000</v>
      </c>
      <c r="AU21" s="151">
        <v>43725000000</v>
      </c>
      <c r="AV21" s="151" t="s">
        <v>727</v>
      </c>
      <c r="AW21" s="151">
        <v>43725000000</v>
      </c>
      <c r="AX21" s="151">
        <v>10637000000</v>
      </c>
      <c r="AY21" s="151">
        <v>2465000000</v>
      </c>
      <c r="AZ21" s="151">
        <v>791000000</v>
      </c>
    </row>
    <row r="22" spans="1:52">
      <c r="A22" s="150" t="s">
        <v>720</v>
      </c>
      <c r="B22" s="150" t="s">
        <v>551</v>
      </c>
      <c r="C22" s="150" t="s">
        <v>721</v>
      </c>
      <c r="D22" s="150" t="s">
        <v>778</v>
      </c>
      <c r="E22" s="150" t="s">
        <v>771</v>
      </c>
      <c r="F22" s="150" t="s">
        <v>779</v>
      </c>
      <c r="G22" s="150" t="s">
        <v>725</v>
      </c>
      <c r="H22" s="150" t="s">
        <v>726</v>
      </c>
      <c r="I22" s="151">
        <v>816516000</v>
      </c>
      <c r="J22" s="151">
        <v>1471186000</v>
      </c>
      <c r="K22" s="151">
        <v>2287702000</v>
      </c>
      <c r="L22" s="151">
        <v>45684000</v>
      </c>
      <c r="M22" s="151" t="s">
        <v>727</v>
      </c>
      <c r="N22" s="151" t="s">
        <v>727</v>
      </c>
      <c r="O22" s="151">
        <v>2374921000</v>
      </c>
      <c r="P22" s="151">
        <v>206359000</v>
      </c>
      <c r="Q22" s="151">
        <v>242561000</v>
      </c>
      <c r="R22" s="151">
        <v>180733000</v>
      </c>
      <c r="S22" s="151">
        <v>423294000</v>
      </c>
      <c r="T22" s="151">
        <v>1474176000</v>
      </c>
      <c r="U22" s="151" t="s">
        <v>727</v>
      </c>
      <c r="V22" s="151">
        <v>22604000</v>
      </c>
      <c r="W22" s="151">
        <v>2126433000</v>
      </c>
      <c r="X22" s="151">
        <v>8346402000</v>
      </c>
      <c r="Y22" s="151">
        <v>12847756000</v>
      </c>
      <c r="Z22" s="151">
        <v>8648000</v>
      </c>
      <c r="AA22" s="151">
        <v>69754000</v>
      </c>
      <c r="AB22" s="151" t="s">
        <v>727</v>
      </c>
      <c r="AC22" s="151">
        <v>1420131000</v>
      </c>
      <c r="AD22" s="151">
        <v>-1489885000</v>
      </c>
      <c r="AE22" s="151">
        <v>8648000</v>
      </c>
      <c r="AF22" s="151">
        <v>485431000</v>
      </c>
      <c r="AG22" s="151" t="s">
        <v>727</v>
      </c>
      <c r="AH22" s="151" t="s">
        <v>727</v>
      </c>
      <c r="AI22" s="151">
        <v>-476783000</v>
      </c>
      <c r="AJ22" s="151">
        <v>8648000</v>
      </c>
      <c r="AK22" s="151">
        <v>11504942000</v>
      </c>
      <c r="AL22" s="151">
        <v>69754000</v>
      </c>
      <c r="AM22" s="151">
        <v>11522238000</v>
      </c>
      <c r="AN22" s="151" t="s">
        <v>727</v>
      </c>
      <c r="AO22" s="151">
        <v>46738000</v>
      </c>
      <c r="AP22" s="151">
        <v>586532000</v>
      </c>
      <c r="AQ22" s="151">
        <v>-169433000</v>
      </c>
      <c r="AR22" s="151">
        <v>861588000</v>
      </c>
      <c r="AS22" s="151">
        <v>1325425000</v>
      </c>
      <c r="AT22" s="151">
        <v>1325425000</v>
      </c>
      <c r="AU22" s="151">
        <v>12847756000</v>
      </c>
      <c r="AV22" s="151">
        <v>93000</v>
      </c>
      <c r="AW22" s="151">
        <v>12847756000</v>
      </c>
      <c r="AX22" s="151">
        <v>2967858000</v>
      </c>
      <c r="AY22" s="151">
        <v>485431000</v>
      </c>
      <c r="AZ22" s="151">
        <v>-331085000</v>
      </c>
    </row>
    <row r="23" spans="1:52">
      <c r="A23" s="150" t="s">
        <v>720</v>
      </c>
      <c r="B23" s="150" t="s">
        <v>553</v>
      </c>
      <c r="C23" s="150" t="s">
        <v>721</v>
      </c>
      <c r="D23" s="150" t="s">
        <v>780</v>
      </c>
      <c r="E23" s="150" t="s">
        <v>771</v>
      </c>
      <c r="F23" s="150" t="s">
        <v>781</v>
      </c>
      <c r="G23" s="150" t="s">
        <v>725</v>
      </c>
      <c r="H23" s="150" t="s">
        <v>726</v>
      </c>
      <c r="I23" s="151">
        <v>154244000</v>
      </c>
      <c r="J23" s="151">
        <v>789075000</v>
      </c>
      <c r="K23" s="151">
        <v>916905000</v>
      </c>
      <c r="L23" s="151" t="s">
        <v>727</v>
      </c>
      <c r="M23" s="151" t="s">
        <v>727</v>
      </c>
      <c r="N23" s="151" t="s">
        <v>727</v>
      </c>
      <c r="O23" s="151">
        <v>916905000</v>
      </c>
      <c r="P23" s="151">
        <v>115106000</v>
      </c>
      <c r="Q23" s="151">
        <v>303328000</v>
      </c>
      <c r="R23" s="151">
        <v>9205000</v>
      </c>
      <c r="S23" s="151">
        <v>312533000</v>
      </c>
      <c r="T23" s="151">
        <v>1250237000</v>
      </c>
      <c r="U23" s="151" t="s">
        <v>727</v>
      </c>
      <c r="V23" s="151">
        <v>-1677876000</v>
      </c>
      <c r="W23" s="151">
        <v>1677876000</v>
      </c>
      <c r="X23" s="151">
        <v>7210885000</v>
      </c>
      <c r="Y23" s="151">
        <v>9805666000</v>
      </c>
      <c r="Z23" s="151" t="s">
        <v>727</v>
      </c>
      <c r="AA23" s="151">
        <v>372694000</v>
      </c>
      <c r="AB23" s="151" t="s">
        <v>727</v>
      </c>
      <c r="AC23" s="151" t="s">
        <v>727</v>
      </c>
      <c r="AD23" s="151">
        <v>-87694000</v>
      </c>
      <c r="AE23" s="151">
        <v>285000000</v>
      </c>
      <c r="AF23" s="151">
        <v>181224000</v>
      </c>
      <c r="AG23" s="151" t="s">
        <v>727</v>
      </c>
      <c r="AH23" s="151" t="s">
        <v>727</v>
      </c>
      <c r="AI23" s="151">
        <v>103776000</v>
      </c>
      <c r="AJ23" s="151">
        <v>285000000</v>
      </c>
      <c r="AK23" s="151">
        <v>8183592000</v>
      </c>
      <c r="AL23" s="151">
        <v>5425000</v>
      </c>
      <c r="AM23" s="151">
        <v>8753592000</v>
      </c>
      <c r="AN23" s="151" t="s">
        <v>727</v>
      </c>
      <c r="AO23" s="151">
        <v>113915000</v>
      </c>
      <c r="AP23" s="151">
        <v>774863000</v>
      </c>
      <c r="AQ23" s="151">
        <v>-137692000</v>
      </c>
      <c r="AR23" s="151">
        <v>300988000</v>
      </c>
      <c r="AS23" s="151">
        <v>1052074000</v>
      </c>
      <c r="AT23" s="151">
        <v>1052074000</v>
      </c>
      <c r="AU23" s="151">
        <v>9805666000</v>
      </c>
      <c r="AV23" s="151" t="s">
        <v>727</v>
      </c>
      <c r="AW23" s="151">
        <v>9805666000</v>
      </c>
      <c r="AX23" s="151">
        <v>2012898000</v>
      </c>
      <c r="AY23" s="151">
        <v>553918000</v>
      </c>
      <c r="AZ23" s="151">
        <v>399674000</v>
      </c>
    </row>
    <row r="24" spans="1:52">
      <c r="A24" s="150" t="s">
        <v>720</v>
      </c>
      <c r="B24" s="150" t="s">
        <v>555</v>
      </c>
      <c r="C24" s="150" t="s">
        <v>721</v>
      </c>
      <c r="D24" s="150" t="s">
        <v>782</v>
      </c>
      <c r="E24" s="150" t="s">
        <v>738</v>
      </c>
      <c r="F24" s="150" t="s">
        <v>783</v>
      </c>
      <c r="G24" s="150" t="s">
        <v>725</v>
      </c>
      <c r="H24" s="150" t="s">
        <v>726</v>
      </c>
      <c r="I24" s="151">
        <v>2445000000</v>
      </c>
      <c r="J24" s="151">
        <v>9976000000</v>
      </c>
      <c r="K24" s="151">
        <v>2445000000</v>
      </c>
      <c r="L24" s="151" t="s">
        <v>727</v>
      </c>
      <c r="M24" s="151" t="s">
        <v>727</v>
      </c>
      <c r="N24" s="151" t="s">
        <v>727</v>
      </c>
      <c r="O24" s="151">
        <v>2445000000</v>
      </c>
      <c r="P24" s="151">
        <v>612000000</v>
      </c>
      <c r="Q24" s="151">
        <v>1511000000</v>
      </c>
      <c r="R24" s="151">
        <v>234000000</v>
      </c>
      <c r="S24" s="151">
        <v>1744000000</v>
      </c>
      <c r="T24" s="151">
        <v>11582000000</v>
      </c>
      <c r="U24" s="151" t="s">
        <v>727</v>
      </c>
      <c r="V24" s="151">
        <v>-13938000000</v>
      </c>
      <c r="W24" s="151">
        <v>13938000000</v>
      </c>
      <c r="X24" s="151">
        <v>62570000000</v>
      </c>
      <c r="Y24" s="151">
        <v>78953000000</v>
      </c>
      <c r="Z24" s="151" t="s">
        <v>727</v>
      </c>
      <c r="AA24" s="151">
        <v>2506000000</v>
      </c>
      <c r="AB24" s="151" t="s">
        <v>727</v>
      </c>
      <c r="AC24" s="151" t="s">
        <v>727</v>
      </c>
      <c r="AD24" s="151">
        <v>-2506000000</v>
      </c>
      <c r="AE24" s="151">
        <v>2506000000</v>
      </c>
      <c r="AF24" s="151">
        <v>1597000000</v>
      </c>
      <c r="AG24" s="151" t="s">
        <v>727</v>
      </c>
      <c r="AH24" s="151" t="s">
        <v>727</v>
      </c>
      <c r="AI24" s="151">
        <v>909000000</v>
      </c>
      <c r="AJ24" s="151">
        <v>2506000000</v>
      </c>
      <c r="AK24" s="151">
        <v>65393000000</v>
      </c>
      <c r="AL24" s="151" t="s">
        <v>727</v>
      </c>
      <c r="AM24" s="151">
        <v>70405000000</v>
      </c>
      <c r="AN24" s="151">
        <v>1014000000</v>
      </c>
      <c r="AO24" s="151">
        <v>336000000</v>
      </c>
      <c r="AP24" s="151">
        <v>3430000000</v>
      </c>
      <c r="AQ24" s="151">
        <v>-1367000000</v>
      </c>
      <c r="AR24" s="151">
        <v>4840000000</v>
      </c>
      <c r="AS24" s="151">
        <v>8253000000</v>
      </c>
      <c r="AT24" s="151">
        <v>8253000000</v>
      </c>
      <c r="AU24" s="151">
        <v>78953000000</v>
      </c>
      <c r="AV24" s="151">
        <v>295000000</v>
      </c>
      <c r="AW24" s="151">
        <v>78953000000</v>
      </c>
      <c r="AX24" s="151">
        <v>11582000000</v>
      </c>
      <c r="AY24" s="151">
        <v>4103000000</v>
      </c>
      <c r="AZ24" s="151">
        <v>1658000000</v>
      </c>
    </row>
    <row r="25" spans="1:52">
      <c r="A25" s="150" t="s">
        <v>720</v>
      </c>
      <c r="B25" s="150" t="s">
        <v>557</v>
      </c>
      <c r="C25" s="150" t="s">
        <v>721</v>
      </c>
      <c r="D25" s="150" t="s">
        <v>784</v>
      </c>
      <c r="E25" s="150" t="s">
        <v>729</v>
      </c>
      <c r="F25" s="150" t="s">
        <v>785</v>
      </c>
      <c r="G25" s="150" t="s">
        <v>725</v>
      </c>
      <c r="H25" s="150" t="s">
        <v>726</v>
      </c>
      <c r="I25" s="151">
        <v>401995000</v>
      </c>
      <c r="J25" s="151">
        <v>5307307000</v>
      </c>
      <c r="K25" s="151">
        <v>5709302000</v>
      </c>
      <c r="L25" s="151">
        <v>83538000</v>
      </c>
      <c r="M25" s="151" t="s">
        <v>727</v>
      </c>
      <c r="N25" s="151" t="s">
        <v>727</v>
      </c>
      <c r="O25" s="151">
        <v>5792840000</v>
      </c>
      <c r="P25" s="151">
        <v>398100000</v>
      </c>
      <c r="Q25" s="151">
        <v>985393000</v>
      </c>
      <c r="R25" s="151">
        <v>41601000</v>
      </c>
      <c r="S25" s="151">
        <v>1026994000</v>
      </c>
      <c r="T25" s="151">
        <v>9104374000</v>
      </c>
      <c r="U25" s="151">
        <v>193187000</v>
      </c>
      <c r="V25" s="151">
        <v>-193187000</v>
      </c>
      <c r="W25" s="151">
        <v>10529468000</v>
      </c>
      <c r="X25" s="151">
        <v>10313067000</v>
      </c>
      <c r="Y25" s="151">
        <v>26635375000</v>
      </c>
      <c r="Z25" s="151">
        <v>4331000</v>
      </c>
      <c r="AA25" s="151" t="s">
        <v>727</v>
      </c>
      <c r="AB25" s="151">
        <v>810009000</v>
      </c>
      <c r="AC25" s="151" t="s">
        <v>727</v>
      </c>
      <c r="AD25" s="151">
        <v>-4331000</v>
      </c>
      <c r="AE25" s="151">
        <v>4331000</v>
      </c>
      <c r="AF25" s="151">
        <v>2010075000</v>
      </c>
      <c r="AG25" s="151" t="s">
        <v>727</v>
      </c>
      <c r="AH25" s="151" t="s">
        <v>727</v>
      </c>
      <c r="AI25" s="151">
        <v>-2005744000</v>
      </c>
      <c r="AJ25" s="151">
        <v>4331000</v>
      </c>
      <c r="AK25" s="151">
        <v>23783408000</v>
      </c>
      <c r="AL25" s="151" t="s">
        <v>727</v>
      </c>
      <c r="AM25" s="151">
        <v>23792070000</v>
      </c>
      <c r="AN25" s="151" t="s">
        <v>727</v>
      </c>
      <c r="AO25" s="151">
        <v>1108000</v>
      </c>
      <c r="AP25" s="151">
        <v>966984000</v>
      </c>
      <c r="AQ25" s="151">
        <v>-468792000</v>
      </c>
      <c r="AR25" s="151">
        <v>2344005000</v>
      </c>
      <c r="AS25" s="151">
        <v>2843305000</v>
      </c>
      <c r="AT25" s="151">
        <v>2843305000</v>
      </c>
      <c r="AU25" s="151">
        <v>26635375000</v>
      </c>
      <c r="AV25" s="151" t="s">
        <v>727</v>
      </c>
      <c r="AW25" s="151">
        <v>26635375000</v>
      </c>
      <c r="AX25" s="151">
        <v>14411681000</v>
      </c>
      <c r="AY25" s="151">
        <v>2010075000</v>
      </c>
      <c r="AZ25" s="151">
        <v>1608080000</v>
      </c>
    </row>
    <row r="26" spans="1:52">
      <c r="A26" s="150" t="s">
        <v>720</v>
      </c>
      <c r="B26" s="150" t="s">
        <v>559</v>
      </c>
      <c r="C26" s="150" t="s">
        <v>721</v>
      </c>
      <c r="D26" s="150" t="s">
        <v>786</v>
      </c>
      <c r="E26" s="150" t="s">
        <v>748</v>
      </c>
      <c r="F26" s="150" t="s">
        <v>787</v>
      </c>
      <c r="G26" s="150" t="s">
        <v>725</v>
      </c>
      <c r="H26" s="150" t="s">
        <v>726</v>
      </c>
      <c r="I26" s="151">
        <v>59192000</v>
      </c>
      <c r="J26" s="151">
        <v>188927000</v>
      </c>
      <c r="K26" s="151">
        <v>248119000</v>
      </c>
      <c r="L26" s="151">
        <v>11555000</v>
      </c>
      <c r="M26" s="151" t="s">
        <v>727</v>
      </c>
      <c r="N26" s="151" t="s">
        <v>727</v>
      </c>
      <c r="O26" s="151">
        <v>259674000</v>
      </c>
      <c r="P26" s="151">
        <v>54291000</v>
      </c>
      <c r="Q26" s="151">
        <v>32160000</v>
      </c>
      <c r="R26" s="151">
        <v>1859000</v>
      </c>
      <c r="S26" s="151">
        <v>34019000</v>
      </c>
      <c r="T26" s="151">
        <v>697935000</v>
      </c>
      <c r="U26" s="151" t="s">
        <v>727</v>
      </c>
      <c r="V26" s="151">
        <v>-786245000</v>
      </c>
      <c r="W26" s="151">
        <v>786245000</v>
      </c>
      <c r="X26" s="151">
        <v>2305576000</v>
      </c>
      <c r="Y26" s="151">
        <v>3351495000</v>
      </c>
      <c r="Z26" s="151">
        <v>28409000</v>
      </c>
      <c r="AA26" s="151" t="s">
        <v>727</v>
      </c>
      <c r="AB26" s="151" t="s">
        <v>727</v>
      </c>
      <c r="AC26" s="151" t="s">
        <v>727</v>
      </c>
      <c r="AD26" s="151">
        <v>-28409000</v>
      </c>
      <c r="AE26" s="151">
        <v>28409000</v>
      </c>
      <c r="AF26" s="151">
        <v>339153000</v>
      </c>
      <c r="AG26" s="151" t="s">
        <v>727</v>
      </c>
      <c r="AH26" s="151" t="s">
        <v>727</v>
      </c>
      <c r="AI26" s="151">
        <v>-310744000</v>
      </c>
      <c r="AJ26" s="151">
        <v>28409000</v>
      </c>
      <c r="AK26" s="151">
        <v>2999119000</v>
      </c>
      <c r="AL26" s="151" t="s">
        <v>727</v>
      </c>
      <c r="AM26" s="151">
        <v>3055937000</v>
      </c>
      <c r="AN26" s="151" t="s">
        <v>727</v>
      </c>
      <c r="AO26" s="151">
        <v>14209000</v>
      </c>
      <c r="AP26" s="151">
        <v>137565000</v>
      </c>
      <c r="AQ26" s="151">
        <v>-24260000</v>
      </c>
      <c r="AR26" s="151">
        <v>167470000</v>
      </c>
      <c r="AS26" s="151">
        <v>294984000</v>
      </c>
      <c r="AT26" s="151">
        <v>294984000</v>
      </c>
      <c r="AU26" s="151">
        <v>3351495000</v>
      </c>
      <c r="AV26" s="151">
        <v>574000</v>
      </c>
      <c r="AW26" s="151">
        <v>3351495000</v>
      </c>
      <c r="AX26" s="151">
        <v>886862000</v>
      </c>
      <c r="AY26" s="151">
        <v>339153000</v>
      </c>
      <c r="AZ26" s="151">
        <v>279961000</v>
      </c>
    </row>
    <row r="27" spans="1:52">
      <c r="A27" s="150" t="s">
        <v>720</v>
      </c>
      <c r="B27" s="150" t="s">
        <v>561</v>
      </c>
      <c r="C27" s="150" t="s">
        <v>721</v>
      </c>
      <c r="D27" s="150" t="s">
        <v>788</v>
      </c>
      <c r="E27" s="150" t="s">
        <v>760</v>
      </c>
      <c r="F27" s="150" t="s">
        <v>789</v>
      </c>
      <c r="G27" s="150" t="s">
        <v>725</v>
      </c>
      <c r="H27" s="150" t="s">
        <v>726</v>
      </c>
      <c r="I27" s="151">
        <v>1579512000</v>
      </c>
      <c r="J27" s="151">
        <v>1658766000</v>
      </c>
      <c r="K27" s="151">
        <v>9672185000</v>
      </c>
      <c r="L27" s="151">
        <v>1038055000</v>
      </c>
      <c r="M27" s="151" t="s">
        <v>727</v>
      </c>
      <c r="N27" s="151" t="s">
        <v>727</v>
      </c>
      <c r="O27" s="151">
        <v>9672185000</v>
      </c>
      <c r="P27" s="151">
        <v>287393000</v>
      </c>
      <c r="Q27" s="151">
        <v>267447000</v>
      </c>
      <c r="R27" s="151">
        <v>112142000</v>
      </c>
      <c r="S27" s="151">
        <v>379589000</v>
      </c>
      <c r="T27" s="151">
        <v>3289530000</v>
      </c>
      <c r="U27" s="151" t="s">
        <v>727</v>
      </c>
      <c r="V27" s="151">
        <v>-3390355000</v>
      </c>
      <c r="W27" s="151">
        <v>566157000</v>
      </c>
      <c r="X27" s="151">
        <v>6029510000</v>
      </c>
      <c r="Y27" s="151">
        <v>16267852000</v>
      </c>
      <c r="Z27" s="151">
        <v>966470000</v>
      </c>
      <c r="AA27" s="151">
        <v>970056000</v>
      </c>
      <c r="AB27" s="151" t="s">
        <v>727</v>
      </c>
      <c r="AC27" s="151" t="s">
        <v>727</v>
      </c>
      <c r="AD27" s="151">
        <v>-966470000</v>
      </c>
      <c r="AE27" s="151">
        <v>970056000</v>
      </c>
      <c r="AF27" s="151">
        <v>473413000</v>
      </c>
      <c r="AG27" s="151" t="s">
        <v>727</v>
      </c>
      <c r="AH27" s="151" t="s">
        <v>727</v>
      </c>
      <c r="AI27" s="151">
        <v>12752284000</v>
      </c>
      <c r="AJ27" s="151">
        <v>13225697000</v>
      </c>
      <c r="AK27" s="151" t="s">
        <v>727</v>
      </c>
      <c r="AL27" s="151">
        <v>126759000</v>
      </c>
      <c r="AM27" s="151">
        <v>14195753000</v>
      </c>
      <c r="AN27" s="151" t="s">
        <v>727</v>
      </c>
      <c r="AO27" s="151">
        <v>647000</v>
      </c>
      <c r="AP27" s="151">
        <v>1123636000</v>
      </c>
      <c r="AQ27" s="151">
        <v>-124961000</v>
      </c>
      <c r="AR27" s="151">
        <v>1046172000</v>
      </c>
      <c r="AS27" s="151">
        <v>2045494000</v>
      </c>
      <c r="AT27" s="151">
        <v>2045494000</v>
      </c>
      <c r="AU27" s="151">
        <v>16267852000</v>
      </c>
      <c r="AV27" s="151">
        <v>26605000</v>
      </c>
      <c r="AW27" s="151">
        <v>16267852000</v>
      </c>
      <c r="AX27" s="151">
        <v>11382203000</v>
      </c>
      <c r="AY27" s="151">
        <v>1443469000</v>
      </c>
      <c r="AZ27" s="151">
        <v>-136043000</v>
      </c>
    </row>
    <row r="28" spans="1:52">
      <c r="A28" s="150" t="s">
        <v>720</v>
      </c>
      <c r="B28" s="150" t="s">
        <v>563</v>
      </c>
      <c r="C28" s="150" t="s">
        <v>721</v>
      </c>
      <c r="D28" s="150" t="s">
        <v>790</v>
      </c>
      <c r="E28" s="150" t="s">
        <v>729</v>
      </c>
      <c r="F28" s="150" t="s">
        <v>791</v>
      </c>
      <c r="G28" s="150" t="s">
        <v>725</v>
      </c>
      <c r="H28" s="150" t="s">
        <v>726</v>
      </c>
      <c r="I28" s="151">
        <v>724790000</v>
      </c>
      <c r="J28" s="151">
        <v>4041590000</v>
      </c>
      <c r="K28" s="151">
        <v>4766380000</v>
      </c>
      <c r="L28" s="151">
        <v>103199000</v>
      </c>
      <c r="M28" s="151" t="s">
        <v>727</v>
      </c>
      <c r="N28" s="151" t="s">
        <v>727</v>
      </c>
      <c r="O28" s="151">
        <v>4869579000</v>
      </c>
      <c r="P28" s="151">
        <v>405073000</v>
      </c>
      <c r="Q28" s="151">
        <v>1398253000</v>
      </c>
      <c r="R28" s="151">
        <v>58455000</v>
      </c>
      <c r="S28" s="151">
        <v>1456708000</v>
      </c>
      <c r="T28" s="151">
        <v>5329295000</v>
      </c>
      <c r="U28" s="151" t="s">
        <v>727</v>
      </c>
      <c r="V28" s="151">
        <v>-7191076000</v>
      </c>
      <c r="W28" s="151">
        <v>7191076000</v>
      </c>
      <c r="X28" s="151">
        <v>10822933000</v>
      </c>
      <c r="Y28" s="151">
        <v>22883588000</v>
      </c>
      <c r="Z28" s="151">
        <v>196877000</v>
      </c>
      <c r="AA28" s="151" t="s">
        <v>727</v>
      </c>
      <c r="AB28" s="151" t="s">
        <v>727</v>
      </c>
      <c r="AC28" s="151" t="s">
        <v>727</v>
      </c>
      <c r="AD28" s="151">
        <v>-196877000</v>
      </c>
      <c r="AE28" s="151">
        <v>196877000</v>
      </c>
      <c r="AF28" s="151">
        <v>1090420000</v>
      </c>
      <c r="AG28" s="151" t="s">
        <v>727</v>
      </c>
      <c r="AH28" s="151" t="s">
        <v>727</v>
      </c>
      <c r="AI28" s="151">
        <v>-893543000</v>
      </c>
      <c r="AJ28" s="151">
        <v>196877000</v>
      </c>
      <c r="AK28" s="151">
        <v>18963472000</v>
      </c>
      <c r="AL28" s="151" t="s">
        <v>727</v>
      </c>
      <c r="AM28" s="151">
        <v>19357226000</v>
      </c>
      <c r="AN28" s="151" t="s">
        <v>727</v>
      </c>
      <c r="AO28" s="151">
        <v>2034000</v>
      </c>
      <c r="AP28" s="151">
        <v>1443087000</v>
      </c>
      <c r="AQ28" s="151">
        <v>-305458000</v>
      </c>
      <c r="AR28" s="151">
        <v>2386699000</v>
      </c>
      <c r="AS28" s="151">
        <v>3526362000</v>
      </c>
      <c r="AT28" s="151">
        <v>3526362000</v>
      </c>
      <c r="AU28" s="151">
        <v>22883588000</v>
      </c>
      <c r="AV28" s="151" t="s">
        <v>727</v>
      </c>
      <c r="AW28" s="151">
        <v>22883588000</v>
      </c>
      <c r="AX28" s="151">
        <v>9370885000</v>
      </c>
      <c r="AY28" s="151">
        <v>1090420000</v>
      </c>
      <c r="AZ28" s="151">
        <v>365630000</v>
      </c>
    </row>
    <row r="29" spans="1:52">
      <c r="A29" s="150" t="s">
        <v>720</v>
      </c>
      <c r="B29" s="150" t="s">
        <v>565</v>
      </c>
      <c r="C29" s="150" t="s">
        <v>721</v>
      </c>
      <c r="D29" s="150" t="s">
        <v>792</v>
      </c>
      <c r="E29" s="150" t="s">
        <v>793</v>
      </c>
      <c r="F29" s="150" t="s">
        <v>794</v>
      </c>
      <c r="G29" s="150" t="s">
        <v>725</v>
      </c>
      <c r="H29" s="150" t="s">
        <v>726</v>
      </c>
      <c r="I29" s="151">
        <v>567234000000</v>
      </c>
      <c r="J29" s="151">
        <v>205857000000</v>
      </c>
      <c r="K29" s="151">
        <v>773091000000</v>
      </c>
      <c r="L29" s="151">
        <v>196069000000</v>
      </c>
      <c r="M29" s="151" t="s">
        <v>727</v>
      </c>
      <c r="N29" s="151" t="s">
        <v>727</v>
      </c>
      <c r="O29" s="151">
        <v>969160000000</v>
      </c>
      <c r="P29" s="151">
        <v>27734000000</v>
      </c>
      <c r="Q29" s="151">
        <v>51662000000</v>
      </c>
      <c r="R29" s="151">
        <v>9197000000</v>
      </c>
      <c r="S29" s="151">
        <v>60859000000</v>
      </c>
      <c r="T29" s="151">
        <v>1014081000000</v>
      </c>
      <c r="U29" s="151" t="s">
        <v>727</v>
      </c>
      <c r="V29" s="151">
        <v>-1102674000000</v>
      </c>
      <c r="W29" s="151">
        <v>1102674000000</v>
      </c>
      <c r="X29" s="151">
        <v>1593909000000</v>
      </c>
      <c r="Y29" s="151">
        <v>3665743000000</v>
      </c>
      <c r="Z29" s="151">
        <v>300141000000</v>
      </c>
      <c r="AA29" s="151">
        <v>44027000000</v>
      </c>
      <c r="AB29" s="151">
        <v>46166000000</v>
      </c>
      <c r="AC29" s="151" t="s">
        <v>727</v>
      </c>
      <c r="AD29" s="151">
        <v>-344168000000</v>
      </c>
      <c r="AE29" s="151">
        <v>344168000000</v>
      </c>
      <c r="AF29" s="151">
        <v>422700000000</v>
      </c>
      <c r="AG29" s="151" t="s">
        <v>727</v>
      </c>
      <c r="AH29" s="151" t="s">
        <v>727</v>
      </c>
      <c r="AI29" s="151">
        <v>2908821000000</v>
      </c>
      <c r="AJ29" s="151">
        <v>3331521000000</v>
      </c>
      <c r="AK29" s="151">
        <v>-302278000000</v>
      </c>
      <c r="AL29" s="151" t="s">
        <v>727</v>
      </c>
      <c r="AM29" s="151">
        <v>3373411000000</v>
      </c>
      <c r="AN29" s="151">
        <v>27404000000</v>
      </c>
      <c r="AO29" s="151">
        <v>4105000000</v>
      </c>
      <c r="AP29" s="151">
        <v>296456000000</v>
      </c>
      <c r="AQ29" s="151">
        <v>-17341000000</v>
      </c>
      <c r="AR29" s="151">
        <v>-18292000000</v>
      </c>
      <c r="AS29" s="151">
        <v>292332000000</v>
      </c>
      <c r="AT29" s="151">
        <v>292332000000</v>
      </c>
      <c r="AU29" s="151">
        <v>3665743000000</v>
      </c>
      <c r="AV29" s="151" t="s">
        <v>727</v>
      </c>
      <c r="AW29" s="151">
        <v>3665743000000</v>
      </c>
      <c r="AX29" s="151">
        <v>1219938000000</v>
      </c>
      <c r="AY29" s="151">
        <v>466727000000</v>
      </c>
      <c r="AZ29" s="151">
        <v>-100507000000</v>
      </c>
    </row>
    <row r="30" spans="1:52">
      <c r="A30" s="150" t="s">
        <v>720</v>
      </c>
      <c r="B30" s="150" t="s">
        <v>567</v>
      </c>
      <c r="C30" s="150" t="s">
        <v>721</v>
      </c>
      <c r="D30" s="150" t="s">
        <v>795</v>
      </c>
      <c r="E30" s="150" t="s">
        <v>735</v>
      </c>
      <c r="F30" s="150" t="s">
        <v>796</v>
      </c>
      <c r="G30" s="150" t="s">
        <v>725</v>
      </c>
      <c r="H30" s="150" t="s">
        <v>726</v>
      </c>
      <c r="I30" s="151">
        <v>887000000</v>
      </c>
      <c r="J30" s="151">
        <v>41549000000</v>
      </c>
      <c r="K30" s="151">
        <v>4554000000</v>
      </c>
      <c r="L30" s="151">
        <v>13159000000</v>
      </c>
      <c r="M30" s="151" t="s">
        <v>727</v>
      </c>
      <c r="N30" s="151" t="s">
        <v>727</v>
      </c>
      <c r="O30" s="151">
        <v>17681000000</v>
      </c>
      <c r="P30" s="151">
        <v>636000000</v>
      </c>
      <c r="Q30" s="151">
        <v>2752000000</v>
      </c>
      <c r="R30" s="151">
        <v>94000000</v>
      </c>
      <c r="S30" s="151">
        <v>2846000000</v>
      </c>
      <c r="T30" s="151">
        <v>52396000000</v>
      </c>
      <c r="U30" s="151" t="s">
        <v>727</v>
      </c>
      <c r="V30" s="151">
        <v>-14000000</v>
      </c>
      <c r="W30" s="151">
        <v>55864000000</v>
      </c>
      <c r="X30" s="151">
        <v>116268000000</v>
      </c>
      <c r="Y30" s="151">
        <v>189813000000</v>
      </c>
      <c r="Z30" s="151" t="s">
        <v>727</v>
      </c>
      <c r="AA30" s="151">
        <v>5386000000</v>
      </c>
      <c r="AB30" s="151" t="s">
        <v>727</v>
      </c>
      <c r="AC30" s="151" t="s">
        <v>727</v>
      </c>
      <c r="AD30" s="151">
        <v>-5386000000</v>
      </c>
      <c r="AE30" s="151">
        <v>5386000000</v>
      </c>
      <c r="AF30" s="151">
        <v>24693000000</v>
      </c>
      <c r="AG30" s="151" t="s">
        <v>727</v>
      </c>
      <c r="AH30" s="151" t="s">
        <v>727</v>
      </c>
      <c r="AI30" s="151">
        <v>-19307000000</v>
      </c>
      <c r="AJ30" s="151">
        <v>5386000000</v>
      </c>
      <c r="AK30" s="151">
        <v>165587000000</v>
      </c>
      <c r="AL30" s="151">
        <v>6000000</v>
      </c>
      <c r="AM30" s="151">
        <v>176359000000</v>
      </c>
      <c r="AN30" s="151">
        <v>2500000000</v>
      </c>
      <c r="AO30" s="151">
        <v>1257000000</v>
      </c>
      <c r="AP30" s="151">
        <v>15616000000</v>
      </c>
      <c r="AQ30" s="151">
        <v>-6295000000</v>
      </c>
      <c r="AR30" s="151">
        <v>376000000</v>
      </c>
      <c r="AS30" s="151">
        <v>13454000000</v>
      </c>
      <c r="AT30" s="151">
        <v>13454000000</v>
      </c>
      <c r="AU30" s="151">
        <v>189813000000</v>
      </c>
      <c r="AV30" s="151" t="s">
        <v>727</v>
      </c>
      <c r="AW30" s="151">
        <v>189813000000</v>
      </c>
      <c r="AX30" s="151">
        <v>56049000000</v>
      </c>
      <c r="AY30" s="151">
        <v>30079000000</v>
      </c>
      <c r="AZ30" s="151">
        <v>29192000000</v>
      </c>
    </row>
    <row r="31" spans="1:52">
      <c r="A31" s="150" t="s">
        <v>720</v>
      </c>
      <c r="B31" s="150" t="s">
        <v>569</v>
      </c>
      <c r="C31" s="150" t="s">
        <v>721</v>
      </c>
      <c r="D31" s="150" t="s">
        <v>797</v>
      </c>
      <c r="E31" s="150" t="s">
        <v>798</v>
      </c>
      <c r="F31" s="150" t="s">
        <v>799</v>
      </c>
      <c r="G31" s="150" t="s">
        <v>725</v>
      </c>
      <c r="H31" s="150" t="s">
        <v>726</v>
      </c>
      <c r="I31" s="151">
        <v>284239000</v>
      </c>
      <c r="J31" s="151">
        <v>1014719000</v>
      </c>
      <c r="K31" s="151">
        <v>1298958000</v>
      </c>
      <c r="L31" s="151" t="s">
        <v>727</v>
      </c>
      <c r="M31" s="151" t="s">
        <v>727</v>
      </c>
      <c r="N31" s="151" t="s">
        <v>727</v>
      </c>
      <c r="O31" s="151">
        <v>1298958000</v>
      </c>
      <c r="P31" s="151">
        <v>263290000</v>
      </c>
      <c r="Q31" s="151" t="s">
        <v>727</v>
      </c>
      <c r="R31" s="151" t="s">
        <v>727</v>
      </c>
      <c r="S31" s="151" t="s">
        <v>727</v>
      </c>
      <c r="T31" s="151">
        <v>1014719000</v>
      </c>
      <c r="U31" s="151" t="s">
        <v>727</v>
      </c>
      <c r="V31" s="151">
        <v>-1278009000</v>
      </c>
      <c r="W31" s="151">
        <v>1278009000</v>
      </c>
      <c r="X31" s="151">
        <v>7278531000</v>
      </c>
      <c r="Y31" s="151">
        <v>9855498000</v>
      </c>
      <c r="Z31" s="151" t="s">
        <v>727</v>
      </c>
      <c r="AA31" s="151">
        <v>50000000</v>
      </c>
      <c r="AB31" s="151" t="s">
        <v>727</v>
      </c>
      <c r="AC31" s="151" t="s">
        <v>727</v>
      </c>
      <c r="AD31" s="151">
        <v>-50000000</v>
      </c>
      <c r="AE31" s="151">
        <v>50000000</v>
      </c>
      <c r="AF31" s="151">
        <v>83203000</v>
      </c>
      <c r="AG31" s="151" t="s">
        <v>727</v>
      </c>
      <c r="AH31" s="151" t="s">
        <v>727</v>
      </c>
      <c r="AI31" s="151">
        <v>-33203000</v>
      </c>
      <c r="AJ31" s="151">
        <v>50000000</v>
      </c>
      <c r="AK31" s="151">
        <v>8944465000</v>
      </c>
      <c r="AL31" s="151" t="s">
        <v>727</v>
      </c>
      <c r="AM31" s="151">
        <v>9044465000</v>
      </c>
      <c r="AN31" s="151" t="s">
        <v>727</v>
      </c>
      <c r="AO31" s="151">
        <v>330854000</v>
      </c>
      <c r="AP31" s="151">
        <v>572497000</v>
      </c>
      <c r="AQ31" s="151">
        <v>-92318000</v>
      </c>
      <c r="AR31" s="151" t="s">
        <v>727</v>
      </c>
      <c r="AS31" s="151">
        <v>811033000</v>
      </c>
      <c r="AT31" s="151">
        <v>811033000</v>
      </c>
      <c r="AU31" s="151">
        <v>9855498000</v>
      </c>
      <c r="AV31" s="151" t="s">
        <v>727</v>
      </c>
      <c r="AW31" s="151">
        <v>9855498000</v>
      </c>
      <c r="AX31" s="151">
        <v>2029438000</v>
      </c>
      <c r="AY31" s="151">
        <v>133203000</v>
      </c>
      <c r="AZ31" s="151">
        <v>-151036000</v>
      </c>
    </row>
    <row r="32" spans="1:52">
      <c r="A32" s="150" t="s">
        <v>720</v>
      </c>
      <c r="B32" s="150" t="s">
        <v>571</v>
      </c>
      <c r="C32" s="150" t="s">
        <v>721</v>
      </c>
      <c r="D32" s="150" t="s">
        <v>800</v>
      </c>
      <c r="E32" s="150" t="s">
        <v>735</v>
      </c>
      <c r="F32" s="150" t="s">
        <v>801</v>
      </c>
      <c r="G32" s="150" t="s">
        <v>725</v>
      </c>
      <c r="H32" s="150" t="s">
        <v>726</v>
      </c>
      <c r="I32" s="151">
        <v>26475963000</v>
      </c>
      <c r="J32" s="151">
        <v>3168882000</v>
      </c>
      <c r="K32" s="151">
        <v>51686834000</v>
      </c>
      <c r="L32" s="151">
        <v>11512089000</v>
      </c>
      <c r="M32" s="151">
        <v>-11512089000</v>
      </c>
      <c r="N32" s="151">
        <v>23441475000</v>
      </c>
      <c r="O32" s="151">
        <v>75128309000</v>
      </c>
      <c r="P32" s="151">
        <v>1653628000</v>
      </c>
      <c r="Q32" s="151">
        <v>8490089000</v>
      </c>
      <c r="R32" s="151">
        <v>209374000</v>
      </c>
      <c r="S32" s="151">
        <v>8699463000</v>
      </c>
      <c r="T32" s="151">
        <v>25328718000</v>
      </c>
      <c r="U32" s="151" t="s">
        <v>727</v>
      </c>
      <c r="V32" s="151">
        <v>-24396777000</v>
      </c>
      <c r="W32" s="151">
        <v>11285032000</v>
      </c>
      <c r="X32" s="151">
        <v>114316500000</v>
      </c>
      <c r="Y32" s="151">
        <v>200729841000</v>
      </c>
      <c r="Z32" s="151">
        <v>4377495000</v>
      </c>
      <c r="AA32" s="151">
        <v>3554951000</v>
      </c>
      <c r="AB32" s="151" t="s">
        <v>727</v>
      </c>
      <c r="AC32" s="151" t="s">
        <v>727</v>
      </c>
      <c r="AD32" s="151">
        <v>-4377495000</v>
      </c>
      <c r="AE32" s="151">
        <v>3554951000</v>
      </c>
      <c r="AF32" s="151">
        <v>3964537000</v>
      </c>
      <c r="AG32" s="151" t="s">
        <v>727</v>
      </c>
      <c r="AH32" s="151" t="s">
        <v>727</v>
      </c>
      <c r="AI32" s="151">
        <v>167892363000</v>
      </c>
      <c r="AJ32" s="151">
        <v>171856900000</v>
      </c>
      <c r="AK32" s="151" t="s">
        <v>727</v>
      </c>
      <c r="AL32" s="151" t="s">
        <v>727</v>
      </c>
      <c r="AM32" s="151">
        <v>175411851000</v>
      </c>
      <c r="AN32" s="151">
        <v>2010600000</v>
      </c>
      <c r="AO32" s="151">
        <v>23307390000</v>
      </c>
      <c r="AP32" s="151">
        <v>15753978000</v>
      </c>
      <c r="AQ32" s="151">
        <v>-790030000</v>
      </c>
      <c r="AR32" s="151">
        <v>-14963948000</v>
      </c>
      <c r="AS32" s="151">
        <v>25317990000</v>
      </c>
      <c r="AT32" s="151">
        <v>25317990000</v>
      </c>
      <c r="AU32" s="151">
        <v>200729841000</v>
      </c>
      <c r="AV32" s="151" t="s">
        <v>727</v>
      </c>
      <c r="AW32" s="151">
        <v>200729841000</v>
      </c>
      <c r="AX32" s="151">
        <v>50539589000</v>
      </c>
      <c r="AY32" s="151">
        <v>7519488000</v>
      </c>
      <c r="AZ32" s="151">
        <v>-18956475000</v>
      </c>
    </row>
    <row r="33" spans="1:52">
      <c r="A33" s="150" t="s">
        <v>720</v>
      </c>
      <c r="B33" s="150" t="s">
        <v>573</v>
      </c>
      <c r="C33" s="150" t="s">
        <v>721</v>
      </c>
      <c r="D33" s="150" t="s">
        <v>802</v>
      </c>
      <c r="E33" s="150" t="s">
        <v>771</v>
      </c>
      <c r="F33" s="150" t="s">
        <v>803</v>
      </c>
      <c r="G33" s="150" t="s">
        <v>725</v>
      </c>
      <c r="H33" s="150" t="s">
        <v>726</v>
      </c>
      <c r="I33" s="151">
        <v>257418000</v>
      </c>
      <c r="J33" s="151">
        <v>445747000</v>
      </c>
      <c r="K33" s="151">
        <v>703165000</v>
      </c>
      <c r="L33" s="151">
        <v>85605000</v>
      </c>
      <c r="M33" s="151" t="s">
        <v>727</v>
      </c>
      <c r="N33" s="151" t="s">
        <v>727</v>
      </c>
      <c r="O33" s="151">
        <v>788770000</v>
      </c>
      <c r="P33" s="151">
        <v>31869000</v>
      </c>
      <c r="Q33" s="151" t="s">
        <v>727</v>
      </c>
      <c r="R33" s="151" t="s">
        <v>727</v>
      </c>
      <c r="S33" s="151" t="s">
        <v>727</v>
      </c>
      <c r="T33" s="151">
        <v>980330000</v>
      </c>
      <c r="U33" s="151" t="s">
        <v>727</v>
      </c>
      <c r="V33" s="151">
        <v>-1012199000</v>
      </c>
      <c r="W33" s="151">
        <v>1012199000</v>
      </c>
      <c r="X33" s="151">
        <v>4466368000</v>
      </c>
      <c r="Y33" s="151">
        <v>6267337000</v>
      </c>
      <c r="Z33" s="151" t="s">
        <v>727</v>
      </c>
      <c r="AA33" s="151" t="s">
        <v>727</v>
      </c>
      <c r="AB33" s="151" t="s">
        <v>727</v>
      </c>
      <c r="AC33" s="151" t="s">
        <v>727</v>
      </c>
      <c r="AD33" s="151" t="s">
        <v>727</v>
      </c>
      <c r="AE33" s="151" t="s">
        <v>727</v>
      </c>
      <c r="AF33" s="151">
        <v>257725000</v>
      </c>
      <c r="AG33" s="151">
        <v>10579000</v>
      </c>
      <c r="AH33" s="151" t="s">
        <v>727</v>
      </c>
      <c r="AI33" s="151">
        <v>-268304000</v>
      </c>
      <c r="AJ33" s="151">
        <v>5691440000</v>
      </c>
      <c r="AK33" s="151">
        <v>5691440000</v>
      </c>
      <c r="AL33" s="151" t="s">
        <v>727</v>
      </c>
      <c r="AM33" s="151">
        <v>5691440000</v>
      </c>
      <c r="AN33" s="151" t="s">
        <v>727</v>
      </c>
      <c r="AO33" s="151">
        <v>109000</v>
      </c>
      <c r="AP33" s="151">
        <v>240810000</v>
      </c>
      <c r="AQ33" s="151">
        <v>-54298000</v>
      </c>
      <c r="AR33" s="151">
        <v>389276000</v>
      </c>
      <c r="AS33" s="151">
        <v>575897000</v>
      </c>
      <c r="AT33" s="151">
        <v>575897000</v>
      </c>
      <c r="AU33" s="151">
        <v>6267337000</v>
      </c>
      <c r="AV33" s="151" t="s">
        <v>727</v>
      </c>
      <c r="AW33" s="151">
        <v>6267337000</v>
      </c>
      <c r="AX33" s="151">
        <v>1426077000</v>
      </c>
      <c r="AY33" s="151">
        <v>257725000</v>
      </c>
      <c r="AZ33" s="151">
        <v>307000</v>
      </c>
    </row>
    <row r="34" spans="1:52">
      <c r="A34" s="150" t="s">
        <v>720</v>
      </c>
      <c r="B34" s="150" t="s">
        <v>575</v>
      </c>
      <c r="C34" s="150" t="s">
        <v>721</v>
      </c>
      <c r="D34" s="150" t="s">
        <v>804</v>
      </c>
      <c r="E34" s="150" t="s">
        <v>771</v>
      </c>
      <c r="F34" s="150" t="s">
        <v>805</v>
      </c>
      <c r="G34" s="150" t="s">
        <v>725</v>
      </c>
      <c r="H34" s="150" t="s">
        <v>726</v>
      </c>
      <c r="I34" s="151">
        <v>195505000</v>
      </c>
      <c r="J34" s="151">
        <v>706289000</v>
      </c>
      <c r="K34" s="151">
        <v>901794000</v>
      </c>
      <c r="L34" s="151" t="s">
        <v>727</v>
      </c>
      <c r="M34" s="151" t="s">
        <v>727</v>
      </c>
      <c r="N34" s="151" t="s">
        <v>727</v>
      </c>
      <c r="O34" s="151">
        <v>901794000</v>
      </c>
      <c r="P34" s="151">
        <v>136111000</v>
      </c>
      <c r="Q34" s="151">
        <v>279132000</v>
      </c>
      <c r="R34" s="151">
        <v>59887000</v>
      </c>
      <c r="S34" s="151">
        <v>339019000</v>
      </c>
      <c r="T34" s="151">
        <v>1446865000</v>
      </c>
      <c r="U34" s="151" t="s">
        <v>727</v>
      </c>
      <c r="V34" s="151">
        <v>-1921995000</v>
      </c>
      <c r="W34" s="151">
        <v>1921995000</v>
      </c>
      <c r="X34" s="151">
        <v>6749454000</v>
      </c>
      <c r="Y34" s="151">
        <v>9573243000</v>
      </c>
      <c r="Z34" s="151" t="s">
        <v>727</v>
      </c>
      <c r="AA34" s="151" t="s">
        <v>727</v>
      </c>
      <c r="AB34" s="151" t="s">
        <v>727</v>
      </c>
      <c r="AC34" s="151" t="s">
        <v>727</v>
      </c>
      <c r="AD34" s="151" t="s">
        <v>727</v>
      </c>
      <c r="AE34" s="151" t="s">
        <v>727</v>
      </c>
      <c r="AF34" s="151">
        <v>438890000</v>
      </c>
      <c r="AG34" s="151" t="s">
        <v>727</v>
      </c>
      <c r="AH34" s="151" t="s">
        <v>727</v>
      </c>
      <c r="AI34" s="151">
        <v>8042151000</v>
      </c>
      <c r="AJ34" s="151">
        <v>8481041000</v>
      </c>
      <c r="AK34" s="151">
        <v>8481041000</v>
      </c>
      <c r="AL34" s="151" t="s">
        <v>727</v>
      </c>
      <c r="AM34" s="151">
        <v>8481041000</v>
      </c>
      <c r="AN34" s="151" t="s">
        <v>727</v>
      </c>
      <c r="AO34" s="151">
        <v>515000</v>
      </c>
      <c r="AP34" s="151">
        <v>330721000</v>
      </c>
      <c r="AQ34" s="151">
        <v>-88204000</v>
      </c>
      <c r="AR34" s="151">
        <v>849170000</v>
      </c>
      <c r="AS34" s="151">
        <v>1092202000</v>
      </c>
      <c r="AT34" s="151">
        <v>1092202000</v>
      </c>
      <c r="AU34" s="151">
        <v>9573243000</v>
      </c>
      <c r="AV34" s="151" t="s">
        <v>727</v>
      </c>
      <c r="AW34" s="151">
        <v>9573243000</v>
      </c>
      <c r="AX34" s="151">
        <v>2153154000</v>
      </c>
      <c r="AY34" s="151">
        <v>438890000</v>
      </c>
      <c r="AZ34" s="151">
        <v>243385000</v>
      </c>
    </row>
    <row r="35" spans="1:52">
      <c r="A35" s="150" t="s">
        <v>720</v>
      </c>
      <c r="B35" s="150" t="s">
        <v>577</v>
      </c>
      <c r="C35" s="150" t="s">
        <v>721</v>
      </c>
      <c r="D35" s="150" t="s">
        <v>806</v>
      </c>
      <c r="E35" s="150" t="s">
        <v>729</v>
      </c>
      <c r="F35" s="150" t="s">
        <v>807</v>
      </c>
      <c r="G35" s="150" t="s">
        <v>725</v>
      </c>
      <c r="H35" s="150" t="s">
        <v>726</v>
      </c>
      <c r="I35" s="151">
        <v>167241000</v>
      </c>
      <c r="J35" s="151">
        <v>917618000</v>
      </c>
      <c r="K35" s="151">
        <v>1084859000</v>
      </c>
      <c r="L35" s="151">
        <v>130388000</v>
      </c>
      <c r="M35" s="151" t="s">
        <v>727</v>
      </c>
      <c r="N35" s="151" t="s">
        <v>727</v>
      </c>
      <c r="O35" s="151">
        <v>1222872000</v>
      </c>
      <c r="P35" s="151">
        <v>108956000</v>
      </c>
      <c r="Q35" s="151">
        <v>367387000</v>
      </c>
      <c r="R35" s="151">
        <v>35051000</v>
      </c>
      <c r="S35" s="151">
        <v>402438000</v>
      </c>
      <c r="T35" s="151">
        <v>1669657000</v>
      </c>
      <c r="U35" s="151" t="s">
        <v>727</v>
      </c>
      <c r="V35" s="151">
        <v>-7625000</v>
      </c>
      <c r="W35" s="151">
        <v>2173426000</v>
      </c>
      <c r="X35" s="151">
        <v>5367671000</v>
      </c>
      <c r="Y35" s="151">
        <v>8763969000</v>
      </c>
      <c r="Z35" s="151">
        <v>70177000</v>
      </c>
      <c r="AA35" s="151">
        <v>317000000</v>
      </c>
      <c r="AB35" s="151" t="s">
        <v>727</v>
      </c>
      <c r="AC35" s="151" t="s">
        <v>727</v>
      </c>
      <c r="AD35" s="151">
        <v>-387177000</v>
      </c>
      <c r="AE35" s="151">
        <v>387177000</v>
      </c>
      <c r="AF35" s="151">
        <v>225342000</v>
      </c>
      <c r="AG35" s="151" t="s">
        <v>727</v>
      </c>
      <c r="AH35" s="151" t="s">
        <v>727</v>
      </c>
      <c r="AI35" s="151">
        <v>161835000</v>
      </c>
      <c r="AJ35" s="151">
        <v>387177000</v>
      </c>
      <c r="AK35" s="151">
        <v>7017086000</v>
      </c>
      <c r="AL35" s="151" t="s">
        <v>727</v>
      </c>
      <c r="AM35" s="151">
        <v>7791440000</v>
      </c>
      <c r="AN35" s="151" t="s">
        <v>727</v>
      </c>
      <c r="AO35" s="151">
        <v>147000</v>
      </c>
      <c r="AP35" s="151">
        <v>407864000</v>
      </c>
      <c r="AQ35" s="151">
        <v>-57470000</v>
      </c>
      <c r="AR35" s="151">
        <v>621988000</v>
      </c>
      <c r="AS35" s="151">
        <v>972529000</v>
      </c>
      <c r="AT35" s="151">
        <v>972529000</v>
      </c>
      <c r="AU35" s="151">
        <v>8763969000</v>
      </c>
      <c r="AV35" s="151" t="s">
        <v>727</v>
      </c>
      <c r="AW35" s="151">
        <v>8763969000</v>
      </c>
      <c r="AX35" s="151">
        <v>2579650000</v>
      </c>
      <c r="AY35" s="151">
        <v>542342000</v>
      </c>
      <c r="AZ35" s="151">
        <v>375101000</v>
      </c>
    </row>
    <row r="36" spans="1:52">
      <c r="A36" s="150" t="s">
        <v>720</v>
      </c>
      <c r="B36" s="150" t="s">
        <v>579</v>
      </c>
      <c r="C36" s="150" t="s">
        <v>721</v>
      </c>
      <c r="D36" s="150" t="s">
        <v>808</v>
      </c>
      <c r="E36" s="150" t="s">
        <v>738</v>
      </c>
      <c r="F36" s="150" t="s">
        <v>809</v>
      </c>
      <c r="G36" s="150" t="s">
        <v>725</v>
      </c>
      <c r="H36" s="150" t="s">
        <v>726</v>
      </c>
      <c r="I36" s="151">
        <v>189728000</v>
      </c>
      <c r="J36" s="151">
        <v>1733696000</v>
      </c>
      <c r="K36" s="151">
        <v>1923424000</v>
      </c>
      <c r="L36" s="151">
        <v>34704000</v>
      </c>
      <c r="M36" s="151" t="s">
        <v>727</v>
      </c>
      <c r="N36" s="151">
        <v>-32978000</v>
      </c>
      <c r="O36" s="151">
        <v>1925150000</v>
      </c>
      <c r="P36" s="151">
        <v>82126000</v>
      </c>
      <c r="Q36" s="151">
        <v>159595000</v>
      </c>
      <c r="R36" s="151">
        <v>5975000</v>
      </c>
      <c r="S36" s="151">
        <v>165570000</v>
      </c>
      <c r="T36" s="151">
        <v>1820787000</v>
      </c>
      <c r="U36" s="151" t="s">
        <v>727</v>
      </c>
      <c r="V36" s="151">
        <v>-1742219000</v>
      </c>
      <c r="W36" s="151">
        <v>326264000</v>
      </c>
      <c r="X36" s="151">
        <v>7603579000</v>
      </c>
      <c r="Y36" s="151">
        <v>9854993000</v>
      </c>
      <c r="Z36" s="151">
        <v>3486000</v>
      </c>
      <c r="AA36" s="151">
        <v>227342000</v>
      </c>
      <c r="AB36" s="151" t="s">
        <v>727</v>
      </c>
      <c r="AC36" s="151" t="s">
        <v>727</v>
      </c>
      <c r="AD36" s="151">
        <v>-3486000</v>
      </c>
      <c r="AE36" s="151">
        <v>227342000</v>
      </c>
      <c r="AF36" s="151">
        <v>416009000</v>
      </c>
      <c r="AG36" s="151" t="s">
        <v>727</v>
      </c>
      <c r="AH36" s="151" t="s">
        <v>727</v>
      </c>
      <c r="AI36" s="151">
        <v>8142416000</v>
      </c>
      <c r="AJ36" s="151">
        <v>8558425000</v>
      </c>
      <c r="AK36" s="151" t="s">
        <v>727</v>
      </c>
      <c r="AL36" s="151">
        <v>19291000</v>
      </c>
      <c r="AM36" s="151">
        <v>8785767000</v>
      </c>
      <c r="AN36" s="151" t="s">
        <v>727</v>
      </c>
      <c r="AO36" s="151">
        <v>462404000</v>
      </c>
      <c r="AP36" s="151">
        <v>847235000</v>
      </c>
      <c r="AQ36" s="151">
        <v>-102394000</v>
      </c>
      <c r="AR36" s="151">
        <v>-138019000</v>
      </c>
      <c r="AS36" s="151">
        <v>1069226000</v>
      </c>
      <c r="AT36" s="151">
        <v>1069226000</v>
      </c>
      <c r="AU36" s="151">
        <v>9854993000</v>
      </c>
      <c r="AV36" s="151" t="s">
        <v>727</v>
      </c>
      <c r="AW36" s="151">
        <v>9854993000</v>
      </c>
      <c r="AX36" s="151">
        <v>3554483000</v>
      </c>
      <c r="AY36" s="151">
        <v>416009000</v>
      </c>
      <c r="AZ36" s="151">
        <v>226281000</v>
      </c>
    </row>
    <row r="37" spans="1:52">
      <c r="A37" s="150" t="s">
        <v>720</v>
      </c>
      <c r="B37" s="150" t="s">
        <v>581</v>
      </c>
      <c r="C37" s="150" t="s">
        <v>721</v>
      </c>
      <c r="D37" s="150" t="s">
        <v>810</v>
      </c>
      <c r="E37" s="150" t="s">
        <v>735</v>
      </c>
      <c r="F37" s="150" t="s">
        <v>811</v>
      </c>
      <c r="G37" s="150" t="s">
        <v>725</v>
      </c>
      <c r="H37" s="150" t="s">
        <v>726</v>
      </c>
      <c r="I37" s="151">
        <v>34363000000</v>
      </c>
      <c r="J37" s="151">
        <v>44159000000</v>
      </c>
      <c r="K37" s="151">
        <v>146377000000</v>
      </c>
      <c r="L37" s="151">
        <v>6404000000</v>
      </c>
      <c r="M37" s="151" t="s">
        <v>727</v>
      </c>
      <c r="N37" s="151" t="s">
        <v>727</v>
      </c>
      <c r="O37" s="151">
        <v>146377000000</v>
      </c>
      <c r="P37" s="151" t="s">
        <v>727</v>
      </c>
      <c r="Q37" s="151">
        <v>10987000000</v>
      </c>
      <c r="R37" s="151">
        <v>3423000000</v>
      </c>
      <c r="S37" s="151">
        <v>14410000000</v>
      </c>
      <c r="T37" s="151">
        <v>147771000000</v>
      </c>
      <c r="U37" s="151" t="s">
        <v>727</v>
      </c>
      <c r="V37" s="151">
        <v>-11860000000</v>
      </c>
      <c r="W37" s="151">
        <v>150321000000</v>
      </c>
      <c r="X37" s="151">
        <v>260565000000</v>
      </c>
      <c r="Y37" s="151">
        <v>557263000000</v>
      </c>
      <c r="Z37" s="151" t="s">
        <v>727</v>
      </c>
      <c r="AA37" s="151" t="s">
        <v>727</v>
      </c>
      <c r="AB37" s="151" t="s">
        <v>727</v>
      </c>
      <c r="AC37" s="151" t="s">
        <v>727</v>
      </c>
      <c r="AD37" s="151" t="s">
        <v>727</v>
      </c>
      <c r="AE37" s="151" t="s">
        <v>727</v>
      </c>
      <c r="AF37" s="151">
        <v>58713000000</v>
      </c>
      <c r="AG37" s="151" t="s">
        <v>727</v>
      </c>
      <c r="AH37" s="151" t="s">
        <v>727</v>
      </c>
      <c r="AI37" s="151">
        <v>-58713000000</v>
      </c>
      <c r="AJ37" s="151">
        <v>511451000000</v>
      </c>
      <c r="AK37" s="151">
        <v>511451000000</v>
      </c>
      <c r="AL37" s="151" t="s">
        <v>727</v>
      </c>
      <c r="AM37" s="151">
        <v>511451000000</v>
      </c>
      <c r="AN37" s="151" t="s">
        <v>727</v>
      </c>
      <c r="AO37" s="151">
        <v>2714000000</v>
      </c>
      <c r="AP37" s="151">
        <v>53572000000</v>
      </c>
      <c r="AQ37" s="151">
        <v>-10172000000</v>
      </c>
      <c r="AR37" s="151">
        <v>-340000000</v>
      </c>
      <c r="AS37" s="151">
        <v>45774000000</v>
      </c>
      <c r="AT37" s="151">
        <v>45774000000</v>
      </c>
      <c r="AU37" s="151">
        <v>557263000000</v>
      </c>
      <c r="AV37" s="151">
        <v>38000000</v>
      </c>
      <c r="AW37" s="151">
        <v>557263000000</v>
      </c>
      <c r="AX37" s="151">
        <v>278668000000</v>
      </c>
      <c r="AY37" s="151">
        <v>58713000000</v>
      </c>
      <c r="AZ37" s="151">
        <v>24350000000</v>
      </c>
    </row>
    <row r="38" spans="1:52">
      <c r="A38" s="150" t="s">
        <v>720</v>
      </c>
      <c r="B38" s="150" t="s">
        <v>583</v>
      </c>
      <c r="C38" s="150" t="s">
        <v>721</v>
      </c>
      <c r="D38" s="150" t="s">
        <v>812</v>
      </c>
      <c r="E38" s="150" t="s">
        <v>732</v>
      </c>
      <c r="F38" s="150" t="s">
        <v>813</v>
      </c>
      <c r="G38" s="150" t="s">
        <v>725</v>
      </c>
      <c r="H38" s="150" t="s">
        <v>726</v>
      </c>
      <c r="I38" s="151">
        <v>423832000</v>
      </c>
      <c r="J38" s="151">
        <v>456502000</v>
      </c>
      <c r="K38" s="151">
        <v>880334000</v>
      </c>
      <c r="L38" s="151">
        <v>88438000</v>
      </c>
      <c r="M38" s="151" t="s">
        <v>727</v>
      </c>
      <c r="N38" s="151" t="s">
        <v>727</v>
      </c>
      <c r="O38" s="151">
        <v>968772000</v>
      </c>
      <c r="P38" s="151">
        <v>339453000</v>
      </c>
      <c r="Q38" s="151">
        <v>3231636000</v>
      </c>
      <c r="R38" s="151">
        <v>51348000</v>
      </c>
      <c r="S38" s="151">
        <v>3282984000</v>
      </c>
      <c r="T38" s="151">
        <v>14476005000</v>
      </c>
      <c r="U38" s="151" t="s">
        <v>727</v>
      </c>
      <c r="V38" s="151">
        <v>-18098442000</v>
      </c>
      <c r="W38" s="151">
        <v>18098442000</v>
      </c>
      <c r="X38" s="151">
        <v>18622615000</v>
      </c>
      <c r="Y38" s="151">
        <v>37689829000</v>
      </c>
      <c r="Z38" s="151">
        <v>4495000</v>
      </c>
      <c r="AA38" s="151">
        <v>1850000000</v>
      </c>
      <c r="AB38" s="151" t="s">
        <v>727</v>
      </c>
      <c r="AC38" s="151" t="s">
        <v>727</v>
      </c>
      <c r="AD38" s="151">
        <v>-1854495000</v>
      </c>
      <c r="AE38" s="151">
        <v>1854495000</v>
      </c>
      <c r="AF38" s="151">
        <v>1850000000</v>
      </c>
      <c r="AG38" s="151" t="s">
        <v>727</v>
      </c>
      <c r="AH38" s="151" t="s">
        <v>727</v>
      </c>
      <c r="AI38" s="151">
        <v>4495000</v>
      </c>
      <c r="AJ38" s="151">
        <v>1854495000</v>
      </c>
      <c r="AK38" s="151">
        <v>27281465000</v>
      </c>
      <c r="AL38" s="151" t="s">
        <v>727</v>
      </c>
      <c r="AM38" s="151">
        <v>30990455000</v>
      </c>
      <c r="AN38" s="151" t="s">
        <v>727</v>
      </c>
      <c r="AO38" s="151">
        <v>91314000</v>
      </c>
      <c r="AP38" s="151">
        <v>3069609000</v>
      </c>
      <c r="AQ38" s="151">
        <v>-3473000</v>
      </c>
      <c r="AR38" s="151">
        <v>3541924000</v>
      </c>
      <c r="AS38" s="151">
        <v>6699374000</v>
      </c>
      <c r="AT38" s="151">
        <v>6699374000</v>
      </c>
      <c r="AU38" s="151">
        <v>37689829000</v>
      </c>
      <c r="AV38" s="151" t="s">
        <v>727</v>
      </c>
      <c r="AW38" s="151">
        <v>37689829000</v>
      </c>
      <c r="AX38" s="151">
        <v>14932507000</v>
      </c>
      <c r="AY38" s="151">
        <v>1850000000</v>
      </c>
      <c r="AZ38" s="151">
        <v>1426168000</v>
      </c>
    </row>
    <row r="39" spans="1:52">
      <c r="A39" s="150" t="s">
        <v>720</v>
      </c>
      <c r="B39" s="150" t="s">
        <v>585</v>
      </c>
      <c r="C39" s="150" t="s">
        <v>721</v>
      </c>
      <c r="D39" s="150" t="s">
        <v>814</v>
      </c>
      <c r="E39" s="150" t="s">
        <v>738</v>
      </c>
      <c r="F39" s="150" t="s">
        <v>815</v>
      </c>
      <c r="G39" s="150" t="s">
        <v>725</v>
      </c>
      <c r="H39" s="150" t="s">
        <v>726</v>
      </c>
      <c r="I39" s="151">
        <v>186508000</v>
      </c>
      <c r="J39" s="151">
        <v>1803548000</v>
      </c>
      <c r="K39" s="151">
        <v>1990056000</v>
      </c>
      <c r="L39" s="151">
        <v>51903000</v>
      </c>
      <c r="M39" s="151" t="s">
        <v>727</v>
      </c>
      <c r="N39" s="151" t="s">
        <v>727</v>
      </c>
      <c r="O39" s="151">
        <v>2041959000</v>
      </c>
      <c r="P39" s="151">
        <v>79794000</v>
      </c>
      <c r="Q39" s="151">
        <v>443623000</v>
      </c>
      <c r="R39" s="151">
        <v>17269000</v>
      </c>
      <c r="S39" s="151">
        <v>460892000</v>
      </c>
      <c r="T39" s="151">
        <v>2192618000</v>
      </c>
      <c r="U39" s="151" t="s">
        <v>727</v>
      </c>
      <c r="V39" s="151">
        <v>-2733304000</v>
      </c>
      <c r="W39" s="151">
        <v>2733304000</v>
      </c>
      <c r="X39" s="151">
        <v>9008173000</v>
      </c>
      <c r="Y39" s="151">
        <v>13783436000</v>
      </c>
      <c r="Z39" s="151" t="s">
        <v>727</v>
      </c>
      <c r="AA39" s="151" t="s">
        <v>727</v>
      </c>
      <c r="AB39" s="151" t="s">
        <v>727</v>
      </c>
      <c r="AC39" s="151" t="s">
        <v>727</v>
      </c>
      <c r="AD39" s="151" t="s">
        <v>727</v>
      </c>
      <c r="AE39" s="151" t="s">
        <v>727</v>
      </c>
      <c r="AF39" s="151">
        <v>1347863000</v>
      </c>
      <c r="AG39" s="151" t="s">
        <v>727</v>
      </c>
      <c r="AH39" s="151" t="s">
        <v>727</v>
      </c>
      <c r="AI39" s="151">
        <v>-1347863000</v>
      </c>
      <c r="AJ39" s="151">
        <v>12185733000</v>
      </c>
      <c r="AK39" s="151">
        <v>12185733000</v>
      </c>
      <c r="AL39" s="151" t="s">
        <v>727</v>
      </c>
      <c r="AM39" s="151">
        <v>12185733000</v>
      </c>
      <c r="AN39" s="151" t="s">
        <v>727</v>
      </c>
      <c r="AO39" s="151">
        <v>832000</v>
      </c>
      <c r="AP39" s="151">
        <v>918158000</v>
      </c>
      <c r="AQ39" s="151">
        <v>-165045000</v>
      </c>
      <c r="AR39" s="151">
        <v>843758000</v>
      </c>
      <c r="AS39" s="151">
        <v>1597703000</v>
      </c>
      <c r="AT39" s="151">
        <v>1597703000</v>
      </c>
      <c r="AU39" s="151">
        <v>13783436000</v>
      </c>
      <c r="AV39" s="151" t="s">
        <v>727</v>
      </c>
      <c r="AW39" s="151">
        <v>13783436000</v>
      </c>
      <c r="AX39" s="151">
        <v>3996166000</v>
      </c>
      <c r="AY39" s="151">
        <v>1347863000</v>
      </c>
      <c r="AZ39" s="151">
        <v>1161355000</v>
      </c>
    </row>
    <row r="40" spans="1:52">
      <c r="A40" s="150" t="s">
        <v>720</v>
      </c>
      <c r="B40" s="150" t="s">
        <v>587</v>
      </c>
      <c r="C40" s="150" t="s">
        <v>721</v>
      </c>
      <c r="D40" s="150" t="s">
        <v>816</v>
      </c>
      <c r="E40" s="150" t="s">
        <v>729</v>
      </c>
      <c r="F40" s="150" t="s">
        <v>817</v>
      </c>
      <c r="G40" s="150" t="s">
        <v>725</v>
      </c>
      <c r="H40" s="150" t="s">
        <v>726</v>
      </c>
      <c r="I40" s="151">
        <v>11227000000</v>
      </c>
      <c r="J40" s="151">
        <v>27933000000</v>
      </c>
      <c r="K40" s="151">
        <v>39160000000</v>
      </c>
      <c r="L40" s="151">
        <v>511000000</v>
      </c>
      <c r="M40" s="151" t="s">
        <v>727</v>
      </c>
      <c r="N40" s="151">
        <v>-38022000000</v>
      </c>
      <c r="O40" s="151">
        <v>1649000000</v>
      </c>
      <c r="P40" s="151">
        <v>1718000000</v>
      </c>
      <c r="Q40" s="151">
        <v>5733000000</v>
      </c>
      <c r="R40" s="151">
        <v>1061000000</v>
      </c>
      <c r="S40" s="151">
        <v>6794000000</v>
      </c>
      <c r="T40" s="151">
        <v>30042000000</v>
      </c>
      <c r="U40" s="151" t="s">
        <v>727</v>
      </c>
      <c r="V40" s="151">
        <v>-38526000000</v>
      </c>
      <c r="W40" s="151">
        <v>28000000</v>
      </c>
      <c r="X40" s="151">
        <v>153543000000</v>
      </c>
      <c r="Y40" s="151">
        <v>155220000000</v>
      </c>
      <c r="Z40" s="151" t="s">
        <v>727</v>
      </c>
      <c r="AA40" s="151" t="s">
        <v>727</v>
      </c>
      <c r="AB40" s="151" t="s">
        <v>727</v>
      </c>
      <c r="AC40" s="151" t="s">
        <v>727</v>
      </c>
      <c r="AD40" s="151" t="s">
        <v>727</v>
      </c>
      <c r="AE40" s="151" t="s">
        <v>727</v>
      </c>
      <c r="AF40" s="151">
        <v>2284000000</v>
      </c>
      <c r="AG40" s="151" t="s">
        <v>727</v>
      </c>
      <c r="AH40" s="151" t="s">
        <v>727</v>
      </c>
      <c r="AI40" s="151">
        <v>-498000000</v>
      </c>
      <c r="AJ40" s="151">
        <v>1786000000</v>
      </c>
      <c r="AK40" s="151">
        <v>137483000000</v>
      </c>
      <c r="AL40" s="151" t="s">
        <v>727</v>
      </c>
      <c r="AM40" s="151">
        <v>139269000000</v>
      </c>
      <c r="AN40" s="151">
        <v>1659000000</v>
      </c>
      <c r="AO40" s="151">
        <v>10000000</v>
      </c>
      <c r="AP40" s="151">
        <v>7004000000</v>
      </c>
      <c r="AQ40" s="151">
        <v>-3343000000</v>
      </c>
      <c r="AR40" s="151">
        <v>10617000000</v>
      </c>
      <c r="AS40" s="151">
        <v>15947000000</v>
      </c>
      <c r="AT40" s="151">
        <v>15947000000</v>
      </c>
      <c r="AU40" s="151">
        <v>155220000000</v>
      </c>
      <c r="AV40" s="151">
        <v>4000000</v>
      </c>
      <c r="AW40" s="151">
        <v>155220000000</v>
      </c>
      <c r="AX40" s="151">
        <v>57975000000</v>
      </c>
      <c r="AY40" s="151">
        <v>2284000000</v>
      </c>
      <c r="AZ40" s="151">
        <v>-8943000000</v>
      </c>
    </row>
    <row r="41" spans="1:52">
      <c r="A41" s="150" t="s">
        <v>720</v>
      </c>
      <c r="B41" s="150" t="s">
        <v>589</v>
      </c>
      <c r="C41" s="150" t="s">
        <v>721</v>
      </c>
      <c r="D41" s="150" t="s">
        <v>818</v>
      </c>
      <c r="E41" s="150" t="s">
        <v>771</v>
      </c>
      <c r="F41" s="150" t="s">
        <v>819</v>
      </c>
      <c r="G41" s="150" t="s">
        <v>725</v>
      </c>
      <c r="H41" s="150" t="s">
        <v>726</v>
      </c>
      <c r="I41" s="151">
        <v>814538000</v>
      </c>
      <c r="J41" s="151">
        <v>644815000</v>
      </c>
      <c r="K41" s="151">
        <v>751132000</v>
      </c>
      <c r="L41" s="151">
        <v>48422000</v>
      </c>
      <c r="M41" s="151" t="s">
        <v>727</v>
      </c>
      <c r="N41" s="151">
        <v>-48422000</v>
      </c>
      <c r="O41" s="151">
        <v>751132000</v>
      </c>
      <c r="P41" s="151">
        <v>59850000</v>
      </c>
      <c r="Q41" s="151" t="s">
        <v>727</v>
      </c>
      <c r="R41" s="151" t="s">
        <v>727</v>
      </c>
      <c r="S41" s="151">
        <v>13615000</v>
      </c>
      <c r="T41" s="151">
        <v>1678936000</v>
      </c>
      <c r="U41" s="151">
        <v>60448000</v>
      </c>
      <c r="V41" s="151">
        <v>-1739384000</v>
      </c>
      <c r="W41" s="151">
        <v>73465000</v>
      </c>
      <c r="X41" s="151">
        <v>13771156000</v>
      </c>
      <c r="Y41" s="151">
        <v>14595753000</v>
      </c>
      <c r="Z41" s="151">
        <v>18615000</v>
      </c>
      <c r="AA41" s="151" t="s">
        <v>727</v>
      </c>
      <c r="AB41" s="151" t="s">
        <v>727</v>
      </c>
      <c r="AC41" s="151" t="s">
        <v>727</v>
      </c>
      <c r="AD41" s="151">
        <v>-18615000</v>
      </c>
      <c r="AE41" s="151">
        <v>18615000</v>
      </c>
      <c r="AF41" s="151">
        <v>64726000</v>
      </c>
      <c r="AG41" s="151" t="s">
        <v>727</v>
      </c>
      <c r="AH41" s="151" t="s">
        <v>727</v>
      </c>
      <c r="AI41" s="151">
        <v>-46111000</v>
      </c>
      <c r="AJ41" s="151">
        <v>18615000</v>
      </c>
      <c r="AK41" s="151">
        <v>13260627000</v>
      </c>
      <c r="AL41" s="151" t="s">
        <v>727</v>
      </c>
      <c r="AM41" s="151">
        <v>13297857000</v>
      </c>
      <c r="AN41" s="151" t="s">
        <v>727</v>
      </c>
      <c r="AO41" s="151">
        <v>54000</v>
      </c>
      <c r="AP41" s="151">
        <v>1109902000</v>
      </c>
      <c r="AQ41" s="151">
        <v>-42253000</v>
      </c>
      <c r="AR41" s="151">
        <v>229693000</v>
      </c>
      <c r="AS41" s="151">
        <v>1297396000</v>
      </c>
      <c r="AT41" s="151">
        <v>1297396000</v>
      </c>
      <c r="AU41" s="151">
        <v>14595753000</v>
      </c>
      <c r="AV41" s="151">
        <v>500000</v>
      </c>
      <c r="AW41" s="151">
        <v>14595753000</v>
      </c>
      <c r="AX41" s="151">
        <v>2323751000</v>
      </c>
      <c r="AY41" s="151">
        <v>64726000</v>
      </c>
      <c r="AZ41" s="151">
        <v>-749812000</v>
      </c>
    </row>
    <row r="42" spans="1:52">
      <c r="A42" s="150" t="s">
        <v>720</v>
      </c>
      <c r="B42" s="150" t="s">
        <v>591</v>
      </c>
      <c r="C42" s="150" t="s">
        <v>721</v>
      </c>
      <c r="D42" s="150" t="s">
        <v>820</v>
      </c>
      <c r="E42" s="150" t="s">
        <v>729</v>
      </c>
      <c r="F42" s="150" t="s">
        <v>821</v>
      </c>
      <c r="G42" s="150" t="s">
        <v>725</v>
      </c>
      <c r="H42" s="150" t="s">
        <v>726</v>
      </c>
      <c r="I42" s="151">
        <v>1939413000</v>
      </c>
      <c r="J42" s="151">
        <v>9678103000</v>
      </c>
      <c r="K42" s="151">
        <v>11617516000</v>
      </c>
      <c r="L42" s="151">
        <v>393989000</v>
      </c>
      <c r="M42" s="151">
        <v>-393989000</v>
      </c>
      <c r="N42" s="151">
        <v>-11100281000</v>
      </c>
      <c r="O42" s="151">
        <v>517235000</v>
      </c>
      <c r="P42" s="151">
        <v>370632000</v>
      </c>
      <c r="Q42" s="151">
        <v>452390000</v>
      </c>
      <c r="R42" s="151">
        <v>27124000</v>
      </c>
      <c r="S42" s="151">
        <v>479514000</v>
      </c>
      <c r="T42" s="151">
        <v>9678103000</v>
      </c>
      <c r="U42" s="151" t="s">
        <v>727</v>
      </c>
      <c r="V42" s="151">
        <v>-11007763000</v>
      </c>
      <c r="W42" s="151">
        <v>-479514000</v>
      </c>
      <c r="X42" s="151">
        <v>59693657000</v>
      </c>
      <c r="Y42" s="151">
        <v>59731378000</v>
      </c>
      <c r="Z42" s="151" t="s">
        <v>727</v>
      </c>
      <c r="AA42" s="151">
        <v>603384000</v>
      </c>
      <c r="AB42" s="151" t="s">
        <v>727</v>
      </c>
      <c r="AC42" s="151" t="s">
        <v>727</v>
      </c>
      <c r="AD42" s="151">
        <v>-603384000</v>
      </c>
      <c r="AE42" s="151">
        <v>603384000</v>
      </c>
      <c r="AF42" s="151">
        <v>4109597000</v>
      </c>
      <c r="AG42" s="151" t="s">
        <v>727</v>
      </c>
      <c r="AH42" s="151" t="s">
        <v>727</v>
      </c>
      <c r="AI42" s="151">
        <v>-3465107000</v>
      </c>
      <c r="AJ42" s="151">
        <v>644490000</v>
      </c>
      <c r="AK42" s="151">
        <v>54007703000</v>
      </c>
      <c r="AL42" s="151" t="s">
        <v>727</v>
      </c>
      <c r="AM42" s="151">
        <v>55255577000</v>
      </c>
      <c r="AN42" s="151">
        <v>537145000</v>
      </c>
      <c r="AO42" s="151">
        <v>170141000</v>
      </c>
      <c r="AP42" s="151">
        <v>2234770000</v>
      </c>
      <c r="AQ42" s="151">
        <v>-1442117000</v>
      </c>
      <c r="AR42" s="151">
        <v>2975862000</v>
      </c>
      <c r="AS42" s="151">
        <v>4475801000</v>
      </c>
      <c r="AT42" s="151">
        <v>4475801000</v>
      </c>
      <c r="AU42" s="151">
        <v>59731378000</v>
      </c>
      <c r="AV42" s="151" t="s">
        <v>727</v>
      </c>
      <c r="AW42" s="151">
        <v>59731378000</v>
      </c>
      <c r="AX42" s="151">
        <v>19356206000</v>
      </c>
      <c r="AY42" s="151">
        <v>4712981000</v>
      </c>
      <c r="AZ42" s="151">
        <v>2773568000</v>
      </c>
    </row>
    <row r="43" spans="1:52">
      <c r="A43" s="150" t="s">
        <v>720</v>
      </c>
      <c r="B43" s="150" t="s">
        <v>593</v>
      </c>
      <c r="C43" s="150" t="s">
        <v>721</v>
      </c>
      <c r="D43" s="150" t="s">
        <v>822</v>
      </c>
      <c r="E43" s="150" t="s">
        <v>738</v>
      </c>
      <c r="F43" s="150" t="s">
        <v>823</v>
      </c>
      <c r="G43" s="150" t="s">
        <v>725</v>
      </c>
      <c r="H43" s="150" t="s">
        <v>726</v>
      </c>
      <c r="I43" s="151">
        <v>77837000</v>
      </c>
      <c r="J43" s="151">
        <v>1594967000</v>
      </c>
      <c r="K43" s="151">
        <v>1672804000</v>
      </c>
      <c r="L43" s="151">
        <v>181058000</v>
      </c>
      <c r="M43" s="151" t="s">
        <v>727</v>
      </c>
      <c r="N43" s="151">
        <v>-240323000</v>
      </c>
      <c r="O43" s="151">
        <v>1613539000</v>
      </c>
      <c r="P43" s="151">
        <v>82140000</v>
      </c>
      <c r="Q43" s="151">
        <v>92602000</v>
      </c>
      <c r="R43" s="151">
        <v>2708000</v>
      </c>
      <c r="S43" s="151">
        <v>95310000</v>
      </c>
      <c r="T43" s="151">
        <v>1908088000</v>
      </c>
      <c r="U43" s="151" t="s">
        <v>727</v>
      </c>
      <c r="V43" s="151">
        <v>-1908088000</v>
      </c>
      <c r="W43" s="151">
        <v>177450000</v>
      </c>
      <c r="X43" s="151">
        <v>5879697000</v>
      </c>
      <c r="Y43" s="151">
        <v>7670686000</v>
      </c>
      <c r="Z43" s="151" t="s">
        <v>727</v>
      </c>
      <c r="AA43" s="151">
        <v>241300000</v>
      </c>
      <c r="AB43" s="151" t="s">
        <v>727</v>
      </c>
      <c r="AC43" s="151" t="s">
        <v>727</v>
      </c>
      <c r="AD43" s="151">
        <v>-241300000</v>
      </c>
      <c r="AE43" s="151">
        <v>241300000</v>
      </c>
      <c r="AF43" s="151">
        <v>291300000</v>
      </c>
      <c r="AG43" s="151" t="s">
        <v>727</v>
      </c>
      <c r="AH43" s="151" t="s">
        <v>727</v>
      </c>
      <c r="AI43" s="151">
        <v>-50000000</v>
      </c>
      <c r="AJ43" s="151">
        <v>241300000</v>
      </c>
      <c r="AK43" s="151">
        <v>6570696000</v>
      </c>
      <c r="AL43" s="151" t="s">
        <v>727</v>
      </c>
      <c r="AM43" s="151">
        <v>7053296000</v>
      </c>
      <c r="AN43" s="151" t="s">
        <v>727</v>
      </c>
      <c r="AO43" s="151">
        <v>1456000</v>
      </c>
      <c r="AP43" s="151">
        <v>526727000</v>
      </c>
      <c r="AQ43" s="151">
        <v>-208689000</v>
      </c>
      <c r="AR43" s="151">
        <v>296484000</v>
      </c>
      <c r="AS43" s="151">
        <v>615978000</v>
      </c>
      <c r="AT43" s="151">
        <v>615978000</v>
      </c>
      <c r="AU43" s="151">
        <v>7670686000</v>
      </c>
      <c r="AV43" s="151">
        <v>1412000</v>
      </c>
      <c r="AW43" s="151">
        <v>7670686000</v>
      </c>
      <c r="AX43" s="151">
        <v>3503055000</v>
      </c>
      <c r="AY43" s="151">
        <v>532600000</v>
      </c>
      <c r="AZ43" s="151">
        <v>454763000</v>
      </c>
    </row>
    <row r="44" spans="1:52">
      <c r="A44" s="150" t="s">
        <v>720</v>
      </c>
      <c r="B44" s="150" t="s">
        <v>595</v>
      </c>
      <c r="C44" s="150" t="s">
        <v>721</v>
      </c>
      <c r="D44" s="150" t="s">
        <v>824</v>
      </c>
      <c r="E44" s="150" t="s">
        <v>771</v>
      </c>
      <c r="F44" s="150" t="s">
        <v>825</v>
      </c>
      <c r="G44" s="150" t="s">
        <v>725</v>
      </c>
      <c r="H44" s="150" t="s">
        <v>726</v>
      </c>
      <c r="I44" s="151">
        <v>21421000000</v>
      </c>
      <c r="J44" s="151">
        <v>71801000000</v>
      </c>
      <c r="K44" s="151">
        <v>93222000000</v>
      </c>
      <c r="L44" s="151">
        <v>11772000000</v>
      </c>
      <c r="M44" s="151">
        <v>-11772000000</v>
      </c>
      <c r="N44" s="151">
        <v>-71801000000</v>
      </c>
      <c r="O44" s="151">
        <v>21421000000</v>
      </c>
      <c r="P44" s="151">
        <v>3605000000</v>
      </c>
      <c r="Q44" s="151">
        <v>27013000000</v>
      </c>
      <c r="R44" s="151">
        <v>7430000000</v>
      </c>
      <c r="S44" s="151">
        <v>34443000000</v>
      </c>
      <c r="T44" s="151">
        <v>134419000000</v>
      </c>
      <c r="U44" s="151">
        <v>-13601000000</v>
      </c>
      <c r="V44" s="151">
        <v>-124576000000</v>
      </c>
      <c r="W44" s="151">
        <v>34290000000</v>
      </c>
      <c r="X44" s="151">
        <v>499544000000</v>
      </c>
      <c r="Y44" s="151">
        <v>555255000000</v>
      </c>
      <c r="Z44" s="151" t="s">
        <v>727</v>
      </c>
      <c r="AA44" s="151">
        <v>23422000000</v>
      </c>
      <c r="AB44" s="151" t="s">
        <v>727</v>
      </c>
      <c r="AC44" s="151">
        <v>-13601000000</v>
      </c>
      <c r="AD44" s="151">
        <v>13601000000</v>
      </c>
      <c r="AE44" s="151">
        <v>23422000000</v>
      </c>
      <c r="AF44" s="151">
        <v>43203000000</v>
      </c>
      <c r="AG44" s="151" t="s">
        <v>727</v>
      </c>
      <c r="AH44" s="151">
        <v>-13601000000</v>
      </c>
      <c r="AI44" s="151">
        <v>441694000000</v>
      </c>
      <c r="AJ44" s="151">
        <v>471296000000</v>
      </c>
      <c r="AK44" s="151" t="s">
        <v>727</v>
      </c>
      <c r="AL44" s="151" t="s">
        <v>727</v>
      </c>
      <c r="AM44" s="151">
        <v>494718000000</v>
      </c>
      <c r="AN44" s="151">
        <v>6673000000</v>
      </c>
      <c r="AO44" s="151">
        <v>6634000000</v>
      </c>
      <c r="AP44" s="151">
        <v>26264000000</v>
      </c>
      <c r="AQ44" s="151">
        <v>-13601000000</v>
      </c>
      <c r="AR44" s="151">
        <v>34544000000</v>
      </c>
      <c r="AS44" s="151">
        <v>60514000000</v>
      </c>
      <c r="AT44" s="151">
        <v>60514000000</v>
      </c>
      <c r="AU44" s="151">
        <v>555255000000</v>
      </c>
      <c r="AV44" s="151">
        <v>23000000</v>
      </c>
      <c r="AW44" s="151">
        <v>555255000000</v>
      </c>
      <c r="AX44" s="151">
        <v>206220000000</v>
      </c>
      <c r="AY44" s="151">
        <v>66625000000</v>
      </c>
      <c r="AZ44" s="151">
        <v>45204000000</v>
      </c>
    </row>
    <row r="45" spans="1:52">
      <c r="A45" s="150" t="s">
        <v>720</v>
      </c>
      <c r="B45" s="150" t="s">
        <v>597</v>
      </c>
      <c r="C45" s="150" t="s">
        <v>721</v>
      </c>
      <c r="D45" s="150" t="s">
        <v>826</v>
      </c>
      <c r="E45" s="150" t="s">
        <v>732</v>
      </c>
      <c r="F45" s="150" t="s">
        <v>827</v>
      </c>
      <c r="G45" s="150" t="s">
        <v>725</v>
      </c>
      <c r="H45" s="150" t="s">
        <v>726</v>
      </c>
      <c r="I45" s="151">
        <v>53542000000</v>
      </c>
      <c r="J45" s="151">
        <v>72910000000</v>
      </c>
      <c r="K45" s="151">
        <v>126452000000</v>
      </c>
      <c r="L45" s="151">
        <v>10081000000</v>
      </c>
      <c r="M45" s="151" t="s">
        <v>727</v>
      </c>
      <c r="N45" s="151" t="s">
        <v>727</v>
      </c>
      <c r="O45" s="151">
        <v>136533000000</v>
      </c>
      <c r="P45" s="151">
        <v>3858000000</v>
      </c>
      <c r="Q45" s="151">
        <v>12373000000</v>
      </c>
      <c r="R45" s="151">
        <v>7155000000</v>
      </c>
      <c r="S45" s="151">
        <v>19528000000</v>
      </c>
      <c r="T45" s="151">
        <v>161650000000</v>
      </c>
      <c r="U45" s="151" t="s">
        <v>727</v>
      </c>
      <c r="V45" s="151">
        <v>-185036000000</v>
      </c>
      <c r="W45" s="151">
        <v>185036000000</v>
      </c>
      <c r="X45" s="151">
        <v>353236000000</v>
      </c>
      <c r="Y45" s="151">
        <v>674805000000</v>
      </c>
      <c r="Z45" s="151" t="s">
        <v>727</v>
      </c>
      <c r="AA45" s="151">
        <v>31216000000</v>
      </c>
      <c r="AB45" s="151" t="s">
        <v>727</v>
      </c>
      <c r="AC45" s="151" t="s">
        <v>727</v>
      </c>
      <c r="AD45" s="151">
        <v>-31216000000</v>
      </c>
      <c r="AE45" s="151">
        <v>31216000000</v>
      </c>
      <c r="AF45" s="151">
        <v>39829000000</v>
      </c>
      <c r="AG45" s="151" t="s">
        <v>727</v>
      </c>
      <c r="AH45" s="151" t="s">
        <v>727</v>
      </c>
      <c r="AI45" s="151">
        <v>-8613000000</v>
      </c>
      <c r="AJ45" s="151">
        <v>31216000000</v>
      </c>
      <c r="AK45" s="151">
        <v>561141000000</v>
      </c>
      <c r="AL45" s="151" t="s">
        <v>727</v>
      </c>
      <c r="AM45" s="151">
        <v>623573000000</v>
      </c>
      <c r="AN45" s="151">
        <v>6808000000</v>
      </c>
      <c r="AO45" s="151">
        <v>21000000</v>
      </c>
      <c r="AP45" s="151">
        <v>71901000000</v>
      </c>
      <c r="AQ45" s="151">
        <v>-11407000000</v>
      </c>
      <c r="AR45" s="151">
        <v>-16557000000</v>
      </c>
      <c r="AS45" s="151">
        <v>50766000000</v>
      </c>
      <c r="AT45" s="151">
        <v>50766000000</v>
      </c>
      <c r="AU45" s="151">
        <v>674805000000</v>
      </c>
      <c r="AV45" s="151">
        <v>466000000</v>
      </c>
      <c r="AW45" s="151">
        <v>674805000000</v>
      </c>
      <c r="AX45" s="151">
        <v>234560000000</v>
      </c>
      <c r="AY45" s="151">
        <v>71045000000</v>
      </c>
      <c r="AZ45" s="151">
        <v>17503000000</v>
      </c>
    </row>
    <row r="46" spans="1:52">
      <c r="A46" s="150" t="s">
        <v>720</v>
      </c>
      <c r="B46" s="150" t="s">
        <v>599</v>
      </c>
      <c r="C46" s="150" t="s">
        <v>721</v>
      </c>
      <c r="D46" s="150" t="s">
        <v>828</v>
      </c>
      <c r="E46" s="150" t="s">
        <v>748</v>
      </c>
      <c r="F46" s="150" t="s">
        <v>829</v>
      </c>
      <c r="G46" s="150" t="s">
        <v>725</v>
      </c>
      <c r="H46" s="150" t="s">
        <v>726</v>
      </c>
      <c r="I46" s="151">
        <v>839943000</v>
      </c>
      <c r="J46" s="151">
        <v>7892697000</v>
      </c>
      <c r="K46" s="151">
        <v>8732640000</v>
      </c>
      <c r="L46" s="151">
        <v>1618175000</v>
      </c>
      <c r="M46" s="151" t="s">
        <v>727</v>
      </c>
      <c r="N46" s="151">
        <v>-575825000</v>
      </c>
      <c r="O46" s="151">
        <v>9774990000</v>
      </c>
      <c r="P46" s="151">
        <v>430184000</v>
      </c>
      <c r="Q46" s="151">
        <v>2514104000</v>
      </c>
      <c r="R46" s="151">
        <v>199342000</v>
      </c>
      <c r="S46" s="151">
        <v>2713446000</v>
      </c>
      <c r="T46" s="151">
        <v>14457394000</v>
      </c>
      <c r="U46" s="151">
        <v>371634000</v>
      </c>
      <c r="V46" s="151">
        <v>-14457394000</v>
      </c>
      <c r="W46" s="151">
        <v>3515264000</v>
      </c>
      <c r="X46" s="151">
        <v>57987267000</v>
      </c>
      <c r="Y46" s="151">
        <v>71277521000</v>
      </c>
      <c r="Z46" s="151" t="s">
        <v>727</v>
      </c>
      <c r="AA46" s="151" t="s">
        <v>727</v>
      </c>
      <c r="AB46" s="151" t="s">
        <v>727</v>
      </c>
      <c r="AC46" s="151" t="s">
        <v>727</v>
      </c>
      <c r="AD46" s="151" t="s">
        <v>727</v>
      </c>
      <c r="AE46" s="151" t="s">
        <v>727</v>
      </c>
      <c r="AF46" s="151">
        <v>6533680000</v>
      </c>
      <c r="AG46" s="151" t="s">
        <v>727</v>
      </c>
      <c r="AH46" s="151" t="s">
        <v>727</v>
      </c>
      <c r="AI46" s="151">
        <v>-5460552000</v>
      </c>
      <c r="AJ46" s="151">
        <v>1073128000</v>
      </c>
      <c r="AK46" s="151">
        <v>62148207000</v>
      </c>
      <c r="AL46" s="151" t="s">
        <v>727</v>
      </c>
      <c r="AM46" s="151">
        <v>63221335000</v>
      </c>
      <c r="AN46" s="151">
        <v>283979000</v>
      </c>
      <c r="AO46" s="151">
        <v>7772207000</v>
      </c>
      <c r="AP46" s="151">
        <v>2713861000</v>
      </c>
      <c r="AQ46" s="151">
        <v>-684960000</v>
      </c>
      <c r="AR46" s="151">
        <v>-2028901000</v>
      </c>
      <c r="AS46" s="151">
        <v>8056186000</v>
      </c>
      <c r="AT46" s="151">
        <v>8056186000</v>
      </c>
      <c r="AU46" s="151">
        <v>71277521000</v>
      </c>
      <c r="AV46" s="151" t="s">
        <v>727</v>
      </c>
      <c r="AW46" s="151">
        <v>71277521000</v>
      </c>
      <c r="AX46" s="151">
        <v>22350091000</v>
      </c>
      <c r="AY46" s="151">
        <v>6533680000</v>
      </c>
      <c r="AZ46" s="151">
        <v>5693737000</v>
      </c>
    </row>
    <row r="47" spans="1:52">
      <c r="A47" s="150" t="s">
        <v>720</v>
      </c>
      <c r="B47" s="150" t="s">
        <v>601</v>
      </c>
      <c r="C47" s="150" t="s">
        <v>721</v>
      </c>
      <c r="D47" s="150" t="s">
        <v>830</v>
      </c>
      <c r="E47" s="150" t="s">
        <v>793</v>
      </c>
      <c r="F47" s="150" t="s">
        <v>831</v>
      </c>
      <c r="G47" s="150" t="s">
        <v>725</v>
      </c>
      <c r="H47" s="150" t="s">
        <v>726</v>
      </c>
      <c r="I47" s="151">
        <v>159157000000</v>
      </c>
      <c r="J47" s="151">
        <v>113594000000</v>
      </c>
      <c r="K47" s="151">
        <v>272751000000</v>
      </c>
      <c r="L47" s="151">
        <v>14908000000</v>
      </c>
      <c r="M47" s="151" t="s">
        <v>727</v>
      </c>
      <c r="N47" s="151" t="s">
        <v>727</v>
      </c>
      <c r="O47" s="151">
        <v>287659000000</v>
      </c>
      <c r="P47" s="151">
        <v>8350000000</v>
      </c>
      <c r="Q47" s="151">
        <v>25173000000</v>
      </c>
      <c r="R47" s="151">
        <v>10480000000</v>
      </c>
      <c r="S47" s="151">
        <v>35653000000</v>
      </c>
      <c r="T47" s="151">
        <v>561222000000</v>
      </c>
      <c r="U47" s="151" t="s">
        <v>727</v>
      </c>
      <c r="V47" s="151">
        <v>-605225000000</v>
      </c>
      <c r="W47" s="151">
        <v>605225000000</v>
      </c>
      <c r="X47" s="151">
        <v>988132000000</v>
      </c>
      <c r="Y47" s="151">
        <v>1881016000000</v>
      </c>
      <c r="Z47" s="151" t="s">
        <v>727</v>
      </c>
      <c r="AA47" s="151">
        <v>51145000000</v>
      </c>
      <c r="AB47" s="151" t="s">
        <v>727</v>
      </c>
      <c r="AC47" s="151" t="s">
        <v>727</v>
      </c>
      <c r="AD47" s="151">
        <v>-51145000000</v>
      </c>
      <c r="AE47" s="151">
        <v>51145000000</v>
      </c>
      <c r="AF47" s="151">
        <v>174870000000</v>
      </c>
      <c r="AG47" s="151" t="s">
        <v>727</v>
      </c>
      <c r="AH47" s="151" t="s">
        <v>727</v>
      </c>
      <c r="AI47" s="151">
        <v>-123725000000</v>
      </c>
      <c r="AJ47" s="151">
        <v>51145000000</v>
      </c>
      <c r="AK47" s="151">
        <v>1596851000000</v>
      </c>
      <c r="AL47" s="151">
        <v>22000000</v>
      </c>
      <c r="AM47" s="151">
        <v>1699141000000</v>
      </c>
      <c r="AN47" s="151">
        <v>19448000000</v>
      </c>
      <c r="AO47" s="151">
        <v>9136000000</v>
      </c>
      <c r="AP47" s="151">
        <v>187649000000</v>
      </c>
      <c r="AQ47" s="151">
        <v>-13381000000</v>
      </c>
      <c r="AR47" s="151">
        <v>-22963000000</v>
      </c>
      <c r="AS47" s="151">
        <v>179889000000</v>
      </c>
      <c r="AT47" s="151">
        <v>179889000000</v>
      </c>
      <c r="AU47" s="151">
        <v>1881016000000</v>
      </c>
      <c r="AV47" s="151">
        <v>1986000000</v>
      </c>
      <c r="AW47" s="151">
        <v>1881016000000</v>
      </c>
      <c r="AX47" s="151">
        <v>674816000000</v>
      </c>
      <c r="AY47" s="151">
        <v>226015000000</v>
      </c>
      <c r="AZ47" s="151">
        <v>66858000000</v>
      </c>
    </row>
    <row r="48" spans="1:52">
      <c r="A48" s="150" t="s">
        <v>720</v>
      </c>
      <c r="B48" s="150" t="s">
        <v>603</v>
      </c>
      <c r="C48" s="150" t="s">
        <v>721</v>
      </c>
      <c r="D48" s="150" t="s">
        <v>832</v>
      </c>
      <c r="E48" s="150" t="s">
        <v>798</v>
      </c>
      <c r="F48" s="150" t="s">
        <v>833</v>
      </c>
      <c r="G48" s="150" t="s">
        <v>725</v>
      </c>
      <c r="H48" s="150" t="s">
        <v>726</v>
      </c>
      <c r="I48" s="151">
        <v>1043000000</v>
      </c>
      <c r="J48" s="151">
        <v>7092000000</v>
      </c>
      <c r="K48" s="151">
        <v>8135000000</v>
      </c>
      <c r="L48" s="151" t="s">
        <v>727</v>
      </c>
      <c r="M48" s="151" t="s">
        <v>727</v>
      </c>
      <c r="N48" s="151">
        <v>-784000000</v>
      </c>
      <c r="O48" s="151">
        <v>7351000000</v>
      </c>
      <c r="P48" s="151">
        <v>439000000</v>
      </c>
      <c r="Q48" s="151">
        <v>680000000</v>
      </c>
      <c r="R48" s="151">
        <v>1148000000</v>
      </c>
      <c r="S48" s="151">
        <v>1828000000</v>
      </c>
      <c r="T48" s="151">
        <v>8760000000</v>
      </c>
      <c r="U48" s="151">
        <v>311000000</v>
      </c>
      <c r="V48" s="151">
        <v>-9908000000</v>
      </c>
      <c r="W48" s="151">
        <v>1430000000</v>
      </c>
      <c r="X48" s="151">
        <v>58953000000</v>
      </c>
      <c r="Y48" s="151">
        <v>67734000000</v>
      </c>
      <c r="Z48" s="151">
        <v>1357000000</v>
      </c>
      <c r="AA48" s="151">
        <v>52000000</v>
      </c>
      <c r="AB48" s="151" t="s">
        <v>727</v>
      </c>
      <c r="AC48" s="151" t="s">
        <v>727</v>
      </c>
      <c r="AD48" s="151">
        <v>2200000000</v>
      </c>
      <c r="AE48" s="151">
        <v>3609000000</v>
      </c>
      <c r="AF48" s="151">
        <v>7377000000</v>
      </c>
      <c r="AG48" s="151" t="s">
        <v>727</v>
      </c>
      <c r="AH48" s="151" t="s">
        <v>727</v>
      </c>
      <c r="AI48" s="151">
        <v>51392000000</v>
      </c>
      <c r="AJ48" s="151">
        <v>58769000000</v>
      </c>
      <c r="AK48" s="151" t="s">
        <v>727</v>
      </c>
      <c r="AL48" s="151">
        <v>185000000</v>
      </c>
      <c r="AM48" s="151">
        <v>62378000000</v>
      </c>
      <c r="AN48" s="151">
        <v>295000000</v>
      </c>
      <c r="AO48" s="151">
        <v>2058000000</v>
      </c>
      <c r="AP48" s="151">
        <v>3664000000</v>
      </c>
      <c r="AQ48" s="151">
        <v>-661000000</v>
      </c>
      <c r="AR48" s="151" t="s">
        <v>727</v>
      </c>
      <c r="AS48" s="151">
        <v>5356000000</v>
      </c>
      <c r="AT48" s="151">
        <v>5356000000</v>
      </c>
      <c r="AU48" s="151">
        <v>67734000000</v>
      </c>
      <c r="AV48" s="151" t="s">
        <v>727</v>
      </c>
      <c r="AW48" s="151">
        <v>67734000000</v>
      </c>
      <c r="AX48" s="151">
        <v>15852000000</v>
      </c>
      <c r="AY48" s="151">
        <v>7377000000</v>
      </c>
      <c r="AZ48" s="151">
        <v>6334000000</v>
      </c>
    </row>
    <row r="49" spans="1:52">
      <c r="A49" s="150" t="s">
        <v>720</v>
      </c>
      <c r="B49" s="150" t="s">
        <v>605</v>
      </c>
      <c r="C49" s="150" t="s">
        <v>721</v>
      </c>
      <c r="D49" s="150" t="s">
        <v>834</v>
      </c>
      <c r="E49" s="150" t="s">
        <v>738</v>
      </c>
      <c r="F49" s="150" t="s">
        <v>835</v>
      </c>
      <c r="G49" s="150" t="s">
        <v>725</v>
      </c>
      <c r="H49" s="150" t="s">
        <v>726</v>
      </c>
      <c r="I49" s="151">
        <v>2032000000</v>
      </c>
      <c r="J49" s="151">
        <v>9060000000</v>
      </c>
      <c r="K49" s="151">
        <v>71033000000</v>
      </c>
      <c r="L49" s="151">
        <v>1679000000</v>
      </c>
      <c r="M49" s="151" t="s">
        <v>727</v>
      </c>
      <c r="N49" s="151" t="s">
        <v>727</v>
      </c>
      <c r="O49" s="151">
        <v>71033000000</v>
      </c>
      <c r="P49" s="151">
        <v>610000000</v>
      </c>
      <c r="Q49" s="151">
        <v>2713000000</v>
      </c>
      <c r="R49" s="151">
        <v>1033000000</v>
      </c>
      <c r="S49" s="151">
        <v>3746000000</v>
      </c>
      <c r="T49" s="151">
        <v>9074000000</v>
      </c>
      <c r="U49" s="151" t="s">
        <v>727</v>
      </c>
      <c r="V49" s="151">
        <v>-10107000000</v>
      </c>
      <c r="W49" s="151">
        <v>3323000000</v>
      </c>
      <c r="X49" s="151">
        <v>15788000000</v>
      </c>
      <c r="Y49" s="151">
        <v>90144000000</v>
      </c>
      <c r="Z49" s="151" t="s">
        <v>727</v>
      </c>
      <c r="AA49" s="151">
        <v>10325000000</v>
      </c>
      <c r="AB49" s="151" t="s">
        <v>727</v>
      </c>
      <c r="AC49" s="151" t="s">
        <v>727</v>
      </c>
      <c r="AD49" s="151">
        <v>-10325000000</v>
      </c>
      <c r="AE49" s="151">
        <v>10325000000</v>
      </c>
      <c r="AF49" s="151">
        <v>21454000000</v>
      </c>
      <c r="AG49" s="151" t="s">
        <v>727</v>
      </c>
      <c r="AH49" s="151" t="s">
        <v>727</v>
      </c>
      <c r="AI49" s="151">
        <v>-11129000000</v>
      </c>
      <c r="AJ49" s="151">
        <v>10325000000</v>
      </c>
      <c r="AK49" s="151">
        <v>60670000000</v>
      </c>
      <c r="AL49" s="151">
        <v>122000000</v>
      </c>
      <c r="AM49" s="151">
        <v>81320000000</v>
      </c>
      <c r="AN49" s="151">
        <v>503000000</v>
      </c>
      <c r="AO49" s="151">
        <v>7000000</v>
      </c>
      <c r="AP49" s="151">
        <v>1041000000</v>
      </c>
      <c r="AQ49" s="151">
        <v>-620000000</v>
      </c>
      <c r="AR49" s="151">
        <v>7893000000</v>
      </c>
      <c r="AS49" s="151">
        <v>8824000000</v>
      </c>
      <c r="AT49" s="151">
        <v>8824000000</v>
      </c>
      <c r="AU49" s="151">
        <v>90144000000</v>
      </c>
      <c r="AV49" s="151" t="s">
        <v>727</v>
      </c>
      <c r="AW49" s="151">
        <v>90144000000</v>
      </c>
      <c r="AX49" s="151">
        <v>69015000000</v>
      </c>
      <c r="AY49" s="151">
        <v>31779000000</v>
      </c>
      <c r="AZ49" s="151">
        <v>29747000000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FABD-BC39-1245-8B8C-7A7A27274BF0}">
  <dimension ref="A1:AJ49"/>
  <sheetViews>
    <sheetView workbookViewId="0">
      <selection activeCell="O32" sqref="O32"/>
    </sheetView>
  </sheetViews>
  <sheetFormatPr baseColWidth="10" defaultRowHeight="16"/>
  <cols>
    <col min="1" max="8" width="11" style="150"/>
    <col min="9" max="9" width="20.59765625" style="150" bestFit="1" customWidth="1"/>
    <col min="10" max="10" width="19.19921875" style="150" bestFit="1" customWidth="1"/>
    <col min="11" max="11" width="20.59765625" style="150" bestFit="1" customWidth="1"/>
    <col min="12" max="12" width="13.3984375" style="150" bestFit="1" customWidth="1"/>
    <col min="13" max="13" width="11" style="150"/>
    <col min="14" max="14" width="19.19921875" style="150" bestFit="1" customWidth="1"/>
    <col min="15" max="15" width="18" style="150" bestFit="1" customWidth="1"/>
    <col min="16" max="16" width="19.19921875" style="150" bestFit="1" customWidth="1"/>
    <col min="17" max="19" width="20.19921875" style="150" bestFit="1" customWidth="1"/>
    <col min="20" max="21" width="19.19921875" style="150" bestFit="1" customWidth="1"/>
    <col min="22" max="22" width="18" style="150" bestFit="1" customWidth="1"/>
    <col min="23" max="23" width="19.19921875" style="150" bestFit="1" customWidth="1"/>
    <col min="24" max="24" width="13.3984375" style="150" bestFit="1" customWidth="1"/>
    <col min="25" max="25" width="19.19921875" style="150" bestFit="1" customWidth="1"/>
    <col min="26" max="26" width="13.3984375" style="150" bestFit="1" customWidth="1"/>
    <col min="27" max="27" width="20.19921875" style="150" bestFit="1" customWidth="1"/>
    <col min="28" max="28" width="19.19921875" style="150" bestFit="1" customWidth="1"/>
    <col min="29" max="29" width="13.3984375" style="150" bestFit="1" customWidth="1"/>
    <col min="30" max="30" width="18" style="150" bestFit="1" customWidth="1"/>
    <col min="31" max="31" width="19.19921875" style="150" bestFit="1" customWidth="1"/>
    <col min="32" max="34" width="13.3984375" style="150" bestFit="1" customWidth="1"/>
    <col min="35" max="36" width="18" style="150" bestFit="1" customWidth="1"/>
    <col min="37" max="16384" width="11" style="150"/>
  </cols>
  <sheetData>
    <row r="1" spans="1:36">
      <c r="A1" s="150" t="s">
        <v>712</v>
      </c>
      <c r="B1" s="150" t="s">
        <v>713</v>
      </c>
      <c r="C1" s="150" t="s">
        <v>714</v>
      </c>
      <c r="D1" s="150" t="s">
        <v>715</v>
      </c>
      <c r="E1" s="150" t="s">
        <v>716</v>
      </c>
      <c r="F1" s="150" t="s">
        <v>717</v>
      </c>
      <c r="G1" s="150" t="s">
        <v>718</v>
      </c>
      <c r="H1" s="150" t="s">
        <v>719</v>
      </c>
      <c r="I1" s="150" t="s">
        <v>836</v>
      </c>
      <c r="J1" s="150" t="s">
        <v>837</v>
      </c>
      <c r="K1" s="150" t="s">
        <v>838</v>
      </c>
      <c r="L1" s="150" t="s">
        <v>839</v>
      </c>
      <c r="M1" s="150" t="s">
        <v>840</v>
      </c>
      <c r="N1" s="150" t="s">
        <v>841</v>
      </c>
      <c r="O1" s="150" t="s">
        <v>842</v>
      </c>
      <c r="P1" s="150" t="s">
        <v>843</v>
      </c>
      <c r="Q1" s="150" t="s">
        <v>844</v>
      </c>
      <c r="R1" s="150" t="s">
        <v>845</v>
      </c>
      <c r="S1" s="150" t="s">
        <v>846</v>
      </c>
      <c r="T1" s="150" t="s">
        <v>847</v>
      </c>
      <c r="U1" s="150" t="s">
        <v>848</v>
      </c>
      <c r="V1" s="150" t="s">
        <v>849</v>
      </c>
      <c r="W1" s="150" t="s">
        <v>850</v>
      </c>
      <c r="X1" s="150" t="s">
        <v>851</v>
      </c>
      <c r="Y1" s="150" t="s">
        <v>852</v>
      </c>
      <c r="Z1" s="150" t="s">
        <v>853</v>
      </c>
      <c r="AA1" s="150" t="s">
        <v>854</v>
      </c>
      <c r="AB1" s="150" t="s">
        <v>855</v>
      </c>
      <c r="AC1" s="150" t="s">
        <v>856</v>
      </c>
      <c r="AD1" s="150" t="s">
        <v>857</v>
      </c>
      <c r="AE1" s="150" t="s">
        <v>858</v>
      </c>
      <c r="AF1" s="150" t="s">
        <v>859</v>
      </c>
      <c r="AG1" s="150" t="s">
        <v>860</v>
      </c>
      <c r="AH1" s="150" t="s">
        <v>861</v>
      </c>
      <c r="AI1" s="150" t="s">
        <v>862</v>
      </c>
      <c r="AJ1" s="150" t="s">
        <v>863</v>
      </c>
    </row>
    <row r="2" spans="1:36">
      <c r="A2" s="150" t="s">
        <v>720</v>
      </c>
      <c r="B2" s="150" t="s">
        <v>511</v>
      </c>
      <c r="C2" s="150" t="s">
        <v>721</v>
      </c>
      <c r="D2" s="150" t="s">
        <v>722</v>
      </c>
      <c r="E2" s="150" t="s">
        <v>723</v>
      </c>
      <c r="F2" s="150" t="s">
        <v>724</v>
      </c>
      <c r="G2" s="150" t="s">
        <v>725</v>
      </c>
      <c r="H2" s="150" t="s">
        <v>726</v>
      </c>
      <c r="I2" s="152">
        <v>88513000</v>
      </c>
      <c r="J2" s="152" t="s">
        <v>727</v>
      </c>
      <c r="K2" s="152">
        <v>88513000</v>
      </c>
      <c r="L2" s="152">
        <v>1</v>
      </c>
      <c r="M2" s="152" t="s">
        <v>727</v>
      </c>
      <c r="N2" s="152">
        <v>476751000</v>
      </c>
      <c r="O2" s="152">
        <v>25525000</v>
      </c>
      <c r="P2" s="152">
        <v>502276000</v>
      </c>
      <c r="Q2" s="152">
        <v>101860000</v>
      </c>
      <c r="R2" s="152">
        <v>604136000</v>
      </c>
      <c r="S2" s="152">
        <v>604136000</v>
      </c>
      <c r="T2" s="152">
        <v>1145252000</v>
      </c>
      <c r="U2" s="152">
        <v>187931000</v>
      </c>
      <c r="V2" s="152">
        <v>8811000</v>
      </c>
      <c r="W2" s="152">
        <v>701460000</v>
      </c>
      <c r="X2" s="152">
        <v>7.9249375797999999</v>
      </c>
      <c r="Y2" s="152">
        <v>692649000</v>
      </c>
      <c r="Z2" s="152">
        <v>7.8253928800999999</v>
      </c>
      <c r="AA2" s="152">
        <v>-233019000</v>
      </c>
      <c r="AB2" s="152">
        <v>459630000</v>
      </c>
      <c r="AC2" s="152">
        <v>5.1927965383999997</v>
      </c>
      <c r="AD2" s="152">
        <v>93508000</v>
      </c>
      <c r="AE2" s="152">
        <v>366122000</v>
      </c>
      <c r="AF2" s="152">
        <v>4.1363641499000003</v>
      </c>
      <c r="AG2" s="152">
        <v>2.36</v>
      </c>
      <c r="AH2" s="152">
        <v>2.34</v>
      </c>
      <c r="AI2" s="152">
        <v>149162000</v>
      </c>
      <c r="AJ2" s="152">
        <v>150496000</v>
      </c>
    </row>
    <row r="3" spans="1:36">
      <c r="A3" s="150" t="s">
        <v>720</v>
      </c>
      <c r="B3" s="150" t="s">
        <v>513</v>
      </c>
      <c r="C3" s="150" t="s">
        <v>721</v>
      </c>
      <c r="D3" s="150" t="s">
        <v>728</v>
      </c>
      <c r="E3" s="150" t="s">
        <v>729</v>
      </c>
      <c r="F3" s="150" t="s">
        <v>730</v>
      </c>
      <c r="G3" s="150" t="s">
        <v>725</v>
      </c>
      <c r="H3" s="150" t="s">
        <v>726</v>
      </c>
      <c r="I3" s="152">
        <v>696210000</v>
      </c>
      <c r="J3" s="152" t="s">
        <v>727</v>
      </c>
      <c r="K3" s="152">
        <v>696210000</v>
      </c>
      <c r="L3" s="152">
        <v>1</v>
      </c>
      <c r="M3" s="152" t="s">
        <v>727</v>
      </c>
      <c r="N3" s="152">
        <v>239167000</v>
      </c>
      <c r="O3" s="152">
        <v>9236000</v>
      </c>
      <c r="P3" s="152">
        <v>248403000</v>
      </c>
      <c r="Q3" s="152">
        <v>-553868000</v>
      </c>
      <c r="R3" s="152">
        <v>-305465000</v>
      </c>
      <c r="S3" s="152">
        <v>-305465000</v>
      </c>
      <c r="T3" s="152">
        <v>660435000</v>
      </c>
      <c r="U3" s="152">
        <v>76174000</v>
      </c>
      <c r="V3" s="152">
        <v>10815000</v>
      </c>
      <c r="W3" s="152">
        <v>401560000</v>
      </c>
      <c r="X3" s="152">
        <v>0.57677999449999995</v>
      </c>
      <c r="Y3" s="152">
        <v>390745000</v>
      </c>
      <c r="Z3" s="152">
        <v>0.56124588850000001</v>
      </c>
      <c r="AA3" s="152">
        <v>-110791000</v>
      </c>
      <c r="AB3" s="152">
        <v>279954000</v>
      </c>
      <c r="AC3" s="152">
        <v>0.40211143189999998</v>
      </c>
      <c r="AD3" s="152">
        <v>45444000</v>
      </c>
      <c r="AE3" s="152">
        <v>234510000</v>
      </c>
      <c r="AF3" s="152">
        <v>0.33683802299999999</v>
      </c>
      <c r="AG3" s="152">
        <v>2.97</v>
      </c>
      <c r="AH3" s="152">
        <v>2.97</v>
      </c>
      <c r="AI3" s="152">
        <v>74949109</v>
      </c>
      <c r="AJ3" s="152">
        <v>74953398</v>
      </c>
    </row>
    <row r="4" spans="1:36">
      <c r="A4" s="150" t="s">
        <v>720</v>
      </c>
      <c r="B4" s="150" t="s">
        <v>515</v>
      </c>
      <c r="C4" s="150" t="s">
        <v>721</v>
      </c>
      <c r="D4" s="150" t="s">
        <v>731</v>
      </c>
      <c r="E4" s="150" t="s">
        <v>732</v>
      </c>
      <c r="F4" s="150" t="s">
        <v>733</v>
      </c>
      <c r="G4" s="150" t="s">
        <v>725</v>
      </c>
      <c r="H4" s="150" t="s">
        <v>726</v>
      </c>
      <c r="I4" s="152">
        <v>331715000</v>
      </c>
      <c r="J4" s="152" t="s">
        <v>727</v>
      </c>
      <c r="K4" s="152">
        <v>331715000</v>
      </c>
      <c r="L4" s="152">
        <v>1</v>
      </c>
      <c r="M4" s="152" t="s">
        <v>727</v>
      </c>
      <c r="N4" s="152">
        <v>113060000</v>
      </c>
      <c r="O4" s="152" t="s">
        <v>727</v>
      </c>
      <c r="P4" s="152">
        <v>113060000</v>
      </c>
      <c r="Q4" s="152" t="s">
        <v>727</v>
      </c>
      <c r="R4" s="152">
        <v>15001000</v>
      </c>
      <c r="S4" s="152">
        <v>15001000</v>
      </c>
      <c r="T4" s="152">
        <v>372772000</v>
      </c>
      <c r="U4" s="152">
        <v>58407000</v>
      </c>
      <c r="V4" s="152">
        <v>1705000</v>
      </c>
      <c r="W4" s="152">
        <v>244342000</v>
      </c>
      <c r="X4" s="152">
        <v>0.73660220369999996</v>
      </c>
      <c r="Y4" s="152">
        <v>242637000</v>
      </c>
      <c r="Z4" s="152">
        <v>0.73146224920000003</v>
      </c>
      <c r="AA4" s="152">
        <v>-73753000</v>
      </c>
      <c r="AB4" s="152">
        <v>168884000</v>
      </c>
      <c r="AC4" s="152">
        <v>0.50912379600000002</v>
      </c>
      <c r="AD4" s="152">
        <v>47945000</v>
      </c>
      <c r="AE4" s="152">
        <v>120939000</v>
      </c>
      <c r="AF4" s="152">
        <v>0.36458707019999997</v>
      </c>
      <c r="AG4" s="152">
        <v>2.2799999999999998</v>
      </c>
      <c r="AH4" s="152">
        <v>2.27</v>
      </c>
      <c r="AI4" s="152">
        <v>53050980</v>
      </c>
      <c r="AJ4" s="152">
        <v>53302926</v>
      </c>
    </row>
    <row r="5" spans="1:36">
      <c r="A5" s="150" t="s">
        <v>720</v>
      </c>
      <c r="B5" s="150" t="s">
        <v>517</v>
      </c>
      <c r="C5" s="150" t="s">
        <v>721</v>
      </c>
      <c r="D5" s="150" t="s">
        <v>734</v>
      </c>
      <c r="E5" s="150" t="s">
        <v>735</v>
      </c>
      <c r="F5" s="150" t="s">
        <v>736</v>
      </c>
      <c r="G5" s="150" t="s">
        <v>725</v>
      </c>
      <c r="H5" s="150" t="s">
        <v>726</v>
      </c>
      <c r="I5" s="152">
        <v>94950000000</v>
      </c>
      <c r="J5" s="152" t="s">
        <v>727</v>
      </c>
      <c r="K5" s="152">
        <v>94950000000</v>
      </c>
      <c r="L5" s="152">
        <v>1</v>
      </c>
      <c r="M5" s="152" t="s">
        <v>727</v>
      </c>
      <c r="N5" s="152">
        <v>40468000000</v>
      </c>
      <c r="O5" s="152">
        <v>5478000000</v>
      </c>
      <c r="P5" s="152">
        <v>45946000000</v>
      </c>
      <c r="Q5" s="152">
        <v>-89824000000</v>
      </c>
      <c r="R5" s="152">
        <v>-43878000000</v>
      </c>
      <c r="S5" s="152">
        <v>73626000000</v>
      </c>
      <c r="T5" s="152">
        <v>72565000000</v>
      </c>
      <c r="U5" s="152">
        <v>20103000000</v>
      </c>
      <c r="V5" s="152">
        <v>1978000000</v>
      </c>
      <c r="W5" s="152">
        <v>53050000000</v>
      </c>
      <c r="X5" s="152">
        <v>0.5587151132</v>
      </c>
      <c r="Y5" s="152">
        <v>51072000000</v>
      </c>
      <c r="Z5" s="152">
        <v>0.53788309639999998</v>
      </c>
      <c r="AA5" s="152">
        <v>-20103000000</v>
      </c>
      <c r="AB5" s="152">
        <v>30969000000</v>
      </c>
      <c r="AC5" s="152">
        <v>0.32616113740000002</v>
      </c>
      <c r="AD5" s="152">
        <v>3441000000</v>
      </c>
      <c r="AE5" s="152">
        <v>27528000000</v>
      </c>
      <c r="AF5" s="152">
        <v>0.28992101110000001</v>
      </c>
      <c r="AG5" s="152">
        <v>3.24</v>
      </c>
      <c r="AH5" s="152">
        <v>3.22</v>
      </c>
      <c r="AI5" s="152">
        <v>8493300000</v>
      </c>
      <c r="AJ5" s="152">
        <v>8558400000</v>
      </c>
    </row>
    <row r="6" spans="1:36">
      <c r="A6" s="150" t="s">
        <v>720</v>
      </c>
      <c r="B6" s="150" t="s">
        <v>519</v>
      </c>
      <c r="C6" s="150" t="s">
        <v>721</v>
      </c>
      <c r="D6" s="150" t="s">
        <v>737</v>
      </c>
      <c r="E6" s="150" t="s">
        <v>738</v>
      </c>
      <c r="F6" s="150" t="s">
        <v>739</v>
      </c>
      <c r="G6" s="150" t="s">
        <v>725</v>
      </c>
      <c r="H6" s="150" t="s">
        <v>726</v>
      </c>
      <c r="I6" s="152">
        <v>698099000</v>
      </c>
      <c r="J6" s="152" t="s">
        <v>727</v>
      </c>
      <c r="K6" s="152">
        <v>698099000</v>
      </c>
      <c r="L6" s="152">
        <v>1</v>
      </c>
      <c r="M6" s="152" t="s">
        <v>727</v>
      </c>
      <c r="N6" s="152">
        <v>241816000</v>
      </c>
      <c r="O6" s="152">
        <v>9976000</v>
      </c>
      <c r="P6" s="152">
        <v>241816000</v>
      </c>
      <c r="Q6" s="152" t="s">
        <v>727</v>
      </c>
      <c r="R6" s="152">
        <v>14557000</v>
      </c>
      <c r="S6" s="152">
        <v>14557000</v>
      </c>
      <c r="T6" s="152">
        <v>597366000</v>
      </c>
      <c r="U6" s="152">
        <v>56808000</v>
      </c>
      <c r="V6" s="152">
        <v>33220000</v>
      </c>
      <c r="W6" s="152">
        <v>347442000</v>
      </c>
      <c r="X6" s="152">
        <v>0.497697318</v>
      </c>
      <c r="Y6" s="152">
        <v>314222000</v>
      </c>
      <c r="Z6" s="152">
        <v>0.45011094410000002</v>
      </c>
      <c r="AA6" s="152">
        <v>-23588000</v>
      </c>
      <c r="AB6" s="152">
        <v>290634000</v>
      </c>
      <c r="AC6" s="152">
        <v>0.41632204029999997</v>
      </c>
      <c r="AD6" s="152">
        <v>64830000</v>
      </c>
      <c r="AE6" s="152">
        <v>225804000</v>
      </c>
      <c r="AF6" s="152">
        <v>0.32345555570000001</v>
      </c>
      <c r="AG6" s="152">
        <v>5.67</v>
      </c>
      <c r="AH6" s="152">
        <v>5.64</v>
      </c>
      <c r="AI6" s="152">
        <v>39601089</v>
      </c>
      <c r="AJ6" s="152">
        <v>39788002</v>
      </c>
    </row>
    <row r="7" spans="1:36">
      <c r="A7" s="150" t="s">
        <v>720</v>
      </c>
      <c r="B7" s="150" t="s">
        <v>521</v>
      </c>
      <c r="C7" s="150" t="s">
        <v>721</v>
      </c>
      <c r="D7" s="150" t="s">
        <v>740</v>
      </c>
      <c r="E7" s="150" t="s">
        <v>735</v>
      </c>
      <c r="F7" s="150" t="s">
        <v>741</v>
      </c>
      <c r="G7" s="150" t="s">
        <v>725</v>
      </c>
      <c r="H7" s="150" t="s">
        <v>726</v>
      </c>
      <c r="I7" s="152">
        <v>990596000</v>
      </c>
      <c r="J7" s="152" t="s">
        <v>727</v>
      </c>
      <c r="K7" s="152">
        <v>990596000</v>
      </c>
      <c r="L7" s="152">
        <v>1</v>
      </c>
      <c r="M7" s="152" t="s">
        <v>727</v>
      </c>
      <c r="N7" s="152">
        <v>283547000</v>
      </c>
      <c r="O7" s="152" t="s">
        <v>727</v>
      </c>
      <c r="P7" s="152">
        <v>283547000</v>
      </c>
      <c r="Q7" s="152" t="s">
        <v>727</v>
      </c>
      <c r="R7" s="152">
        <v>11730000</v>
      </c>
      <c r="S7" s="152">
        <v>11730000</v>
      </c>
      <c r="T7" s="152">
        <v>1230451000</v>
      </c>
      <c r="U7" s="152">
        <v>317491000</v>
      </c>
      <c r="V7" s="152">
        <v>50388000</v>
      </c>
      <c r="W7" s="152">
        <v>762268000</v>
      </c>
      <c r="X7" s="152">
        <v>0.76950441960000004</v>
      </c>
      <c r="Y7" s="152">
        <v>711880000</v>
      </c>
      <c r="Z7" s="152">
        <v>0.71863807239999999</v>
      </c>
      <c r="AA7" s="152">
        <v>-336748000</v>
      </c>
      <c r="AB7" s="152">
        <v>375132000</v>
      </c>
      <c r="AC7" s="152">
        <v>0.37869323110000003</v>
      </c>
      <c r="AD7" s="152">
        <v>90161000</v>
      </c>
      <c r="AE7" s="152">
        <v>284971000</v>
      </c>
      <c r="AF7" s="152">
        <v>0.28767630799999999</v>
      </c>
      <c r="AG7" s="152">
        <v>3.15</v>
      </c>
      <c r="AH7" s="152">
        <v>3.15</v>
      </c>
      <c r="AI7" s="152">
        <v>90400188</v>
      </c>
      <c r="AJ7" s="152">
        <v>90400322</v>
      </c>
    </row>
    <row r="8" spans="1:36">
      <c r="A8" s="150" t="s">
        <v>720</v>
      </c>
      <c r="B8" s="150" t="s">
        <v>523</v>
      </c>
      <c r="C8" s="150" t="s">
        <v>721</v>
      </c>
      <c r="D8" s="150" t="s">
        <v>742</v>
      </c>
      <c r="E8" s="150" t="s">
        <v>743</v>
      </c>
      <c r="F8" s="150" t="s">
        <v>744</v>
      </c>
      <c r="G8" s="150" t="s">
        <v>725</v>
      </c>
      <c r="H8" s="150" t="s">
        <v>726</v>
      </c>
      <c r="I8" s="152">
        <v>149002000</v>
      </c>
      <c r="J8" s="152" t="s">
        <v>727</v>
      </c>
      <c r="K8" s="152">
        <v>149002000</v>
      </c>
      <c r="L8" s="152">
        <v>1</v>
      </c>
      <c r="M8" s="152" t="s">
        <v>727</v>
      </c>
      <c r="N8" s="152">
        <v>48657000</v>
      </c>
      <c r="O8" s="152">
        <v>1561000</v>
      </c>
      <c r="P8" s="152">
        <v>50218000</v>
      </c>
      <c r="Q8" s="152" t="s">
        <v>727</v>
      </c>
      <c r="R8" s="152">
        <v>1561000</v>
      </c>
      <c r="S8" s="152">
        <v>1561000</v>
      </c>
      <c r="T8" s="152">
        <v>126526000</v>
      </c>
      <c r="U8" s="152">
        <v>12845000</v>
      </c>
      <c r="V8" s="152">
        <v>932000</v>
      </c>
      <c r="W8" s="152">
        <v>72865000</v>
      </c>
      <c r="X8" s="152">
        <v>0.4890202816</v>
      </c>
      <c r="Y8" s="152">
        <v>71933000</v>
      </c>
      <c r="Z8" s="152">
        <v>0.48276533199999999</v>
      </c>
      <c r="AA8" s="152">
        <v>-17088000</v>
      </c>
      <c r="AB8" s="152">
        <v>54845000</v>
      </c>
      <c r="AC8" s="152">
        <v>0.36808230759999999</v>
      </c>
      <c r="AD8" s="152">
        <v>11288000</v>
      </c>
      <c r="AE8" s="152">
        <v>43557000</v>
      </c>
      <c r="AF8" s="152">
        <v>0.29232493520000002</v>
      </c>
      <c r="AG8" s="152">
        <v>2.86</v>
      </c>
      <c r="AH8" s="152">
        <v>2.85</v>
      </c>
      <c r="AI8" s="152">
        <v>15040000</v>
      </c>
      <c r="AJ8" s="152">
        <v>15112000</v>
      </c>
    </row>
    <row r="9" spans="1:36">
      <c r="A9" s="150" t="s">
        <v>720</v>
      </c>
      <c r="B9" s="150" t="s">
        <v>525</v>
      </c>
      <c r="C9" s="150" t="s">
        <v>721</v>
      </c>
      <c r="D9" s="150" t="s">
        <v>745</v>
      </c>
      <c r="E9" s="150" t="s">
        <v>738</v>
      </c>
      <c r="F9" s="150" t="s">
        <v>746</v>
      </c>
      <c r="G9" s="150" t="s">
        <v>725</v>
      </c>
      <c r="H9" s="150" t="s">
        <v>726</v>
      </c>
      <c r="I9" s="152">
        <v>413534000</v>
      </c>
      <c r="J9" s="152">
        <v>241776000</v>
      </c>
      <c r="K9" s="152">
        <v>171758000</v>
      </c>
      <c r="L9" s="152">
        <v>0.41534190659999998</v>
      </c>
      <c r="M9" s="152" t="s">
        <v>727</v>
      </c>
      <c r="N9" s="152">
        <v>152741000</v>
      </c>
      <c r="O9" s="152">
        <v>5103000</v>
      </c>
      <c r="P9" s="152">
        <v>152741000</v>
      </c>
      <c r="Q9" s="152" t="s">
        <v>727</v>
      </c>
      <c r="R9" s="152">
        <v>5103000</v>
      </c>
      <c r="S9" s="152">
        <v>248281000</v>
      </c>
      <c r="T9" s="152">
        <v>387257000</v>
      </c>
      <c r="U9" s="152">
        <v>42660000</v>
      </c>
      <c r="V9" s="152">
        <v>14710000</v>
      </c>
      <c r="W9" s="152">
        <v>171188000</v>
      </c>
      <c r="X9" s="152">
        <v>0.41396354349999998</v>
      </c>
      <c r="Y9" s="152">
        <v>156478000</v>
      </c>
      <c r="Z9" s="152">
        <v>0.3783921032</v>
      </c>
      <c r="AA9" s="152">
        <v>-42660000</v>
      </c>
      <c r="AB9" s="152">
        <v>113818000</v>
      </c>
      <c r="AC9" s="152">
        <v>0.2752325081</v>
      </c>
      <c r="AD9" s="152">
        <v>21285000</v>
      </c>
      <c r="AE9" s="152">
        <v>92533000</v>
      </c>
      <c r="AF9" s="152">
        <v>0.22376152869999999</v>
      </c>
      <c r="AG9" s="152">
        <v>2.0299999999999998</v>
      </c>
      <c r="AH9" s="152">
        <v>2.02</v>
      </c>
      <c r="AI9" s="152">
        <v>45564000</v>
      </c>
      <c r="AJ9" s="152">
        <v>45914000</v>
      </c>
    </row>
    <row r="10" spans="1:36">
      <c r="A10" s="150" t="s">
        <v>720</v>
      </c>
      <c r="B10" s="150" t="s">
        <v>527</v>
      </c>
      <c r="C10" s="150" t="s">
        <v>721</v>
      </c>
      <c r="D10" s="150" t="s">
        <v>747</v>
      </c>
      <c r="E10" s="150" t="s">
        <v>748</v>
      </c>
      <c r="F10" s="150" t="s">
        <v>749</v>
      </c>
      <c r="G10" s="150" t="s">
        <v>725</v>
      </c>
      <c r="H10" s="150" t="s">
        <v>726</v>
      </c>
      <c r="I10" s="152">
        <v>158483000</v>
      </c>
      <c r="J10" s="152" t="s">
        <v>727</v>
      </c>
      <c r="K10" s="152">
        <v>158483000</v>
      </c>
      <c r="L10" s="152">
        <v>1</v>
      </c>
      <c r="M10" s="152" t="s">
        <v>727</v>
      </c>
      <c r="N10" s="152">
        <v>57346000</v>
      </c>
      <c r="O10" s="152">
        <v>1460000</v>
      </c>
      <c r="P10" s="152">
        <v>58806000</v>
      </c>
      <c r="Q10" s="152" t="s">
        <v>727</v>
      </c>
      <c r="R10" s="152">
        <v>1460000</v>
      </c>
      <c r="S10" s="152">
        <v>1460000</v>
      </c>
      <c r="T10" s="152">
        <v>127476000</v>
      </c>
      <c r="U10" s="152">
        <v>17085000</v>
      </c>
      <c r="V10" s="152">
        <v>1525000</v>
      </c>
      <c r="W10" s="152">
        <v>56744000</v>
      </c>
      <c r="X10" s="152">
        <v>0.35804471139999999</v>
      </c>
      <c r="Y10" s="152">
        <v>55219000</v>
      </c>
      <c r="Z10" s="152">
        <v>0.34842222830000003</v>
      </c>
      <c r="AA10" s="152">
        <v>-19398000</v>
      </c>
      <c r="AB10" s="152">
        <v>35821000</v>
      </c>
      <c r="AC10" s="152">
        <v>0.22602424230000001</v>
      </c>
      <c r="AD10" s="152">
        <v>8244000</v>
      </c>
      <c r="AE10" s="152">
        <v>27913000</v>
      </c>
      <c r="AF10" s="152">
        <v>0.17612614600000001</v>
      </c>
      <c r="AG10" s="152">
        <v>1.56</v>
      </c>
      <c r="AH10" s="152">
        <v>1.56</v>
      </c>
      <c r="AI10" s="152">
        <v>17849320</v>
      </c>
      <c r="AJ10" s="152">
        <v>17849320</v>
      </c>
    </row>
    <row r="11" spans="1:36">
      <c r="A11" s="150" t="s">
        <v>720</v>
      </c>
      <c r="B11" s="150" t="s">
        <v>529</v>
      </c>
      <c r="C11" s="150" t="s">
        <v>721</v>
      </c>
      <c r="D11" s="150" t="s">
        <v>750</v>
      </c>
      <c r="E11" s="150" t="s">
        <v>751</v>
      </c>
      <c r="F11" s="150" t="s">
        <v>752</v>
      </c>
      <c r="G11" s="150" t="s">
        <v>725</v>
      </c>
      <c r="H11" s="150" t="s">
        <v>726</v>
      </c>
      <c r="I11" s="152">
        <v>320229000</v>
      </c>
      <c r="J11" s="152" t="s">
        <v>727</v>
      </c>
      <c r="K11" s="152">
        <v>320229000</v>
      </c>
      <c r="L11" s="152">
        <v>1</v>
      </c>
      <c r="M11" s="152" t="s">
        <v>727</v>
      </c>
      <c r="N11" s="152">
        <v>118051000</v>
      </c>
      <c r="O11" s="152">
        <v>2825000</v>
      </c>
      <c r="P11" s="152">
        <v>118051000</v>
      </c>
      <c r="Q11" s="152">
        <v>-289751000</v>
      </c>
      <c r="R11" s="152">
        <v>-171700000</v>
      </c>
      <c r="S11" s="152">
        <v>-171700000</v>
      </c>
      <c r="T11" s="152">
        <v>301559000</v>
      </c>
      <c r="U11" s="152">
        <v>36229000</v>
      </c>
      <c r="V11" s="152">
        <v>6671000</v>
      </c>
      <c r="W11" s="152">
        <v>155200000</v>
      </c>
      <c r="X11" s="152">
        <v>0.48465317009999997</v>
      </c>
      <c r="Y11" s="152">
        <v>148529000</v>
      </c>
      <c r="Z11" s="152">
        <v>0.46382120300000002</v>
      </c>
      <c r="AA11" s="152">
        <v>-33846000</v>
      </c>
      <c r="AB11" s="152">
        <v>114683000</v>
      </c>
      <c r="AC11" s="152">
        <v>0.35812808959999998</v>
      </c>
      <c r="AD11" s="152">
        <v>26729000</v>
      </c>
      <c r="AE11" s="152">
        <v>87954000</v>
      </c>
      <c r="AF11" s="152">
        <v>0.27465969670000001</v>
      </c>
      <c r="AG11" s="152">
        <v>2.37</v>
      </c>
      <c r="AH11" s="152">
        <v>2.34</v>
      </c>
      <c r="AI11" s="152">
        <v>36972972</v>
      </c>
      <c r="AJ11" s="152">
        <v>37476120</v>
      </c>
    </row>
    <row r="12" spans="1:36">
      <c r="A12" s="150" t="s">
        <v>720</v>
      </c>
      <c r="B12" s="150" t="s">
        <v>531</v>
      </c>
      <c r="C12" s="150" t="s">
        <v>721</v>
      </c>
      <c r="D12" s="150" t="s">
        <v>753</v>
      </c>
      <c r="E12" s="150" t="s">
        <v>720</v>
      </c>
      <c r="F12" s="150" t="s">
        <v>754</v>
      </c>
      <c r="G12" s="150" t="s">
        <v>725</v>
      </c>
      <c r="H12" s="150" t="s">
        <v>726</v>
      </c>
      <c r="I12" s="152">
        <v>1844335000</v>
      </c>
      <c r="J12" s="152" t="s">
        <v>727</v>
      </c>
      <c r="K12" s="152">
        <v>1844335000</v>
      </c>
      <c r="L12" s="152">
        <v>1</v>
      </c>
      <c r="M12" s="152" t="s">
        <v>727</v>
      </c>
      <c r="N12" s="152">
        <v>763735000</v>
      </c>
      <c r="O12" s="152">
        <v>41754000</v>
      </c>
      <c r="P12" s="152">
        <v>805489000</v>
      </c>
      <c r="Q12" s="152">
        <v>-1841159000</v>
      </c>
      <c r="R12" s="152">
        <v>-1035670000</v>
      </c>
      <c r="S12" s="152">
        <v>-1035670000</v>
      </c>
      <c r="T12" s="152">
        <v>1560593000</v>
      </c>
      <c r="U12" s="152">
        <v>209290000</v>
      </c>
      <c r="V12" s="152">
        <v>255821000</v>
      </c>
      <c r="W12" s="152">
        <v>1064486000</v>
      </c>
      <c r="X12" s="152">
        <v>0.57716521129999998</v>
      </c>
      <c r="Y12" s="152">
        <v>808665000</v>
      </c>
      <c r="Z12" s="152">
        <v>0.43845884829999998</v>
      </c>
      <c r="AA12" s="152">
        <v>-209290000</v>
      </c>
      <c r="AB12" s="152">
        <v>599375000</v>
      </c>
      <c r="AC12" s="152">
        <v>0.32498163289999998</v>
      </c>
      <c r="AD12" s="152">
        <v>136138000</v>
      </c>
      <c r="AE12" s="152">
        <v>463237000</v>
      </c>
      <c r="AF12" s="152">
        <v>0.25116749399999999</v>
      </c>
      <c r="AG12" s="152">
        <v>2.4700000000000002</v>
      </c>
      <c r="AH12" s="152">
        <v>2.46</v>
      </c>
      <c r="AI12" s="152">
        <v>183510000</v>
      </c>
      <c r="AJ12" s="152">
        <v>184498000</v>
      </c>
    </row>
    <row r="13" spans="1:36">
      <c r="A13" s="150" t="s">
        <v>720</v>
      </c>
      <c r="B13" s="150" t="s">
        <v>533</v>
      </c>
      <c r="C13" s="150" t="s">
        <v>721</v>
      </c>
      <c r="D13" s="150" t="s">
        <v>755</v>
      </c>
      <c r="E13" s="150" t="s">
        <v>729</v>
      </c>
      <c r="F13" s="150" t="s">
        <v>756</v>
      </c>
      <c r="G13" s="150" t="s">
        <v>725</v>
      </c>
      <c r="H13" s="150" t="s">
        <v>726</v>
      </c>
      <c r="I13" s="152">
        <v>263482000</v>
      </c>
      <c r="J13" s="152" t="s">
        <v>727</v>
      </c>
      <c r="K13" s="152">
        <v>263482000</v>
      </c>
      <c r="L13" s="152">
        <v>1</v>
      </c>
      <c r="M13" s="152" t="s">
        <v>727</v>
      </c>
      <c r="N13" s="152">
        <v>88781000</v>
      </c>
      <c r="O13" s="152">
        <v>4151000</v>
      </c>
      <c r="P13" s="152">
        <v>92932000</v>
      </c>
      <c r="Q13" s="152">
        <v>-240552000</v>
      </c>
      <c r="R13" s="152">
        <v>-147620000</v>
      </c>
      <c r="S13" s="152">
        <v>-147620000</v>
      </c>
      <c r="T13" s="152">
        <v>232265000</v>
      </c>
      <c r="U13" s="152">
        <v>17093000</v>
      </c>
      <c r="V13" s="152">
        <v>8160000</v>
      </c>
      <c r="W13" s="152">
        <v>124022000</v>
      </c>
      <c r="X13" s="152">
        <v>0.4707038811</v>
      </c>
      <c r="Y13" s="152">
        <v>115862000</v>
      </c>
      <c r="Z13" s="152">
        <v>0.43973402360000002</v>
      </c>
      <c r="AA13" s="152">
        <v>-17093000</v>
      </c>
      <c r="AB13" s="152">
        <v>98769000</v>
      </c>
      <c r="AC13" s="152">
        <v>0.37486052180000001</v>
      </c>
      <c r="AD13" s="152">
        <v>24841000</v>
      </c>
      <c r="AE13" s="152">
        <v>73928000</v>
      </c>
      <c r="AF13" s="152">
        <v>0.28058083659999999</v>
      </c>
      <c r="AG13" s="152">
        <v>2.7</v>
      </c>
      <c r="AH13" s="152">
        <v>2.68</v>
      </c>
      <c r="AI13" s="152">
        <v>27398445</v>
      </c>
      <c r="AJ13" s="152">
        <v>27567780</v>
      </c>
    </row>
    <row r="14" spans="1:36">
      <c r="A14" s="150" t="s">
        <v>720</v>
      </c>
      <c r="B14" s="150" t="s">
        <v>535</v>
      </c>
      <c r="C14" s="150" t="s">
        <v>721</v>
      </c>
      <c r="D14" s="150" t="s">
        <v>757</v>
      </c>
      <c r="E14" s="150" t="s">
        <v>732</v>
      </c>
      <c r="F14" s="150" t="s">
        <v>758</v>
      </c>
      <c r="G14" s="150" t="s">
        <v>725</v>
      </c>
      <c r="H14" s="150" t="s">
        <v>726</v>
      </c>
      <c r="I14" s="152">
        <v>75305000000</v>
      </c>
      <c r="J14" s="152">
        <v>41149000000</v>
      </c>
      <c r="K14" s="152">
        <v>34156000000</v>
      </c>
      <c r="L14" s="152">
        <v>0.45356882009999999</v>
      </c>
      <c r="M14" s="152" t="s">
        <v>727</v>
      </c>
      <c r="N14" s="152">
        <v>26749000000</v>
      </c>
      <c r="O14" s="152">
        <v>1556000000</v>
      </c>
      <c r="P14" s="152">
        <v>28305000000</v>
      </c>
      <c r="Q14" s="152">
        <v>49736000000</v>
      </c>
      <c r="R14" s="152">
        <v>51292000000</v>
      </c>
      <c r="S14" s="152">
        <v>92441000000</v>
      </c>
      <c r="T14" s="152">
        <v>74408000000</v>
      </c>
      <c r="U14" s="152">
        <v>25740000000</v>
      </c>
      <c r="V14" s="152">
        <v>4262000000</v>
      </c>
      <c r="W14" s="152">
        <v>48489000000</v>
      </c>
      <c r="X14" s="152">
        <v>0.64390146739999998</v>
      </c>
      <c r="Y14" s="152">
        <v>44227000000</v>
      </c>
      <c r="Z14" s="152">
        <v>0.58730495979999997</v>
      </c>
      <c r="AA14" s="152">
        <v>-25420000000</v>
      </c>
      <c r="AB14" s="152">
        <v>18807000000</v>
      </c>
      <c r="AC14" s="152">
        <v>0.24974437290000001</v>
      </c>
      <c r="AD14" s="152">
        <v>3642000000</v>
      </c>
      <c r="AE14" s="152">
        <v>14845000000</v>
      </c>
      <c r="AF14" s="152">
        <v>0.19713166460000001</v>
      </c>
      <c r="AG14" s="152">
        <v>7.04</v>
      </c>
      <c r="AH14" s="152">
        <v>7</v>
      </c>
      <c r="AI14" s="152">
        <v>1946700000</v>
      </c>
      <c r="AJ14" s="152">
        <v>1964300000</v>
      </c>
    </row>
    <row r="15" spans="1:36">
      <c r="A15" s="150" t="s">
        <v>720</v>
      </c>
      <c r="B15" s="150" t="s">
        <v>537</v>
      </c>
      <c r="C15" s="150" t="s">
        <v>721</v>
      </c>
      <c r="D15" s="150" t="s">
        <v>759</v>
      </c>
      <c r="E15" s="150" t="s">
        <v>760</v>
      </c>
      <c r="F15" s="150" t="s">
        <v>761</v>
      </c>
      <c r="G15" s="150" t="s">
        <v>725</v>
      </c>
      <c r="H15" s="150" t="s">
        <v>726</v>
      </c>
      <c r="I15" s="152">
        <v>8021000000</v>
      </c>
      <c r="J15" s="152">
        <v>5490000</v>
      </c>
      <c r="K15" s="152">
        <v>8015510000</v>
      </c>
      <c r="L15" s="152">
        <v>0.9993155467</v>
      </c>
      <c r="M15" s="152" t="s">
        <v>727</v>
      </c>
      <c r="N15" s="152">
        <v>2549000000</v>
      </c>
      <c r="O15" s="152">
        <v>166000000</v>
      </c>
      <c r="P15" s="152">
        <v>2549000000</v>
      </c>
      <c r="Q15" s="152">
        <v>-1964000000</v>
      </c>
      <c r="R15" s="152">
        <v>585000000</v>
      </c>
      <c r="S15" s="152">
        <v>585000000</v>
      </c>
      <c r="T15" s="152">
        <v>7060000000</v>
      </c>
      <c r="U15" s="152">
        <v>1048000000</v>
      </c>
      <c r="V15" s="152">
        <v>565000000</v>
      </c>
      <c r="W15" s="152">
        <v>4268000000</v>
      </c>
      <c r="X15" s="152">
        <v>0.53210322899999996</v>
      </c>
      <c r="Y15" s="152">
        <v>3703000000</v>
      </c>
      <c r="Z15" s="152">
        <v>0.4616631343</v>
      </c>
      <c r="AA15" s="152">
        <v>-1048000000</v>
      </c>
      <c r="AB15" s="152">
        <v>2655000000</v>
      </c>
      <c r="AC15" s="152">
        <v>0.33100610899999999</v>
      </c>
      <c r="AD15" s="152">
        <v>582000000</v>
      </c>
      <c r="AE15" s="152">
        <v>2073000000</v>
      </c>
      <c r="AF15" s="152">
        <v>0.25844657770000001</v>
      </c>
      <c r="AG15" s="152">
        <v>4.12</v>
      </c>
      <c r="AH15" s="152">
        <v>4.0999999999999996</v>
      </c>
      <c r="AI15" s="152">
        <v>475959815</v>
      </c>
      <c r="AJ15" s="152">
        <v>477803142</v>
      </c>
    </row>
    <row r="16" spans="1:36">
      <c r="A16" s="150" t="s">
        <v>720</v>
      </c>
      <c r="B16" s="150" t="s">
        <v>539</v>
      </c>
      <c r="C16" s="150" t="s">
        <v>721</v>
      </c>
      <c r="D16" s="150" t="s">
        <v>762</v>
      </c>
      <c r="E16" s="150" t="s">
        <v>763</v>
      </c>
      <c r="F16" s="150" t="s">
        <v>764</v>
      </c>
      <c r="G16" s="150" t="s">
        <v>725</v>
      </c>
      <c r="H16" s="150" t="s">
        <v>726</v>
      </c>
      <c r="I16" s="152">
        <v>3534000000</v>
      </c>
      <c r="J16" s="152" t="s">
        <v>727</v>
      </c>
      <c r="K16" s="152">
        <v>3534000000</v>
      </c>
      <c r="L16" s="152">
        <v>1</v>
      </c>
      <c r="M16" s="152" t="s">
        <v>727</v>
      </c>
      <c r="N16" s="152">
        <v>1239000000</v>
      </c>
      <c r="O16" s="152">
        <v>38000000</v>
      </c>
      <c r="P16" s="152">
        <v>1277000000</v>
      </c>
      <c r="Q16" s="152">
        <v>-1239000000</v>
      </c>
      <c r="R16" s="152">
        <v>38000000</v>
      </c>
      <c r="S16" s="152">
        <v>38000000</v>
      </c>
      <c r="T16" s="152">
        <v>2672000000</v>
      </c>
      <c r="U16" s="152">
        <v>206000000</v>
      </c>
      <c r="V16" s="152">
        <v>92000000</v>
      </c>
      <c r="W16" s="152">
        <v>1774000000</v>
      </c>
      <c r="X16" s="152">
        <v>0.5019807583</v>
      </c>
      <c r="Y16" s="152">
        <v>1682000000</v>
      </c>
      <c r="Z16" s="152">
        <v>0.47594793439999999</v>
      </c>
      <c r="AA16" s="152">
        <v>-206000000</v>
      </c>
      <c r="AB16" s="152">
        <v>1476000000</v>
      </c>
      <c r="AC16" s="152">
        <v>0.41765704580000002</v>
      </c>
      <c r="AD16" s="152">
        <v>325000000</v>
      </c>
      <c r="AE16" s="152">
        <v>1151000000</v>
      </c>
      <c r="AF16" s="152">
        <v>0.32569326539999999</v>
      </c>
      <c r="AG16" s="152">
        <v>8.32</v>
      </c>
      <c r="AH16" s="152">
        <v>8.2200000000000006</v>
      </c>
      <c r="AI16" s="152">
        <v>134911243</v>
      </c>
      <c r="AJ16" s="152">
        <v>136566000</v>
      </c>
    </row>
    <row r="17" spans="1:36">
      <c r="A17" s="150" t="s">
        <v>720</v>
      </c>
      <c r="B17" s="150" t="s">
        <v>541</v>
      </c>
      <c r="C17" s="150" t="s">
        <v>721</v>
      </c>
      <c r="D17" s="150" t="s">
        <v>765</v>
      </c>
      <c r="E17" s="150" t="s">
        <v>738</v>
      </c>
      <c r="F17" s="150" t="s">
        <v>766</v>
      </c>
      <c r="G17" s="150" t="s">
        <v>725</v>
      </c>
      <c r="H17" s="150" t="s">
        <v>726</v>
      </c>
      <c r="I17" s="152">
        <v>679355000</v>
      </c>
      <c r="J17" s="152" t="s">
        <v>727</v>
      </c>
      <c r="K17" s="152">
        <v>679355000</v>
      </c>
      <c r="L17" s="152">
        <v>1</v>
      </c>
      <c r="M17" s="152" t="s">
        <v>727</v>
      </c>
      <c r="N17" s="152">
        <v>257339000</v>
      </c>
      <c r="O17" s="152">
        <v>13095000</v>
      </c>
      <c r="P17" s="152">
        <v>257339000</v>
      </c>
      <c r="Q17" s="152">
        <v>-658069000</v>
      </c>
      <c r="R17" s="152">
        <v>-400730000</v>
      </c>
      <c r="S17" s="152">
        <v>-400730000</v>
      </c>
      <c r="T17" s="152">
        <v>443729000</v>
      </c>
      <c r="U17" s="152">
        <v>23099000</v>
      </c>
      <c r="V17" s="152">
        <v>15214000</v>
      </c>
      <c r="W17" s="152">
        <v>293839000</v>
      </c>
      <c r="X17" s="152">
        <v>0.4325264405</v>
      </c>
      <c r="Y17" s="152">
        <v>278625000</v>
      </c>
      <c r="Z17" s="152">
        <v>0.41013166899999998</v>
      </c>
      <c r="AA17" s="152">
        <v>-38311000</v>
      </c>
      <c r="AB17" s="152">
        <v>240314000</v>
      </c>
      <c r="AC17" s="152">
        <v>0.35373847250000001</v>
      </c>
      <c r="AD17" s="152">
        <v>52233000</v>
      </c>
      <c r="AE17" s="152">
        <v>188081000</v>
      </c>
      <c r="AF17" s="152">
        <v>0.27685230840000002</v>
      </c>
      <c r="AG17" s="152">
        <v>3.48</v>
      </c>
      <c r="AH17" s="152">
        <v>3.45</v>
      </c>
      <c r="AI17" s="152">
        <v>54043875</v>
      </c>
      <c r="AJ17" s="152">
        <v>54509770</v>
      </c>
    </row>
    <row r="18" spans="1:36">
      <c r="A18" s="150" t="s">
        <v>720</v>
      </c>
      <c r="B18" s="150" t="s">
        <v>543</v>
      </c>
      <c r="C18" s="150" t="s">
        <v>721</v>
      </c>
      <c r="D18" s="150" t="s">
        <v>767</v>
      </c>
      <c r="E18" s="150" t="s">
        <v>768</v>
      </c>
      <c r="F18" s="150" t="s">
        <v>769</v>
      </c>
      <c r="G18" s="150" t="s">
        <v>725</v>
      </c>
      <c r="H18" s="150" t="s">
        <v>726</v>
      </c>
      <c r="I18" s="152">
        <v>220380000</v>
      </c>
      <c r="J18" s="152" t="s">
        <v>727</v>
      </c>
      <c r="K18" s="152">
        <v>220380000</v>
      </c>
      <c r="L18" s="152">
        <v>1</v>
      </c>
      <c r="M18" s="152" t="s">
        <v>727</v>
      </c>
      <c r="N18" s="152">
        <v>596307000</v>
      </c>
      <c r="O18" s="152">
        <v>39994000</v>
      </c>
      <c r="P18" s="152">
        <v>596307000</v>
      </c>
      <c r="Q18" s="152" t="s">
        <v>727</v>
      </c>
      <c r="R18" s="152">
        <v>88608000</v>
      </c>
      <c r="S18" s="152">
        <v>88608000</v>
      </c>
      <c r="T18" s="152">
        <v>1291283000</v>
      </c>
      <c r="U18" s="152">
        <v>184438000</v>
      </c>
      <c r="V18" s="152">
        <v>480000</v>
      </c>
      <c r="W18" s="152">
        <v>1015334000</v>
      </c>
      <c r="X18" s="152">
        <v>4.6071966602999996</v>
      </c>
      <c r="Y18" s="152">
        <v>1014854000</v>
      </c>
      <c r="Z18" s="152">
        <v>4.6050186041999996</v>
      </c>
      <c r="AA18" s="152">
        <v>-346027000</v>
      </c>
      <c r="AB18" s="152">
        <v>668827000</v>
      </c>
      <c r="AC18" s="152">
        <v>3.0348806606999998</v>
      </c>
      <c r="AD18" s="152">
        <v>89677000</v>
      </c>
      <c r="AE18" s="152">
        <v>579150000</v>
      </c>
      <c r="AF18" s="152">
        <v>2.6279607949999999</v>
      </c>
      <c r="AG18" s="152">
        <v>8.99</v>
      </c>
      <c r="AH18" s="152">
        <v>8.93</v>
      </c>
      <c r="AI18" s="152">
        <v>63652000</v>
      </c>
      <c r="AJ18" s="152">
        <v>64097000</v>
      </c>
    </row>
    <row r="19" spans="1:36">
      <c r="A19" s="150" t="s">
        <v>720</v>
      </c>
      <c r="B19" s="150" t="s">
        <v>545</v>
      </c>
      <c r="C19" s="150" t="s">
        <v>721</v>
      </c>
      <c r="D19" s="150" t="s">
        <v>770</v>
      </c>
      <c r="E19" s="150" t="s">
        <v>771</v>
      </c>
      <c r="F19" s="150" t="s">
        <v>772</v>
      </c>
      <c r="G19" s="150" t="s">
        <v>725</v>
      </c>
      <c r="H19" s="150" t="s">
        <v>726</v>
      </c>
      <c r="I19" s="152">
        <v>632378000</v>
      </c>
      <c r="J19" s="152" t="s">
        <v>727</v>
      </c>
      <c r="K19" s="152">
        <v>632378000</v>
      </c>
      <c r="L19" s="152">
        <v>1</v>
      </c>
      <c r="M19" s="152" t="s">
        <v>727</v>
      </c>
      <c r="N19" s="152">
        <v>121234000</v>
      </c>
      <c r="O19" s="152">
        <v>2541000</v>
      </c>
      <c r="P19" s="152">
        <v>123775000</v>
      </c>
      <c r="Q19" s="152" t="s">
        <v>727</v>
      </c>
      <c r="R19" s="152">
        <v>2541000</v>
      </c>
      <c r="S19" s="152">
        <v>2541000</v>
      </c>
      <c r="T19" s="152">
        <v>885373000</v>
      </c>
      <c r="U19" s="152">
        <v>261653000</v>
      </c>
      <c r="V19" s="152">
        <v>22978000</v>
      </c>
      <c r="W19" s="152">
        <v>575928000</v>
      </c>
      <c r="X19" s="152">
        <v>0.91073377</v>
      </c>
      <c r="Y19" s="152">
        <v>552950000</v>
      </c>
      <c r="Z19" s="152">
        <v>0.87439790760000002</v>
      </c>
      <c r="AA19" s="152">
        <v>-261653000</v>
      </c>
      <c r="AB19" s="152">
        <v>291297000</v>
      </c>
      <c r="AC19" s="152">
        <v>0.46063746680000001</v>
      </c>
      <c r="AD19" s="152">
        <v>63263000</v>
      </c>
      <c r="AE19" s="152">
        <v>228034000</v>
      </c>
      <c r="AF19" s="152">
        <v>0.3605976172</v>
      </c>
      <c r="AG19" s="152">
        <v>6.69</v>
      </c>
      <c r="AH19" s="152">
        <v>6.51</v>
      </c>
      <c r="AI19" s="152">
        <v>32632751</v>
      </c>
      <c r="AJ19" s="152">
        <v>33547706</v>
      </c>
    </row>
    <row r="20" spans="1:36">
      <c r="A20" s="150" t="s">
        <v>720</v>
      </c>
      <c r="B20" s="150" t="s">
        <v>547</v>
      </c>
      <c r="C20" s="150" t="s">
        <v>721</v>
      </c>
      <c r="D20" s="150" t="s">
        <v>773</v>
      </c>
      <c r="E20" s="150" t="s">
        <v>774</v>
      </c>
      <c r="F20" s="150" t="s">
        <v>775</v>
      </c>
      <c r="G20" s="150" t="s">
        <v>725</v>
      </c>
      <c r="H20" s="150" t="s">
        <v>726</v>
      </c>
      <c r="I20" s="152">
        <v>92226000</v>
      </c>
      <c r="J20" s="152" t="s">
        <v>727</v>
      </c>
      <c r="K20" s="152">
        <v>92226000</v>
      </c>
      <c r="L20" s="152">
        <v>1</v>
      </c>
      <c r="M20" s="152" t="s">
        <v>727</v>
      </c>
      <c r="N20" s="152">
        <v>45066000</v>
      </c>
      <c r="O20" s="152">
        <v>1159000</v>
      </c>
      <c r="P20" s="152">
        <v>46225000</v>
      </c>
      <c r="Q20" s="152">
        <v>-101125000</v>
      </c>
      <c r="R20" s="152">
        <v>-54900000</v>
      </c>
      <c r="S20" s="152">
        <v>-54900000</v>
      </c>
      <c r="T20" s="152">
        <v>79482000</v>
      </c>
      <c r="U20" s="152">
        <v>6527000</v>
      </c>
      <c r="V20" s="152">
        <v>400000</v>
      </c>
      <c r="W20" s="152">
        <v>37726000</v>
      </c>
      <c r="X20" s="152">
        <v>0.40906035169999999</v>
      </c>
      <c r="Y20" s="152">
        <v>37326000</v>
      </c>
      <c r="Z20" s="152">
        <v>0.40472318000000002</v>
      </c>
      <c r="AA20" s="152">
        <v>-7774000</v>
      </c>
      <c r="AB20" s="152">
        <v>29552000</v>
      </c>
      <c r="AC20" s="152">
        <v>0.32043024739999998</v>
      </c>
      <c r="AD20" s="152">
        <v>7163000</v>
      </c>
      <c r="AE20" s="152">
        <v>22389000</v>
      </c>
      <c r="AF20" s="152">
        <v>0.24276234469999999</v>
      </c>
      <c r="AG20" s="152">
        <v>4.08</v>
      </c>
      <c r="AH20" s="152">
        <v>4.04</v>
      </c>
      <c r="AI20" s="152">
        <v>5536375</v>
      </c>
      <c r="AJ20" s="152">
        <v>5536375</v>
      </c>
    </row>
    <row r="21" spans="1:36">
      <c r="A21" s="150" t="s">
        <v>720</v>
      </c>
      <c r="B21" s="150" t="s">
        <v>549</v>
      </c>
      <c r="C21" s="150" t="s">
        <v>721</v>
      </c>
      <c r="D21" s="150" t="s">
        <v>776</v>
      </c>
      <c r="E21" s="150" t="s">
        <v>729</v>
      </c>
      <c r="F21" s="150" t="s">
        <v>777</v>
      </c>
      <c r="G21" s="150" t="s">
        <v>725</v>
      </c>
      <c r="H21" s="150" t="s">
        <v>726</v>
      </c>
      <c r="I21" s="152">
        <v>1443333000</v>
      </c>
      <c r="J21" s="152" t="s">
        <v>727</v>
      </c>
      <c r="K21" s="152">
        <v>1443333000</v>
      </c>
      <c r="L21" s="152">
        <v>1</v>
      </c>
      <c r="M21" s="152" t="s">
        <v>727</v>
      </c>
      <c r="N21" s="152">
        <v>519610000</v>
      </c>
      <c r="O21" s="152">
        <v>15674000</v>
      </c>
      <c r="P21" s="152">
        <v>535284000</v>
      </c>
      <c r="Q21" s="152">
        <v>-519284000</v>
      </c>
      <c r="R21" s="152">
        <v>16000000</v>
      </c>
      <c r="S21" s="152">
        <v>16000000</v>
      </c>
      <c r="T21" s="152">
        <v>1284954000</v>
      </c>
      <c r="U21" s="152">
        <v>165174000</v>
      </c>
      <c r="V21" s="152">
        <v>13868000</v>
      </c>
      <c r="W21" s="152">
        <v>731777000</v>
      </c>
      <c r="X21" s="152">
        <v>0.50700496699999997</v>
      </c>
      <c r="Y21" s="152">
        <v>717909000</v>
      </c>
      <c r="Z21" s="152">
        <v>0.4973966507</v>
      </c>
      <c r="AA21" s="152">
        <v>-165174000</v>
      </c>
      <c r="AB21" s="152">
        <v>552735000</v>
      </c>
      <c r="AC21" s="152">
        <v>0.38295736330000002</v>
      </c>
      <c r="AD21" s="152">
        <v>113626000</v>
      </c>
      <c r="AE21" s="152">
        <v>439109000</v>
      </c>
      <c r="AF21" s="152">
        <v>0.30423263379999999</v>
      </c>
      <c r="AG21" s="152">
        <v>1.23</v>
      </c>
      <c r="AH21" s="152">
        <v>1.22</v>
      </c>
      <c r="AI21" s="152">
        <v>349976557</v>
      </c>
      <c r="AJ21" s="152">
        <v>354052197</v>
      </c>
    </row>
    <row r="22" spans="1:36">
      <c r="A22" s="150" t="s">
        <v>720</v>
      </c>
      <c r="B22" s="150" t="s">
        <v>551</v>
      </c>
      <c r="C22" s="150" t="s">
        <v>721</v>
      </c>
      <c r="D22" s="150" t="s">
        <v>778</v>
      </c>
      <c r="E22" s="150" t="s">
        <v>771</v>
      </c>
      <c r="F22" s="150" t="s">
        <v>779</v>
      </c>
      <c r="G22" s="150" t="s">
        <v>725</v>
      </c>
      <c r="H22" s="150" t="s">
        <v>726</v>
      </c>
      <c r="I22" s="152">
        <v>526902000</v>
      </c>
      <c r="J22" s="152" t="s">
        <v>727</v>
      </c>
      <c r="K22" s="152">
        <v>526902000</v>
      </c>
      <c r="L22" s="152">
        <v>1</v>
      </c>
      <c r="M22" s="152" t="s">
        <v>727</v>
      </c>
      <c r="N22" s="152">
        <v>211491000</v>
      </c>
      <c r="O22" s="152">
        <v>11208000</v>
      </c>
      <c r="P22" s="152">
        <v>222699000</v>
      </c>
      <c r="Q22" s="152" t="s">
        <v>727</v>
      </c>
      <c r="R22" s="152">
        <v>26236000</v>
      </c>
      <c r="S22" s="152">
        <v>26236000</v>
      </c>
      <c r="T22" s="152">
        <v>481422000</v>
      </c>
      <c r="U22" s="152">
        <v>69187000</v>
      </c>
      <c r="V22" s="152">
        <v>4585000</v>
      </c>
      <c r="W22" s="152">
        <v>241347000</v>
      </c>
      <c r="X22" s="152">
        <v>0.45804912489999999</v>
      </c>
      <c r="Y22" s="152">
        <v>236762000</v>
      </c>
      <c r="Z22" s="152">
        <v>0.44934731700000002</v>
      </c>
      <c r="AA22" s="152">
        <v>-77188000</v>
      </c>
      <c r="AB22" s="152">
        <v>159574000</v>
      </c>
      <c r="AC22" s="152">
        <v>0.302853282</v>
      </c>
      <c r="AD22" s="152">
        <v>35003000</v>
      </c>
      <c r="AE22" s="152">
        <v>124555000</v>
      </c>
      <c r="AF22" s="152">
        <v>0.23639120750000001</v>
      </c>
      <c r="AG22" s="152">
        <v>2.61</v>
      </c>
      <c r="AH22" s="152">
        <v>2.6</v>
      </c>
      <c r="AI22" s="152">
        <v>47683682</v>
      </c>
      <c r="AJ22" s="152">
        <v>47896715</v>
      </c>
    </row>
    <row r="23" spans="1:36">
      <c r="A23" s="150" t="s">
        <v>720</v>
      </c>
      <c r="B23" s="150" t="s">
        <v>553</v>
      </c>
      <c r="C23" s="150" t="s">
        <v>721</v>
      </c>
      <c r="D23" s="150" t="s">
        <v>780</v>
      </c>
      <c r="E23" s="150" t="s">
        <v>771</v>
      </c>
      <c r="F23" s="150" t="s">
        <v>781</v>
      </c>
      <c r="G23" s="150" t="s">
        <v>725</v>
      </c>
      <c r="H23" s="150" t="s">
        <v>726</v>
      </c>
      <c r="I23" s="152">
        <v>410929000</v>
      </c>
      <c r="J23" s="152">
        <v>30701000</v>
      </c>
      <c r="K23" s="152">
        <v>380228000</v>
      </c>
      <c r="L23" s="152">
        <v>0.92528879679999998</v>
      </c>
      <c r="M23" s="152" t="s">
        <v>727</v>
      </c>
      <c r="N23" s="152">
        <v>128902000</v>
      </c>
      <c r="O23" s="152">
        <v>5031000</v>
      </c>
      <c r="P23" s="152">
        <v>133933000</v>
      </c>
      <c r="Q23" s="152" t="s">
        <v>727</v>
      </c>
      <c r="R23" s="152">
        <v>5031000</v>
      </c>
      <c r="S23" s="152">
        <v>5031000</v>
      </c>
      <c r="T23" s="152">
        <v>329953000</v>
      </c>
      <c r="U23" s="152">
        <v>17732000</v>
      </c>
      <c r="V23" s="152">
        <v>3196000</v>
      </c>
      <c r="W23" s="152">
        <v>188469000</v>
      </c>
      <c r="X23" s="152">
        <v>0.45864127380000003</v>
      </c>
      <c r="Y23" s="152">
        <v>185273000</v>
      </c>
      <c r="Z23" s="152">
        <v>0.45086377449999998</v>
      </c>
      <c r="AA23" s="152">
        <v>-25088000</v>
      </c>
      <c r="AB23" s="152">
        <v>160185000</v>
      </c>
      <c r="AC23" s="152">
        <v>0.3898118653</v>
      </c>
      <c r="AD23" s="152">
        <v>32004000</v>
      </c>
      <c r="AE23" s="152">
        <v>128181000</v>
      </c>
      <c r="AF23" s="152">
        <v>0.31192979809999999</v>
      </c>
      <c r="AG23" s="152">
        <v>1.37</v>
      </c>
      <c r="AH23" s="152">
        <v>1.37</v>
      </c>
      <c r="AI23" s="152">
        <v>93612043</v>
      </c>
      <c r="AJ23" s="152">
        <v>93887447</v>
      </c>
    </row>
    <row r="24" spans="1:36">
      <c r="A24" s="150" t="s">
        <v>720</v>
      </c>
      <c r="B24" s="150" t="s">
        <v>555</v>
      </c>
      <c r="C24" s="150" t="s">
        <v>721</v>
      </c>
      <c r="D24" s="150" t="s">
        <v>782</v>
      </c>
      <c r="E24" s="150" t="s">
        <v>738</v>
      </c>
      <c r="F24" s="150" t="s">
        <v>783</v>
      </c>
      <c r="G24" s="150" t="s">
        <v>725</v>
      </c>
      <c r="H24" s="150" t="s">
        <v>726</v>
      </c>
      <c r="I24" s="152">
        <v>3209000000</v>
      </c>
      <c r="J24" s="152" t="s">
        <v>727</v>
      </c>
      <c r="K24" s="152">
        <v>3209000000</v>
      </c>
      <c r="L24" s="152">
        <v>1</v>
      </c>
      <c r="M24" s="152" t="s">
        <v>727</v>
      </c>
      <c r="N24" s="152">
        <v>1101000000</v>
      </c>
      <c r="O24" s="152">
        <v>50000000</v>
      </c>
      <c r="P24" s="152">
        <v>1101000000</v>
      </c>
      <c r="Q24" s="152">
        <v>-2859000000</v>
      </c>
      <c r="R24" s="152">
        <v>-1758000000</v>
      </c>
      <c r="S24" s="152">
        <v>-1758000000</v>
      </c>
      <c r="T24" s="152">
        <v>2696000000</v>
      </c>
      <c r="U24" s="152">
        <v>304000000</v>
      </c>
      <c r="V24" s="152">
        <v>51000000</v>
      </c>
      <c r="W24" s="152">
        <v>1502000000</v>
      </c>
      <c r="X24" s="152">
        <v>0.46805858519999999</v>
      </c>
      <c r="Y24" s="152">
        <v>1451000000</v>
      </c>
      <c r="Z24" s="152">
        <v>0.45216578369999999</v>
      </c>
      <c r="AA24" s="152">
        <v>-292000000</v>
      </c>
      <c r="AB24" s="152">
        <v>1159000000</v>
      </c>
      <c r="AC24" s="152">
        <v>0.36117170459999998</v>
      </c>
      <c r="AD24" s="152">
        <v>247000000</v>
      </c>
      <c r="AE24" s="152">
        <v>900000000</v>
      </c>
      <c r="AF24" s="152">
        <v>0.28046120289999998</v>
      </c>
      <c r="AG24" s="152">
        <v>1.62</v>
      </c>
      <c r="AH24" s="152">
        <v>1.53</v>
      </c>
      <c r="AI24" s="152">
        <v>535000000</v>
      </c>
      <c r="AJ24" s="152">
        <v>566000000</v>
      </c>
    </row>
    <row r="25" spans="1:36">
      <c r="A25" s="150" t="s">
        <v>720</v>
      </c>
      <c r="B25" s="150" t="s">
        <v>557</v>
      </c>
      <c r="C25" s="150" t="s">
        <v>721</v>
      </c>
      <c r="D25" s="150" t="s">
        <v>784</v>
      </c>
      <c r="E25" s="150" t="s">
        <v>729</v>
      </c>
      <c r="F25" s="150" t="s">
        <v>785</v>
      </c>
      <c r="G25" s="150" t="s">
        <v>725</v>
      </c>
      <c r="H25" s="150" t="s">
        <v>726</v>
      </c>
      <c r="I25" s="152">
        <v>17005000</v>
      </c>
      <c r="J25" s="152" t="s">
        <v>727</v>
      </c>
      <c r="K25" s="152">
        <v>17005000</v>
      </c>
      <c r="L25" s="152">
        <v>1</v>
      </c>
      <c r="M25" s="152" t="s">
        <v>727</v>
      </c>
      <c r="N25" s="152">
        <v>332207000</v>
      </c>
      <c r="O25" s="152">
        <v>14324000</v>
      </c>
      <c r="P25" s="152">
        <v>346531000</v>
      </c>
      <c r="Q25" s="152" t="s">
        <v>727</v>
      </c>
      <c r="R25" s="152">
        <v>14324000</v>
      </c>
      <c r="S25" s="152">
        <v>14324000</v>
      </c>
      <c r="T25" s="152">
        <v>829640000</v>
      </c>
      <c r="U25" s="152">
        <v>41261000</v>
      </c>
      <c r="V25" s="152">
        <v>10658000</v>
      </c>
      <c r="W25" s="152">
        <v>448029000</v>
      </c>
      <c r="X25" s="152">
        <v>26.346897971200001</v>
      </c>
      <c r="Y25" s="152">
        <v>437371000</v>
      </c>
      <c r="Z25" s="152">
        <v>25.720141134999999</v>
      </c>
      <c r="AA25" s="152">
        <v>-67091000</v>
      </c>
      <c r="AB25" s="152">
        <v>370280000</v>
      </c>
      <c r="AC25" s="152">
        <v>21.774772125799998</v>
      </c>
      <c r="AD25" s="152">
        <v>67078000</v>
      </c>
      <c r="AE25" s="152">
        <v>303202000</v>
      </c>
      <c r="AF25" s="152">
        <v>17.830167597799999</v>
      </c>
      <c r="AG25" s="152">
        <v>2.74</v>
      </c>
      <c r="AH25" s="152">
        <v>2.74</v>
      </c>
      <c r="AI25" s="152">
        <v>110757473</v>
      </c>
      <c r="AJ25" s="152">
        <v>110827933</v>
      </c>
    </row>
    <row r="26" spans="1:36">
      <c r="A26" s="150" t="s">
        <v>720</v>
      </c>
      <c r="B26" s="150" t="s">
        <v>559</v>
      </c>
      <c r="C26" s="150" t="s">
        <v>721</v>
      </c>
      <c r="D26" s="150" t="s">
        <v>786</v>
      </c>
      <c r="E26" s="150" t="s">
        <v>748</v>
      </c>
      <c r="F26" s="150" t="s">
        <v>787</v>
      </c>
      <c r="G26" s="150" t="s">
        <v>725</v>
      </c>
      <c r="H26" s="150" t="s">
        <v>726</v>
      </c>
      <c r="I26" s="152">
        <v>2715000</v>
      </c>
      <c r="J26" s="152" t="s">
        <v>727</v>
      </c>
      <c r="K26" s="152">
        <v>2715000</v>
      </c>
      <c r="L26" s="152">
        <v>1</v>
      </c>
      <c r="M26" s="152" t="s">
        <v>727</v>
      </c>
      <c r="N26" s="152">
        <v>49414000</v>
      </c>
      <c r="O26" s="152">
        <v>1593000</v>
      </c>
      <c r="P26" s="152">
        <v>51007000</v>
      </c>
      <c r="Q26" s="152">
        <v>10939000</v>
      </c>
      <c r="R26" s="152">
        <v>61946000</v>
      </c>
      <c r="S26" s="152">
        <v>61946000</v>
      </c>
      <c r="T26" s="152">
        <v>123209000</v>
      </c>
      <c r="U26" s="152">
        <v>15380000</v>
      </c>
      <c r="V26" s="152">
        <v>4935000</v>
      </c>
      <c r="W26" s="152">
        <v>69596000</v>
      </c>
      <c r="X26" s="152">
        <v>25.633885819500001</v>
      </c>
      <c r="Y26" s="152">
        <v>64661000</v>
      </c>
      <c r="Z26" s="152">
        <v>23.8162062615</v>
      </c>
      <c r="AA26" s="152">
        <v>-15404000</v>
      </c>
      <c r="AB26" s="152">
        <v>49257000</v>
      </c>
      <c r="AC26" s="152">
        <v>18.1425414365</v>
      </c>
      <c r="AD26" s="152">
        <v>8834000</v>
      </c>
      <c r="AE26" s="152">
        <v>40447000</v>
      </c>
      <c r="AF26" s="152">
        <v>14.8976058932</v>
      </c>
      <c r="AG26" s="152">
        <v>3.38</v>
      </c>
      <c r="AH26" s="152">
        <v>3.34</v>
      </c>
      <c r="AI26" s="152">
        <v>12097100</v>
      </c>
      <c r="AJ26" s="152">
        <v>12263252</v>
      </c>
    </row>
    <row r="27" spans="1:36">
      <c r="A27" s="150" t="s">
        <v>720</v>
      </c>
      <c r="B27" s="150" t="s">
        <v>561</v>
      </c>
      <c r="C27" s="150" t="s">
        <v>721</v>
      </c>
      <c r="D27" s="150" t="s">
        <v>788</v>
      </c>
      <c r="E27" s="150" t="s">
        <v>760</v>
      </c>
      <c r="F27" s="150" t="s">
        <v>789</v>
      </c>
      <c r="G27" s="150" t="s">
        <v>725</v>
      </c>
      <c r="H27" s="150" t="s">
        <v>726</v>
      </c>
      <c r="I27" s="152">
        <v>700319000</v>
      </c>
      <c r="J27" s="152" t="s">
        <v>727</v>
      </c>
      <c r="K27" s="152">
        <v>700319000</v>
      </c>
      <c r="L27" s="152">
        <v>1</v>
      </c>
      <c r="M27" s="152" t="s">
        <v>727</v>
      </c>
      <c r="N27" s="152">
        <v>773688000</v>
      </c>
      <c r="O27" s="152" t="s">
        <v>727</v>
      </c>
      <c r="P27" s="152">
        <v>773688000</v>
      </c>
      <c r="Q27" s="152">
        <v>-1185739000</v>
      </c>
      <c r="R27" s="152">
        <v>-412051000</v>
      </c>
      <c r="S27" s="152">
        <v>-412051000</v>
      </c>
      <c r="T27" s="152">
        <v>591116000</v>
      </c>
      <c r="U27" s="152">
        <v>132141000</v>
      </c>
      <c r="V27" s="152">
        <v>32625000</v>
      </c>
      <c r="W27" s="152">
        <v>320893000</v>
      </c>
      <c r="X27" s="152">
        <v>0.45820975870000002</v>
      </c>
      <c r="Y27" s="152">
        <v>288268000</v>
      </c>
      <c r="Z27" s="152">
        <v>0.41162384569999999</v>
      </c>
      <c r="AA27" s="152">
        <v>-132141000</v>
      </c>
      <c r="AB27" s="152">
        <v>156127000</v>
      </c>
      <c r="AC27" s="152">
        <v>0.2229369759</v>
      </c>
      <c r="AD27" s="152">
        <v>36833000</v>
      </c>
      <c r="AE27" s="152">
        <v>113134000</v>
      </c>
      <c r="AF27" s="152">
        <v>0.16154638099999999</v>
      </c>
      <c r="AG27" s="152">
        <v>1.69</v>
      </c>
      <c r="AH27" s="152">
        <v>1.69</v>
      </c>
      <c r="AI27" s="152">
        <v>70434000</v>
      </c>
      <c r="AJ27" s="152">
        <v>70626000</v>
      </c>
    </row>
    <row r="28" spans="1:36">
      <c r="A28" s="150" t="s">
        <v>720</v>
      </c>
      <c r="B28" s="150" t="s">
        <v>563</v>
      </c>
      <c r="C28" s="150" t="s">
        <v>721</v>
      </c>
      <c r="D28" s="150" t="s">
        <v>790</v>
      </c>
      <c r="E28" s="150" t="s">
        <v>729</v>
      </c>
      <c r="F28" s="150" t="s">
        <v>791</v>
      </c>
      <c r="G28" s="150" t="s">
        <v>725</v>
      </c>
      <c r="H28" s="150" t="s">
        <v>726</v>
      </c>
      <c r="I28" s="152">
        <v>918885000</v>
      </c>
      <c r="J28" s="152" t="s">
        <v>727</v>
      </c>
      <c r="K28" s="152">
        <v>918885000</v>
      </c>
      <c r="L28" s="152">
        <v>1</v>
      </c>
      <c r="M28" s="152" t="s">
        <v>727</v>
      </c>
      <c r="N28" s="152">
        <v>294539000</v>
      </c>
      <c r="O28" s="152">
        <v>7974000</v>
      </c>
      <c r="P28" s="152">
        <v>302513000</v>
      </c>
      <c r="Q28" s="152">
        <v>-684730000</v>
      </c>
      <c r="R28" s="152">
        <v>-382217000</v>
      </c>
      <c r="S28" s="152">
        <v>-382217000</v>
      </c>
      <c r="T28" s="152">
        <v>877766000</v>
      </c>
      <c r="U28" s="152">
        <v>119090000</v>
      </c>
      <c r="V28" s="152">
        <v>8853000</v>
      </c>
      <c r="W28" s="152">
        <v>545521000</v>
      </c>
      <c r="X28" s="152">
        <v>0.59367711960000003</v>
      </c>
      <c r="Y28" s="152">
        <v>536668000</v>
      </c>
      <c r="Z28" s="152">
        <v>0.58404261690000003</v>
      </c>
      <c r="AA28" s="152">
        <v>-142093000</v>
      </c>
      <c r="AB28" s="152">
        <v>394575000</v>
      </c>
      <c r="AC28" s="152">
        <v>0.42940629130000002</v>
      </c>
      <c r="AD28" s="152">
        <v>89313000</v>
      </c>
      <c r="AE28" s="152">
        <v>305262000</v>
      </c>
      <c r="AF28" s="152">
        <v>0.33220914480000002</v>
      </c>
      <c r="AG28" s="152">
        <v>1.57</v>
      </c>
      <c r="AH28" s="152">
        <v>1.57</v>
      </c>
      <c r="AI28" s="152">
        <v>194694000</v>
      </c>
      <c r="AJ28" s="152">
        <v>195019000</v>
      </c>
    </row>
    <row r="29" spans="1:36">
      <c r="A29" s="150" t="s">
        <v>720</v>
      </c>
      <c r="B29" s="150" t="s">
        <v>565</v>
      </c>
      <c r="C29" s="150" t="s">
        <v>721</v>
      </c>
      <c r="D29" s="150" t="s">
        <v>792</v>
      </c>
      <c r="E29" s="150" t="s">
        <v>793</v>
      </c>
      <c r="F29" s="150" t="s">
        <v>794</v>
      </c>
      <c r="G29" s="150" t="s">
        <v>725</v>
      </c>
      <c r="H29" s="150" t="s">
        <v>726</v>
      </c>
      <c r="I29" s="152">
        <v>128695000000</v>
      </c>
      <c r="J29" s="152" t="s">
        <v>727</v>
      </c>
      <c r="K29" s="152">
        <v>128695000000</v>
      </c>
      <c r="L29" s="152">
        <v>1</v>
      </c>
      <c r="M29" s="152" t="s">
        <v>727</v>
      </c>
      <c r="N29" s="152">
        <v>19532000000</v>
      </c>
      <c r="O29" s="152">
        <v>3911000000</v>
      </c>
      <c r="P29" s="152">
        <v>69775000000</v>
      </c>
      <c r="Q29" s="152" t="s">
        <v>727</v>
      </c>
      <c r="R29" s="152">
        <v>-76140000000</v>
      </c>
      <c r="S29" s="152">
        <v>-76140000000</v>
      </c>
      <c r="T29" s="152">
        <v>92807000000</v>
      </c>
      <c r="U29" s="152">
        <v>26097000000</v>
      </c>
      <c r="V29" s="152">
        <v>7051000000</v>
      </c>
      <c r="W29" s="152">
        <v>44382000000</v>
      </c>
      <c r="X29" s="152">
        <v>0.34486188270000001</v>
      </c>
      <c r="Y29" s="152">
        <v>37331000000</v>
      </c>
      <c r="Z29" s="152">
        <v>0.29007342940000003</v>
      </c>
      <c r="AA29" s="152">
        <v>8835000000</v>
      </c>
      <c r="AB29" s="152">
        <v>46166000000</v>
      </c>
      <c r="AC29" s="152">
        <v>0.35872411520000003</v>
      </c>
      <c r="AD29" s="152">
        <v>8490000000</v>
      </c>
      <c r="AE29" s="152">
        <v>37676000000</v>
      </c>
      <c r="AF29" s="152">
        <v>0.2927541863</v>
      </c>
      <c r="AG29" s="152">
        <v>12.1</v>
      </c>
      <c r="AH29" s="152">
        <v>12.09</v>
      </c>
      <c r="AI29" s="152">
        <v>2970000000</v>
      </c>
      <c r="AJ29" s="152">
        <v>2970000000</v>
      </c>
    </row>
    <row r="30" spans="1:36">
      <c r="A30" s="150" t="s">
        <v>720</v>
      </c>
      <c r="B30" s="150" t="s">
        <v>567</v>
      </c>
      <c r="C30" s="150" t="s">
        <v>721</v>
      </c>
      <c r="D30" s="150" t="s">
        <v>795</v>
      </c>
      <c r="E30" s="150" t="s">
        <v>735</v>
      </c>
      <c r="F30" s="150" t="s">
        <v>796</v>
      </c>
      <c r="G30" s="150" t="s">
        <v>725</v>
      </c>
      <c r="H30" s="150" t="s">
        <v>726</v>
      </c>
      <c r="I30" s="152">
        <v>7000000</v>
      </c>
      <c r="J30" s="152" t="s">
        <v>727</v>
      </c>
      <c r="K30" s="152">
        <v>7000000</v>
      </c>
      <c r="L30" s="152">
        <v>1</v>
      </c>
      <c r="M30" s="152" t="s">
        <v>727</v>
      </c>
      <c r="N30" s="152">
        <v>2657000000</v>
      </c>
      <c r="O30" s="152">
        <v>123000000</v>
      </c>
      <c r="P30" s="152">
        <v>2780000000</v>
      </c>
      <c r="Q30" s="152">
        <v>437000000</v>
      </c>
      <c r="R30" s="152">
        <v>3217000000</v>
      </c>
      <c r="S30" s="152">
        <v>3217000000</v>
      </c>
      <c r="T30" s="152">
        <v>5412000000</v>
      </c>
      <c r="U30" s="152">
        <v>885000000</v>
      </c>
      <c r="V30" s="152">
        <v>137000000</v>
      </c>
      <c r="W30" s="152">
        <v>3361000000</v>
      </c>
      <c r="X30" s="152">
        <v>480.14285714290003</v>
      </c>
      <c r="Y30" s="152">
        <v>3224000000</v>
      </c>
      <c r="Z30" s="152">
        <v>460.57142857140002</v>
      </c>
      <c r="AA30" s="152">
        <v>-891000000</v>
      </c>
      <c r="AB30" s="152">
        <v>2333000000</v>
      </c>
      <c r="AC30" s="152">
        <v>333.28571428570001</v>
      </c>
      <c r="AD30" s="152">
        <v>422000000</v>
      </c>
      <c r="AE30" s="152">
        <v>1917000000</v>
      </c>
      <c r="AF30" s="152">
        <v>273.85714285709997</v>
      </c>
      <c r="AG30" s="152">
        <v>1.98</v>
      </c>
      <c r="AH30" s="152">
        <v>1.97</v>
      </c>
      <c r="AI30" s="152">
        <v>967783000</v>
      </c>
      <c r="AJ30" s="152">
        <v>974807000</v>
      </c>
    </row>
    <row r="31" spans="1:36">
      <c r="A31" s="150" t="s">
        <v>720</v>
      </c>
      <c r="B31" s="150" t="s">
        <v>569</v>
      </c>
      <c r="C31" s="150" t="s">
        <v>721</v>
      </c>
      <c r="D31" s="150" t="s">
        <v>797</v>
      </c>
      <c r="E31" s="150" t="s">
        <v>798</v>
      </c>
      <c r="F31" s="150" t="s">
        <v>799</v>
      </c>
      <c r="G31" s="150" t="s">
        <v>725</v>
      </c>
      <c r="H31" s="150" t="s">
        <v>726</v>
      </c>
      <c r="I31" s="152">
        <v>391858000</v>
      </c>
      <c r="J31" s="152" t="s">
        <v>727</v>
      </c>
      <c r="K31" s="152">
        <v>391858000</v>
      </c>
      <c r="L31" s="152">
        <v>1</v>
      </c>
      <c r="M31" s="152" t="s">
        <v>727</v>
      </c>
      <c r="N31" s="152">
        <v>180578000</v>
      </c>
      <c r="O31" s="152">
        <v>10543000</v>
      </c>
      <c r="P31" s="152">
        <v>191121000</v>
      </c>
      <c r="Q31" s="152">
        <v>-255683000</v>
      </c>
      <c r="R31" s="152">
        <v>-64562000</v>
      </c>
      <c r="S31" s="152">
        <v>-64562000</v>
      </c>
      <c r="T31" s="152">
        <v>444473000</v>
      </c>
      <c r="U31" s="152">
        <v>116972000</v>
      </c>
      <c r="V31" s="152">
        <v>20779000</v>
      </c>
      <c r="W31" s="152">
        <v>348075000</v>
      </c>
      <c r="X31" s="152">
        <v>0.8882681992</v>
      </c>
      <c r="Y31" s="152">
        <v>327296000</v>
      </c>
      <c r="Z31" s="152">
        <v>0.83524133739999995</v>
      </c>
      <c r="AA31" s="152">
        <v>-116972000</v>
      </c>
      <c r="AB31" s="152">
        <v>210324000</v>
      </c>
      <c r="AC31" s="152">
        <v>0.53673524589999999</v>
      </c>
      <c r="AD31" s="152">
        <v>34116000</v>
      </c>
      <c r="AE31" s="152">
        <v>176208000</v>
      </c>
      <c r="AF31" s="152">
        <v>0.44967309589999999</v>
      </c>
      <c r="AG31" s="152">
        <v>4.33</v>
      </c>
      <c r="AH31" s="152">
        <v>4.22</v>
      </c>
      <c r="AI31" s="152">
        <v>40677496</v>
      </c>
      <c r="AJ31" s="152">
        <v>41771250</v>
      </c>
    </row>
    <row r="32" spans="1:36">
      <c r="A32" s="150" t="s">
        <v>720</v>
      </c>
      <c r="B32" s="150" t="s">
        <v>571</v>
      </c>
      <c r="C32" s="150" t="s">
        <v>721</v>
      </c>
      <c r="D32" s="150" t="s">
        <v>800</v>
      </c>
      <c r="E32" s="150" t="s">
        <v>735</v>
      </c>
      <c r="F32" s="150" t="s">
        <v>801</v>
      </c>
      <c r="G32" s="150" t="s">
        <v>725</v>
      </c>
      <c r="H32" s="150" t="s">
        <v>726</v>
      </c>
      <c r="I32" s="152">
        <v>8042559000</v>
      </c>
      <c r="J32" s="152" t="s">
        <v>727</v>
      </c>
      <c r="K32" s="152">
        <v>8042559000</v>
      </c>
      <c r="L32" s="152">
        <v>1</v>
      </c>
      <c r="M32" s="152" t="s">
        <v>727</v>
      </c>
      <c r="N32" s="152">
        <v>2877625000</v>
      </c>
      <c r="O32" s="152">
        <v>90748000</v>
      </c>
      <c r="P32" s="152">
        <v>2968373000</v>
      </c>
      <c r="Q32" s="152">
        <v>-2877625000</v>
      </c>
      <c r="R32" s="152">
        <v>90748000</v>
      </c>
      <c r="S32" s="152">
        <v>90748000</v>
      </c>
      <c r="T32" s="152">
        <v>6247120000</v>
      </c>
      <c r="U32" s="152">
        <v>425164000</v>
      </c>
      <c r="V32" s="152">
        <v>55624000</v>
      </c>
      <c r="W32" s="152">
        <v>3091911000</v>
      </c>
      <c r="X32" s="152">
        <v>0.38444368270000001</v>
      </c>
      <c r="Y32" s="152">
        <v>3036287000</v>
      </c>
      <c r="Z32" s="152">
        <v>0.37752747599999997</v>
      </c>
      <c r="AA32" s="152">
        <v>-425164000</v>
      </c>
      <c r="AB32" s="152">
        <v>2611123000</v>
      </c>
      <c r="AC32" s="152">
        <v>0.32466320729999998</v>
      </c>
      <c r="AD32" s="152">
        <v>619460000</v>
      </c>
      <c r="AE32" s="152">
        <v>1991663000</v>
      </c>
      <c r="AF32" s="152">
        <v>0.24764045870000001</v>
      </c>
      <c r="AG32" s="152">
        <v>11.59</v>
      </c>
      <c r="AH32" s="152">
        <v>11.53</v>
      </c>
      <c r="AI32" s="152">
        <v>163199310</v>
      </c>
      <c r="AJ32" s="152">
        <v>164030000</v>
      </c>
    </row>
    <row r="33" spans="1:36">
      <c r="A33" s="150" t="s">
        <v>720</v>
      </c>
      <c r="B33" s="150" t="s">
        <v>573</v>
      </c>
      <c r="C33" s="150" t="s">
        <v>721</v>
      </c>
      <c r="D33" s="150" t="s">
        <v>802</v>
      </c>
      <c r="E33" s="150" t="s">
        <v>771</v>
      </c>
      <c r="F33" s="150" t="s">
        <v>803</v>
      </c>
      <c r="G33" s="150" t="s">
        <v>725</v>
      </c>
      <c r="H33" s="150" t="s">
        <v>726</v>
      </c>
      <c r="I33" s="152">
        <v>255751000</v>
      </c>
      <c r="J33" s="152" t="s">
        <v>727</v>
      </c>
      <c r="K33" s="152">
        <v>255751000</v>
      </c>
      <c r="L33" s="152">
        <v>1</v>
      </c>
      <c r="M33" s="152" t="s">
        <v>727</v>
      </c>
      <c r="N33" s="152">
        <v>61915000</v>
      </c>
      <c r="O33" s="152" t="s">
        <v>727</v>
      </c>
      <c r="P33" s="152">
        <v>61915000</v>
      </c>
      <c r="Q33" s="152" t="s">
        <v>727</v>
      </c>
      <c r="R33" s="152">
        <v>14423000</v>
      </c>
      <c r="S33" s="152">
        <v>14423000</v>
      </c>
      <c r="T33" s="152">
        <v>260739000</v>
      </c>
      <c r="U33" s="152">
        <v>31581000</v>
      </c>
      <c r="V33" s="152">
        <v>4338000</v>
      </c>
      <c r="W33" s="152">
        <v>132817000</v>
      </c>
      <c r="X33" s="152">
        <v>0.51932152760000005</v>
      </c>
      <c r="Y33" s="152">
        <v>128479000</v>
      </c>
      <c r="Z33" s="152">
        <v>0.50235971710000005</v>
      </c>
      <c r="AA33" s="152">
        <v>-31581000</v>
      </c>
      <c r="AB33" s="152">
        <v>96898000</v>
      </c>
      <c r="AC33" s="152">
        <v>0.3788763289</v>
      </c>
      <c r="AD33" s="152">
        <v>37473000</v>
      </c>
      <c r="AE33" s="152">
        <v>59425000</v>
      </c>
      <c r="AF33" s="152">
        <v>0.2323549077</v>
      </c>
      <c r="AG33" s="152">
        <v>7.23</v>
      </c>
      <c r="AH33" s="152">
        <v>7.23</v>
      </c>
      <c r="AI33" s="152">
        <v>8221429</v>
      </c>
      <c r="AJ33" s="152">
        <v>8221429</v>
      </c>
    </row>
    <row r="34" spans="1:36">
      <c r="A34" s="150" t="s">
        <v>720</v>
      </c>
      <c r="B34" s="150" t="s">
        <v>575</v>
      </c>
      <c r="C34" s="150" t="s">
        <v>721</v>
      </c>
      <c r="D34" s="150" t="s">
        <v>804</v>
      </c>
      <c r="E34" s="150" t="s">
        <v>771</v>
      </c>
      <c r="F34" s="150" t="s">
        <v>805</v>
      </c>
      <c r="G34" s="150" t="s">
        <v>725</v>
      </c>
      <c r="H34" s="150" t="s">
        <v>726</v>
      </c>
      <c r="I34" s="152">
        <v>340307000</v>
      </c>
      <c r="J34" s="152" t="s">
        <v>727</v>
      </c>
      <c r="K34" s="152">
        <v>340307000</v>
      </c>
      <c r="L34" s="152">
        <v>1</v>
      </c>
      <c r="M34" s="152" t="s">
        <v>727</v>
      </c>
      <c r="N34" s="152">
        <v>124971000</v>
      </c>
      <c r="O34" s="152">
        <v>3821000</v>
      </c>
      <c r="P34" s="152">
        <v>124971000</v>
      </c>
      <c r="Q34" s="152">
        <v>-355729000</v>
      </c>
      <c r="R34" s="152">
        <v>-230758000</v>
      </c>
      <c r="S34" s="152">
        <v>-230758000</v>
      </c>
      <c r="T34" s="152">
        <v>290200000</v>
      </c>
      <c r="U34" s="152">
        <v>17853000</v>
      </c>
      <c r="V34" s="152">
        <v>2338000</v>
      </c>
      <c r="W34" s="152">
        <v>111887000</v>
      </c>
      <c r="X34" s="152">
        <v>0.3287825405</v>
      </c>
      <c r="Y34" s="152">
        <v>109549000</v>
      </c>
      <c r="Z34" s="152">
        <v>0.3219122733</v>
      </c>
      <c r="AA34" s="152">
        <v>-17853000</v>
      </c>
      <c r="AB34" s="152">
        <v>91696000</v>
      </c>
      <c r="AC34" s="152">
        <v>0.26945081939999999</v>
      </c>
      <c r="AD34" s="152">
        <v>20422000</v>
      </c>
      <c r="AE34" s="152">
        <v>71274000</v>
      </c>
      <c r="AF34" s="152">
        <v>0.20944029950000001</v>
      </c>
      <c r="AG34" s="152">
        <v>2.2000000000000002</v>
      </c>
      <c r="AH34" s="152">
        <v>2.1800000000000002</v>
      </c>
      <c r="AI34" s="152">
        <v>32360005</v>
      </c>
      <c r="AJ34" s="152">
        <v>32680932</v>
      </c>
    </row>
    <row r="35" spans="1:36">
      <c r="A35" s="150" t="s">
        <v>720</v>
      </c>
      <c r="B35" s="150" t="s">
        <v>577</v>
      </c>
      <c r="C35" s="150" t="s">
        <v>721</v>
      </c>
      <c r="D35" s="150" t="s">
        <v>806</v>
      </c>
      <c r="E35" s="150" t="s">
        <v>729</v>
      </c>
      <c r="F35" s="150" t="s">
        <v>807</v>
      </c>
      <c r="G35" s="150" t="s">
        <v>725</v>
      </c>
      <c r="H35" s="150" t="s">
        <v>726</v>
      </c>
      <c r="I35" s="152">
        <v>297881000</v>
      </c>
      <c r="J35" s="152" t="s">
        <v>727</v>
      </c>
      <c r="K35" s="152">
        <v>297881000</v>
      </c>
      <c r="L35" s="152">
        <v>1</v>
      </c>
      <c r="M35" s="152" t="s">
        <v>727</v>
      </c>
      <c r="N35" s="152">
        <v>90633000</v>
      </c>
      <c r="O35" s="152">
        <v>8472000</v>
      </c>
      <c r="P35" s="152">
        <v>99105000</v>
      </c>
      <c r="Q35" s="152" t="s">
        <v>727</v>
      </c>
      <c r="R35" s="152">
        <v>8472000</v>
      </c>
      <c r="S35" s="152">
        <v>8472000</v>
      </c>
      <c r="T35" s="152">
        <v>273918000</v>
      </c>
      <c r="U35" s="152">
        <v>33957000</v>
      </c>
      <c r="V35" s="152">
        <v>6616000</v>
      </c>
      <c r="W35" s="152">
        <v>181624000</v>
      </c>
      <c r="X35" s="152">
        <v>0.60971998890000001</v>
      </c>
      <c r="Y35" s="152">
        <v>175008000</v>
      </c>
      <c r="Z35" s="152">
        <v>0.58750977739999999</v>
      </c>
      <c r="AA35" s="152">
        <v>-49271000</v>
      </c>
      <c r="AB35" s="152">
        <v>125737000</v>
      </c>
      <c r="AC35" s="152">
        <v>0.42210480020000002</v>
      </c>
      <c r="AD35" s="152">
        <v>31477000</v>
      </c>
      <c r="AE35" s="152">
        <v>94260000</v>
      </c>
      <c r="AF35" s="152">
        <v>0.31643508650000002</v>
      </c>
      <c r="AG35" s="152">
        <v>8.7799999999999994</v>
      </c>
      <c r="AH35" s="152">
        <v>8.4600000000000009</v>
      </c>
      <c r="AI35" s="152">
        <v>10736000</v>
      </c>
      <c r="AJ35" s="152">
        <v>11145000</v>
      </c>
    </row>
    <row r="36" spans="1:36">
      <c r="A36" s="150" t="s">
        <v>720</v>
      </c>
      <c r="B36" s="150" t="s">
        <v>579</v>
      </c>
      <c r="C36" s="150" t="s">
        <v>721</v>
      </c>
      <c r="D36" s="150" t="s">
        <v>808</v>
      </c>
      <c r="E36" s="150" t="s">
        <v>738</v>
      </c>
      <c r="F36" s="150" t="s">
        <v>809</v>
      </c>
      <c r="G36" s="150" t="s">
        <v>725</v>
      </c>
      <c r="H36" s="150" t="s">
        <v>726</v>
      </c>
      <c r="I36" s="152">
        <v>482994000</v>
      </c>
      <c r="J36" s="152" t="s">
        <v>727</v>
      </c>
      <c r="K36" s="152">
        <v>482994000</v>
      </c>
      <c r="L36" s="152">
        <v>1</v>
      </c>
      <c r="M36" s="152" t="s">
        <v>727</v>
      </c>
      <c r="N36" s="152">
        <v>179202000</v>
      </c>
      <c r="O36" s="152">
        <v>5335000</v>
      </c>
      <c r="P36" s="152">
        <v>184537000</v>
      </c>
      <c r="Q36" s="152">
        <v>-469703000</v>
      </c>
      <c r="R36" s="152">
        <v>-285166000</v>
      </c>
      <c r="S36" s="152">
        <v>-285166000</v>
      </c>
      <c r="T36" s="152">
        <v>378247000</v>
      </c>
      <c r="U36" s="152">
        <v>31188000</v>
      </c>
      <c r="V36" s="152">
        <v>13819000</v>
      </c>
      <c r="W36" s="152">
        <v>211647000</v>
      </c>
      <c r="X36" s="152">
        <v>0.43819798999999998</v>
      </c>
      <c r="Y36" s="152">
        <v>197828000</v>
      </c>
      <c r="Z36" s="152">
        <v>0.40958686859999999</v>
      </c>
      <c r="AA36" s="152">
        <v>-17369000</v>
      </c>
      <c r="AB36" s="152">
        <v>180459000</v>
      </c>
      <c r="AC36" s="152">
        <v>0.37362575930000003</v>
      </c>
      <c r="AD36" s="152">
        <v>32108000</v>
      </c>
      <c r="AE36" s="152">
        <v>148351000</v>
      </c>
      <c r="AF36" s="152">
        <v>0.307148743</v>
      </c>
      <c r="AG36" s="152">
        <v>9.09</v>
      </c>
      <c r="AH36" s="152">
        <v>9.09</v>
      </c>
      <c r="AI36" s="152">
        <v>16314197</v>
      </c>
      <c r="AJ36" s="152">
        <v>16314197</v>
      </c>
    </row>
    <row r="37" spans="1:36">
      <c r="A37" s="150" t="s">
        <v>720</v>
      </c>
      <c r="B37" s="150" t="s">
        <v>581</v>
      </c>
      <c r="C37" s="150" t="s">
        <v>721</v>
      </c>
      <c r="D37" s="150" t="s">
        <v>810</v>
      </c>
      <c r="E37" s="150" t="s">
        <v>735</v>
      </c>
      <c r="F37" s="150" t="s">
        <v>811</v>
      </c>
      <c r="G37" s="150" t="s">
        <v>725</v>
      </c>
      <c r="H37" s="150" t="s">
        <v>726</v>
      </c>
      <c r="I37" s="152">
        <v>21114000000</v>
      </c>
      <c r="J37" s="152">
        <v>2387000000</v>
      </c>
      <c r="K37" s="152">
        <v>18727000000</v>
      </c>
      <c r="L37" s="152">
        <v>0.88694704940000002</v>
      </c>
      <c r="M37" s="152" t="s">
        <v>727</v>
      </c>
      <c r="N37" s="152">
        <v>7244000000</v>
      </c>
      <c r="O37" s="152">
        <v>355000000</v>
      </c>
      <c r="P37" s="152">
        <v>7599000000</v>
      </c>
      <c r="Q37" s="152" t="s">
        <v>727</v>
      </c>
      <c r="R37" s="152">
        <v>355000000</v>
      </c>
      <c r="S37" s="152">
        <v>355000000</v>
      </c>
      <c r="T37" s="152">
        <v>15436000000</v>
      </c>
      <c r="U37" s="152">
        <v>2422000000</v>
      </c>
      <c r="V37" s="152">
        <v>651000000</v>
      </c>
      <c r="W37" s="152">
        <v>10168000000</v>
      </c>
      <c r="X37" s="152">
        <v>0.48157620540000001</v>
      </c>
      <c r="Y37" s="152">
        <v>9517000000</v>
      </c>
      <c r="Z37" s="152">
        <v>0.45074358250000002</v>
      </c>
      <c r="AA37" s="152">
        <v>-2044000000</v>
      </c>
      <c r="AB37" s="152">
        <v>7473000000</v>
      </c>
      <c r="AC37" s="152">
        <v>0.35393577720000002</v>
      </c>
      <c r="AD37" s="152">
        <v>1360000000</v>
      </c>
      <c r="AE37" s="152">
        <v>6041000000</v>
      </c>
      <c r="AF37" s="152">
        <v>0.28611347920000002</v>
      </c>
      <c r="AG37" s="152">
        <v>13.43</v>
      </c>
      <c r="AH37" s="152">
        <v>13.43</v>
      </c>
      <c r="AI37" s="152">
        <v>427000000</v>
      </c>
      <c r="AJ37" s="152">
        <v>427000000</v>
      </c>
    </row>
    <row r="38" spans="1:36">
      <c r="A38" s="150" t="s">
        <v>720</v>
      </c>
      <c r="B38" s="150" t="s">
        <v>583</v>
      </c>
      <c r="C38" s="150" t="s">
        <v>721</v>
      </c>
      <c r="D38" s="150" t="s">
        <v>812</v>
      </c>
      <c r="E38" s="150" t="s">
        <v>732</v>
      </c>
      <c r="F38" s="150" t="s">
        <v>813</v>
      </c>
      <c r="G38" s="150" t="s">
        <v>725</v>
      </c>
      <c r="H38" s="150" t="s">
        <v>726</v>
      </c>
      <c r="I38" s="152">
        <v>883000</v>
      </c>
      <c r="J38" s="152" t="s">
        <v>727</v>
      </c>
      <c r="K38" s="152">
        <v>883000</v>
      </c>
      <c r="L38" s="152">
        <v>1</v>
      </c>
      <c r="M38" s="152" t="s">
        <v>727</v>
      </c>
      <c r="N38" s="152">
        <v>339099000</v>
      </c>
      <c r="O38" s="152">
        <v>3201000</v>
      </c>
      <c r="P38" s="152">
        <v>339099000</v>
      </c>
      <c r="Q38" s="152">
        <v>415795000</v>
      </c>
      <c r="R38" s="152">
        <v>754894000</v>
      </c>
      <c r="S38" s="152">
        <v>754894000</v>
      </c>
      <c r="T38" s="152">
        <v>1094835000</v>
      </c>
      <c r="U38" s="152">
        <v>89604000</v>
      </c>
      <c r="V38" s="152">
        <v>28296000</v>
      </c>
      <c r="W38" s="152">
        <v>784073000</v>
      </c>
      <c r="X38" s="152">
        <v>887.96489241220002</v>
      </c>
      <c r="Y38" s="152">
        <v>755777000</v>
      </c>
      <c r="Z38" s="152">
        <v>855.91959229899999</v>
      </c>
      <c r="AA38" s="152">
        <v>-89604000</v>
      </c>
      <c r="AB38" s="152">
        <v>666173000</v>
      </c>
      <c r="AC38" s="152">
        <v>754.44280860699996</v>
      </c>
      <c r="AD38" s="152">
        <v>141657000</v>
      </c>
      <c r="AE38" s="152">
        <v>524516000</v>
      </c>
      <c r="AF38" s="152">
        <v>594.01585503959996</v>
      </c>
      <c r="AG38" s="152">
        <v>5.66</v>
      </c>
      <c r="AH38" s="152">
        <v>5.66</v>
      </c>
      <c r="AI38" s="152">
        <v>92683000</v>
      </c>
      <c r="AJ38" s="152">
        <v>92683000</v>
      </c>
    </row>
    <row r="39" spans="1:36">
      <c r="A39" s="150" t="s">
        <v>720</v>
      </c>
      <c r="B39" s="150" t="s">
        <v>585</v>
      </c>
      <c r="C39" s="150" t="s">
        <v>721</v>
      </c>
      <c r="D39" s="150" t="s">
        <v>814</v>
      </c>
      <c r="E39" s="150" t="s">
        <v>738</v>
      </c>
      <c r="F39" s="150" t="s">
        <v>815</v>
      </c>
      <c r="G39" s="150" t="s">
        <v>725</v>
      </c>
      <c r="H39" s="150" t="s">
        <v>726</v>
      </c>
      <c r="I39" s="152">
        <v>505341000</v>
      </c>
      <c r="J39" s="152">
        <v>43031000</v>
      </c>
      <c r="K39" s="152">
        <v>462310000</v>
      </c>
      <c r="L39" s="152">
        <v>0.91484759800000004</v>
      </c>
      <c r="M39" s="152" t="s">
        <v>727</v>
      </c>
      <c r="N39" s="152">
        <v>152398000</v>
      </c>
      <c r="O39" s="152">
        <v>5191000</v>
      </c>
      <c r="P39" s="152">
        <v>157589000</v>
      </c>
      <c r="Q39" s="152" t="s">
        <v>727</v>
      </c>
      <c r="R39" s="152">
        <v>5191000</v>
      </c>
      <c r="S39" s="152">
        <v>5191000</v>
      </c>
      <c r="T39" s="152">
        <v>466181000</v>
      </c>
      <c r="U39" s="152">
        <v>48629000</v>
      </c>
      <c r="V39" s="152">
        <v>3292000</v>
      </c>
      <c r="W39" s="152">
        <v>292027000</v>
      </c>
      <c r="X39" s="152">
        <v>0.57788107440000003</v>
      </c>
      <c r="Y39" s="152">
        <v>288735000</v>
      </c>
      <c r="Z39" s="152">
        <v>0.57136666130000002</v>
      </c>
      <c r="AA39" s="152">
        <v>-48629000</v>
      </c>
      <c r="AB39" s="152">
        <v>240106000</v>
      </c>
      <c r="AC39" s="152">
        <v>0.47513659089999999</v>
      </c>
      <c r="AD39" s="152">
        <v>64458000</v>
      </c>
      <c r="AE39" s="152">
        <v>175648000</v>
      </c>
      <c r="AF39" s="152">
        <v>0.34758311710000001</v>
      </c>
      <c r="AG39" s="152">
        <v>2.35</v>
      </c>
      <c r="AH39" s="152">
        <v>2.35</v>
      </c>
      <c r="AI39" s="152">
        <v>74700623</v>
      </c>
      <c r="AJ39" s="152">
        <v>76226747</v>
      </c>
    </row>
    <row r="40" spans="1:36">
      <c r="A40" s="150" t="s">
        <v>720</v>
      </c>
      <c r="B40" s="150" t="s">
        <v>587</v>
      </c>
      <c r="C40" s="150" t="s">
        <v>721</v>
      </c>
      <c r="D40" s="150" t="s">
        <v>816</v>
      </c>
      <c r="E40" s="150" t="s">
        <v>729</v>
      </c>
      <c r="F40" s="150" t="s">
        <v>817</v>
      </c>
      <c r="G40" s="150" t="s">
        <v>725</v>
      </c>
      <c r="H40" s="150" t="s">
        <v>726</v>
      </c>
      <c r="I40" s="152">
        <v>7165000000</v>
      </c>
      <c r="J40" s="152" t="s">
        <v>727</v>
      </c>
      <c r="K40" s="152">
        <v>7165000000</v>
      </c>
      <c r="L40" s="152">
        <v>1</v>
      </c>
      <c r="M40" s="152" t="s">
        <v>727</v>
      </c>
      <c r="N40" s="152">
        <v>2382000000</v>
      </c>
      <c r="O40" s="152">
        <v>102000000</v>
      </c>
      <c r="P40" s="152">
        <v>2484000000</v>
      </c>
      <c r="Q40" s="152">
        <v>-6457000000</v>
      </c>
      <c r="R40" s="152">
        <v>-3973000000</v>
      </c>
      <c r="S40" s="152">
        <v>-3973000000</v>
      </c>
      <c r="T40" s="152">
        <v>5102000000</v>
      </c>
      <c r="U40" s="152">
        <v>316000000</v>
      </c>
      <c r="V40" s="152">
        <v>353000000</v>
      </c>
      <c r="W40" s="152">
        <v>3545000000</v>
      </c>
      <c r="X40" s="152">
        <v>0.49476622469999998</v>
      </c>
      <c r="Y40" s="152">
        <v>3192000000</v>
      </c>
      <c r="Z40" s="152">
        <v>0.44549895319999999</v>
      </c>
      <c r="AA40" s="152">
        <v>-316000000</v>
      </c>
      <c r="AB40" s="152">
        <v>2876000000</v>
      </c>
      <c r="AC40" s="152">
        <v>0.40139567339999999</v>
      </c>
      <c r="AD40" s="152">
        <v>631000000</v>
      </c>
      <c r="AE40" s="152">
        <v>2245000000</v>
      </c>
      <c r="AF40" s="152">
        <v>0.31332868110000001</v>
      </c>
      <c r="AG40" s="152">
        <v>2.29</v>
      </c>
      <c r="AH40" s="152">
        <v>2.2799999999999998</v>
      </c>
      <c r="AI40" s="152">
        <v>935000000</v>
      </c>
      <c r="AJ40" s="152">
        <v>942000000</v>
      </c>
    </row>
    <row r="41" spans="1:36">
      <c r="A41" s="150" t="s">
        <v>720</v>
      </c>
      <c r="B41" s="150" t="s">
        <v>589</v>
      </c>
      <c r="C41" s="150" t="s">
        <v>721</v>
      </c>
      <c r="D41" s="150" t="s">
        <v>818</v>
      </c>
      <c r="E41" s="150" t="s">
        <v>771</v>
      </c>
      <c r="F41" s="150" t="s">
        <v>819</v>
      </c>
      <c r="G41" s="150" t="s">
        <v>725</v>
      </c>
      <c r="H41" s="150" t="s">
        <v>726</v>
      </c>
      <c r="I41" s="152">
        <v>504251000</v>
      </c>
      <c r="J41" s="152">
        <v>31075000</v>
      </c>
      <c r="K41" s="152">
        <v>473176000</v>
      </c>
      <c r="L41" s="152">
        <v>0.93837394470000002</v>
      </c>
      <c r="M41" s="152" t="s">
        <v>727</v>
      </c>
      <c r="N41" s="152">
        <v>82517000</v>
      </c>
      <c r="O41" s="152">
        <v>446000</v>
      </c>
      <c r="P41" s="152">
        <v>82517000</v>
      </c>
      <c r="Q41" s="152">
        <v>31075000</v>
      </c>
      <c r="R41" s="152">
        <v>31075000</v>
      </c>
      <c r="S41" s="152">
        <v>31075000</v>
      </c>
      <c r="T41" s="152">
        <v>559315000</v>
      </c>
      <c r="U41" s="152">
        <v>88423000</v>
      </c>
      <c r="V41" s="152">
        <v>4123000</v>
      </c>
      <c r="W41" s="152">
        <v>401312000</v>
      </c>
      <c r="X41" s="152">
        <v>0.79585761850000003</v>
      </c>
      <c r="Y41" s="152">
        <v>397189000</v>
      </c>
      <c r="Z41" s="152">
        <v>0.78768113500000003</v>
      </c>
      <c r="AA41" s="152">
        <v>-88361000</v>
      </c>
      <c r="AB41" s="152">
        <v>308828000</v>
      </c>
      <c r="AC41" s="152">
        <v>0.61244895899999996</v>
      </c>
      <c r="AD41" s="152">
        <v>57324000</v>
      </c>
      <c r="AE41" s="152">
        <v>251504000</v>
      </c>
      <c r="AF41" s="152">
        <v>0.49876747890000001</v>
      </c>
      <c r="AG41" s="152">
        <v>4.6399999999999997</v>
      </c>
      <c r="AH41" s="152">
        <v>4.6399999999999997</v>
      </c>
      <c r="AI41" s="152">
        <v>54222454</v>
      </c>
      <c r="AJ41" s="152">
        <v>54222454</v>
      </c>
    </row>
    <row r="42" spans="1:36">
      <c r="A42" s="150" t="s">
        <v>720</v>
      </c>
      <c r="B42" s="150" t="s">
        <v>591</v>
      </c>
      <c r="C42" s="150" t="s">
        <v>721</v>
      </c>
      <c r="D42" s="150" t="s">
        <v>820</v>
      </c>
      <c r="E42" s="150" t="s">
        <v>729</v>
      </c>
      <c r="F42" s="150" t="s">
        <v>821</v>
      </c>
      <c r="G42" s="150" t="s">
        <v>725</v>
      </c>
      <c r="H42" s="150" t="s">
        <v>726</v>
      </c>
      <c r="I42" s="152">
        <v>2206236000</v>
      </c>
      <c r="J42" s="152">
        <v>330597000</v>
      </c>
      <c r="K42" s="152">
        <v>1875639000</v>
      </c>
      <c r="L42" s="152">
        <v>0.85015338340000002</v>
      </c>
      <c r="M42" s="152" t="s">
        <v>727</v>
      </c>
      <c r="N42" s="152">
        <v>710793000</v>
      </c>
      <c r="O42" s="152" t="s">
        <v>727</v>
      </c>
      <c r="P42" s="152">
        <v>710793000</v>
      </c>
      <c r="Q42" s="152">
        <v>-554926000</v>
      </c>
      <c r="R42" s="152">
        <v>155867000</v>
      </c>
      <c r="S42" s="152">
        <v>155867000</v>
      </c>
      <c r="T42" s="152">
        <v>2075787000</v>
      </c>
      <c r="U42" s="152">
        <v>278887000</v>
      </c>
      <c r="V42" s="152">
        <v>69172000</v>
      </c>
      <c r="W42" s="152">
        <v>1312236000</v>
      </c>
      <c r="X42" s="152">
        <v>0.59478496410000004</v>
      </c>
      <c r="Y42" s="152">
        <v>1243064000</v>
      </c>
      <c r="Z42" s="152">
        <v>0.56343201720000002</v>
      </c>
      <c r="AA42" s="152">
        <v>-278887000</v>
      </c>
      <c r="AB42" s="152">
        <v>964177000</v>
      </c>
      <c r="AC42" s="152">
        <v>0.43702350969999998</v>
      </c>
      <c r="AD42" s="152">
        <v>206275000</v>
      </c>
      <c r="AE42" s="152">
        <v>757902000</v>
      </c>
      <c r="AF42" s="152">
        <v>0.34352716570000003</v>
      </c>
      <c r="AG42" s="152">
        <v>4.99</v>
      </c>
      <c r="AH42" s="152">
        <v>4.95</v>
      </c>
      <c r="AI42" s="152">
        <v>145364000</v>
      </c>
      <c r="AJ42" s="152">
        <v>146481000</v>
      </c>
    </row>
    <row r="43" spans="1:36">
      <c r="A43" s="150" t="s">
        <v>720</v>
      </c>
      <c r="B43" s="150" t="s">
        <v>593</v>
      </c>
      <c r="C43" s="150" t="s">
        <v>721</v>
      </c>
      <c r="D43" s="150" t="s">
        <v>822</v>
      </c>
      <c r="E43" s="150" t="s">
        <v>738</v>
      </c>
      <c r="F43" s="150" t="s">
        <v>823</v>
      </c>
      <c r="G43" s="150" t="s">
        <v>725</v>
      </c>
      <c r="H43" s="150" t="s">
        <v>726</v>
      </c>
      <c r="I43" s="152">
        <v>308253000</v>
      </c>
      <c r="J43" s="152">
        <v>50497000</v>
      </c>
      <c r="K43" s="152">
        <v>257756000</v>
      </c>
      <c r="L43" s="152">
        <v>0.83618326499999995</v>
      </c>
      <c r="M43" s="152" t="s">
        <v>727</v>
      </c>
      <c r="N43" s="152">
        <v>123230000</v>
      </c>
      <c r="O43" s="152">
        <v>5708000</v>
      </c>
      <c r="P43" s="152">
        <v>123230000</v>
      </c>
      <c r="Q43" s="152">
        <v>-72733000</v>
      </c>
      <c r="R43" s="152">
        <v>50497000</v>
      </c>
      <c r="S43" s="152">
        <v>50497000</v>
      </c>
      <c r="T43" s="152">
        <v>251324000</v>
      </c>
      <c r="U43" s="152">
        <v>21043000</v>
      </c>
      <c r="V43" s="152">
        <v>873000</v>
      </c>
      <c r="W43" s="152">
        <v>131503000</v>
      </c>
      <c r="X43" s="152">
        <v>0.42660736469999999</v>
      </c>
      <c r="Y43" s="152">
        <v>130630000</v>
      </c>
      <c r="Z43" s="152">
        <v>0.42377527549999999</v>
      </c>
      <c r="AA43" s="152">
        <v>-20917000</v>
      </c>
      <c r="AB43" s="152">
        <v>109713000</v>
      </c>
      <c r="AC43" s="152">
        <v>0.35591867719999998</v>
      </c>
      <c r="AD43" s="152">
        <v>24557000</v>
      </c>
      <c r="AE43" s="152">
        <v>85030000</v>
      </c>
      <c r="AF43" s="152">
        <v>0.27584484170000001</v>
      </c>
      <c r="AG43" s="152">
        <v>5.78</v>
      </c>
      <c r="AH43" s="152">
        <v>5.77</v>
      </c>
      <c r="AI43" s="152">
        <v>14703390</v>
      </c>
      <c r="AJ43" s="152">
        <v>14742040</v>
      </c>
    </row>
    <row r="44" spans="1:36">
      <c r="A44" s="150" t="s">
        <v>720</v>
      </c>
      <c r="B44" s="150" t="s">
        <v>595</v>
      </c>
      <c r="C44" s="150" t="s">
        <v>721</v>
      </c>
      <c r="D44" s="150" t="s">
        <v>824</v>
      </c>
      <c r="E44" s="150" t="s">
        <v>771</v>
      </c>
      <c r="F44" s="150" t="s">
        <v>825</v>
      </c>
      <c r="G44" s="150" t="s">
        <v>725</v>
      </c>
      <c r="H44" s="150" t="s">
        <v>726</v>
      </c>
      <c r="I44" s="152">
        <v>23035000000</v>
      </c>
      <c r="J44" s="152" t="s">
        <v>727</v>
      </c>
      <c r="K44" s="152">
        <v>23035000000</v>
      </c>
      <c r="L44" s="152">
        <v>1</v>
      </c>
      <c r="M44" s="152" t="s">
        <v>727</v>
      </c>
      <c r="N44" s="152">
        <v>8467000000</v>
      </c>
      <c r="O44" s="152">
        <v>352000000</v>
      </c>
      <c r="P44" s="152">
        <v>8819000000</v>
      </c>
      <c r="Q44" s="152">
        <v>-7056000000</v>
      </c>
      <c r="R44" s="152">
        <v>1763000000</v>
      </c>
      <c r="S44" s="152">
        <v>1763000000</v>
      </c>
      <c r="T44" s="152">
        <v>16637000000</v>
      </c>
      <c r="U44" s="152">
        <v>2321000000</v>
      </c>
      <c r="V44" s="152">
        <v>767000000</v>
      </c>
      <c r="W44" s="152">
        <v>10750000000</v>
      </c>
      <c r="X44" s="152">
        <v>0.4666811374</v>
      </c>
      <c r="Y44" s="152">
        <v>9983000000</v>
      </c>
      <c r="Z44" s="152">
        <v>0.43338398090000002</v>
      </c>
      <c r="AA44" s="152">
        <v>-2314000000</v>
      </c>
      <c r="AB44" s="152">
        <v>7669000000</v>
      </c>
      <c r="AC44" s="152">
        <v>0.33292815279999999</v>
      </c>
      <c r="AD44" s="152">
        <v>1402000000</v>
      </c>
      <c r="AE44" s="152">
        <v>6260000000</v>
      </c>
      <c r="AF44" s="152">
        <v>0.27176036469999998</v>
      </c>
      <c r="AG44" s="152">
        <v>4.6500000000000004</v>
      </c>
      <c r="AH44" s="152">
        <v>4.6100000000000003</v>
      </c>
      <c r="AI44" s="152">
        <v>1328120000</v>
      </c>
      <c r="AJ44" s="152">
        <v>1338462000</v>
      </c>
    </row>
    <row r="45" spans="1:36">
      <c r="A45" s="150" t="s">
        <v>720</v>
      </c>
      <c r="B45" s="150" t="s">
        <v>597</v>
      </c>
      <c r="C45" s="150" t="s">
        <v>721</v>
      </c>
      <c r="D45" s="150" t="s">
        <v>826</v>
      </c>
      <c r="E45" s="150" t="s">
        <v>732</v>
      </c>
      <c r="F45" s="150" t="s">
        <v>827</v>
      </c>
      <c r="G45" s="150" t="s">
        <v>725</v>
      </c>
      <c r="H45" s="150" t="s">
        <v>726</v>
      </c>
      <c r="I45" s="152">
        <v>24184000000</v>
      </c>
      <c r="J45" s="152" t="s">
        <v>727</v>
      </c>
      <c r="K45" s="152">
        <v>24184000000</v>
      </c>
      <c r="L45" s="152">
        <v>1</v>
      </c>
      <c r="M45" s="152" t="s">
        <v>727</v>
      </c>
      <c r="N45" s="152">
        <v>9157000000</v>
      </c>
      <c r="O45" s="152">
        <v>456000000</v>
      </c>
      <c r="P45" s="152">
        <v>9613000000</v>
      </c>
      <c r="Q45" s="152">
        <v>-23292000000</v>
      </c>
      <c r="R45" s="152">
        <v>-13679000000</v>
      </c>
      <c r="S45" s="152">
        <v>-13679000000</v>
      </c>
      <c r="T45" s="152">
        <v>17945000000</v>
      </c>
      <c r="U45" s="152">
        <v>3217000000</v>
      </c>
      <c r="V45" s="152">
        <v>215000000</v>
      </c>
      <c r="W45" s="152">
        <v>10720000000</v>
      </c>
      <c r="X45" s="152">
        <v>0.4432682765</v>
      </c>
      <c r="Y45" s="152">
        <v>10505000000</v>
      </c>
      <c r="Z45" s="152">
        <v>0.43437810119999998</v>
      </c>
      <c r="AA45" s="152">
        <v>-3204000000</v>
      </c>
      <c r="AB45" s="152">
        <v>7301000000</v>
      </c>
      <c r="AC45" s="152">
        <v>0.30189381409999999</v>
      </c>
      <c r="AD45" s="152">
        <v>1463000000</v>
      </c>
      <c r="AE45" s="152">
        <v>5825000000</v>
      </c>
      <c r="AF45" s="152">
        <v>0.24086172680000001</v>
      </c>
      <c r="AG45" s="152">
        <v>3.86</v>
      </c>
      <c r="AH45" s="152">
        <v>3.86</v>
      </c>
      <c r="AI45" s="152">
        <v>1509000000</v>
      </c>
      <c r="AJ45" s="152">
        <v>1510000000</v>
      </c>
    </row>
    <row r="46" spans="1:36">
      <c r="A46" s="150" t="s">
        <v>720</v>
      </c>
      <c r="B46" s="150" t="s">
        <v>599</v>
      </c>
      <c r="C46" s="150" t="s">
        <v>721</v>
      </c>
      <c r="D46" s="150" t="s">
        <v>828</v>
      </c>
      <c r="E46" s="150" t="s">
        <v>748</v>
      </c>
      <c r="F46" s="150" t="s">
        <v>829</v>
      </c>
      <c r="G46" s="150" t="s">
        <v>725</v>
      </c>
      <c r="H46" s="150" t="s">
        <v>726</v>
      </c>
      <c r="I46" s="152">
        <v>2472471000</v>
      </c>
      <c r="J46" s="152" t="s">
        <v>727</v>
      </c>
      <c r="K46" s="152">
        <v>2472471000</v>
      </c>
      <c r="L46" s="152">
        <v>1</v>
      </c>
      <c r="M46" s="152" t="s">
        <v>727</v>
      </c>
      <c r="N46" s="152">
        <v>750194000</v>
      </c>
      <c r="O46" s="152">
        <v>16438000</v>
      </c>
      <c r="P46" s="152">
        <v>766632000</v>
      </c>
      <c r="Q46" s="152">
        <v>-750194000</v>
      </c>
      <c r="R46" s="152">
        <v>16438000</v>
      </c>
      <c r="S46" s="152">
        <v>16438000</v>
      </c>
      <c r="T46" s="152">
        <v>2284737000</v>
      </c>
      <c r="U46" s="152">
        <v>250451000</v>
      </c>
      <c r="V46" s="152">
        <v>31940000</v>
      </c>
      <c r="W46" s="152">
        <v>1080368000</v>
      </c>
      <c r="X46" s="152">
        <v>0.4369588157</v>
      </c>
      <c r="Y46" s="152">
        <v>1048428000</v>
      </c>
      <c r="Z46" s="152">
        <v>0.42404056509999999</v>
      </c>
      <c r="AA46" s="152">
        <v>-250451000</v>
      </c>
      <c r="AB46" s="152">
        <v>797977000</v>
      </c>
      <c r="AC46" s="152">
        <v>0.32274473590000002</v>
      </c>
      <c r="AD46" s="152">
        <v>153694000</v>
      </c>
      <c r="AE46" s="152">
        <v>644283000</v>
      </c>
      <c r="AF46" s="152">
        <v>0.26058263170000001</v>
      </c>
      <c r="AG46" s="152">
        <v>3.72</v>
      </c>
      <c r="AH46" s="152">
        <v>3.72</v>
      </c>
      <c r="AI46" s="152">
        <v>167452000</v>
      </c>
      <c r="AJ46" s="152">
        <v>167547000</v>
      </c>
    </row>
    <row r="47" spans="1:36">
      <c r="A47" s="150" t="s">
        <v>720</v>
      </c>
      <c r="B47" s="150" t="s">
        <v>601</v>
      </c>
      <c r="C47" s="150" t="s">
        <v>721</v>
      </c>
      <c r="D47" s="150" t="s">
        <v>830</v>
      </c>
      <c r="E47" s="150" t="s">
        <v>793</v>
      </c>
      <c r="F47" s="150" t="s">
        <v>831</v>
      </c>
      <c r="G47" s="150" t="s">
        <v>725</v>
      </c>
      <c r="H47" s="150" t="s">
        <v>726</v>
      </c>
      <c r="I47" s="152">
        <v>73785000000</v>
      </c>
      <c r="J47" s="152" t="s">
        <v>727</v>
      </c>
      <c r="K47" s="152">
        <v>73785000000</v>
      </c>
      <c r="L47" s="152">
        <v>1</v>
      </c>
      <c r="M47" s="152" t="s">
        <v>727</v>
      </c>
      <c r="N47" s="152">
        <v>35090000000</v>
      </c>
      <c r="O47" s="152">
        <v>505000000</v>
      </c>
      <c r="P47" s="152">
        <v>35595000000</v>
      </c>
      <c r="Q47" s="152">
        <v>-91869000000</v>
      </c>
      <c r="R47" s="152">
        <v>-56274000000</v>
      </c>
      <c r="S47" s="152">
        <v>-56274000000</v>
      </c>
      <c r="T47" s="152">
        <v>54024000000</v>
      </c>
      <c r="U47" s="152">
        <v>9074000000</v>
      </c>
      <c r="V47" s="152">
        <v>6832000000</v>
      </c>
      <c r="W47" s="152">
        <v>24343000000</v>
      </c>
      <c r="X47" s="152">
        <v>0.32991800500000001</v>
      </c>
      <c r="Y47" s="152">
        <v>17511000000</v>
      </c>
      <c r="Z47" s="152">
        <v>0.23732465950000001</v>
      </c>
      <c r="AA47" s="152">
        <v>-2542000000</v>
      </c>
      <c r="AB47" s="152">
        <v>14969000000</v>
      </c>
      <c r="AC47" s="152">
        <v>0.2028732127</v>
      </c>
      <c r="AD47" s="152">
        <v>2087000000</v>
      </c>
      <c r="AE47" s="152">
        <v>13182000000</v>
      </c>
      <c r="AF47" s="152">
        <v>0.17865419799999999</v>
      </c>
      <c r="AG47" s="152">
        <v>3.25</v>
      </c>
      <c r="AH47" s="152">
        <v>3.22</v>
      </c>
      <c r="AI47" s="152">
        <v>4061900000</v>
      </c>
      <c r="AJ47" s="152">
        <v>4096200000</v>
      </c>
    </row>
    <row r="48" spans="1:36">
      <c r="A48" s="150" t="s">
        <v>720</v>
      </c>
      <c r="B48" s="150" t="s">
        <v>603</v>
      </c>
      <c r="C48" s="150" t="s">
        <v>721</v>
      </c>
      <c r="D48" s="150" t="s">
        <v>832</v>
      </c>
      <c r="E48" s="150" t="s">
        <v>798</v>
      </c>
      <c r="F48" s="150" t="s">
        <v>833</v>
      </c>
      <c r="G48" s="150" t="s">
        <v>725</v>
      </c>
      <c r="H48" s="150" t="s">
        <v>726</v>
      </c>
      <c r="I48" s="152">
        <v>2297200000</v>
      </c>
      <c r="J48" s="152" t="s">
        <v>727</v>
      </c>
      <c r="K48" s="152">
        <v>2297200000</v>
      </c>
      <c r="L48" s="152">
        <v>1</v>
      </c>
      <c r="M48" s="152" t="s">
        <v>727</v>
      </c>
      <c r="N48" s="152">
        <v>570600000</v>
      </c>
      <c r="O48" s="152">
        <v>22100000</v>
      </c>
      <c r="P48" s="152">
        <v>592700000</v>
      </c>
      <c r="Q48" s="152">
        <v>-470700000</v>
      </c>
      <c r="R48" s="152">
        <v>122000000</v>
      </c>
      <c r="S48" s="152">
        <v>122000000</v>
      </c>
      <c r="T48" s="152">
        <v>2691800000</v>
      </c>
      <c r="U48" s="152">
        <v>475500000</v>
      </c>
      <c r="V48" s="152">
        <v>74600000</v>
      </c>
      <c r="W48" s="152">
        <v>1887300000</v>
      </c>
      <c r="X48" s="152">
        <v>0.8215653839</v>
      </c>
      <c r="Y48" s="152">
        <v>1812700000</v>
      </c>
      <c r="Z48" s="152">
        <v>0.78909106740000001</v>
      </c>
      <c r="AA48" s="152">
        <v>-496600000</v>
      </c>
      <c r="AB48" s="152">
        <v>1316100000</v>
      </c>
      <c r="AC48" s="152">
        <v>0.57291485289999999</v>
      </c>
      <c r="AD48" s="152">
        <v>258800000</v>
      </c>
      <c r="AE48" s="152">
        <v>1057300000</v>
      </c>
      <c r="AF48" s="152">
        <v>0.4602559638</v>
      </c>
      <c r="AG48" s="152">
        <v>10.42</v>
      </c>
      <c r="AH48" s="152">
        <v>10.39</v>
      </c>
      <c r="AI48" s="152">
        <v>100200000</v>
      </c>
      <c r="AJ48" s="152">
        <v>100500000</v>
      </c>
    </row>
    <row r="49" spans="1:36">
      <c r="A49" s="150" t="s">
        <v>720</v>
      </c>
      <c r="B49" s="150" t="s">
        <v>605</v>
      </c>
      <c r="C49" s="150" t="s">
        <v>721</v>
      </c>
      <c r="D49" s="150" t="s">
        <v>834</v>
      </c>
      <c r="E49" s="150" t="s">
        <v>738</v>
      </c>
      <c r="F49" s="150" t="s">
        <v>835</v>
      </c>
      <c r="G49" s="150" t="s">
        <v>725</v>
      </c>
      <c r="H49" s="150" t="s">
        <v>726</v>
      </c>
      <c r="I49" s="152">
        <v>1484000000</v>
      </c>
      <c r="J49" s="152">
        <v>446000000</v>
      </c>
      <c r="K49" s="152">
        <v>1038000000</v>
      </c>
      <c r="L49" s="152">
        <v>0.69946091639999997</v>
      </c>
      <c r="M49" s="152" t="s">
        <v>727</v>
      </c>
      <c r="N49" s="152">
        <v>354000000</v>
      </c>
      <c r="O49" s="152" t="s">
        <v>727</v>
      </c>
      <c r="P49" s="152">
        <v>354000000</v>
      </c>
      <c r="Q49" s="152">
        <v>446000000</v>
      </c>
      <c r="R49" s="152">
        <v>604000000</v>
      </c>
      <c r="S49" s="152">
        <v>604000000</v>
      </c>
      <c r="T49" s="152">
        <v>2092000000</v>
      </c>
      <c r="U49" s="152">
        <v>696000000</v>
      </c>
      <c r="V49" s="152">
        <v>5000000</v>
      </c>
      <c r="W49" s="152">
        <v>1512000000</v>
      </c>
      <c r="X49" s="152">
        <v>1.0188679245000001</v>
      </c>
      <c r="Y49" s="152">
        <v>1507000000</v>
      </c>
      <c r="Z49" s="152">
        <v>1.0154986523</v>
      </c>
      <c r="AA49" s="152">
        <v>-681000000</v>
      </c>
      <c r="AB49" s="152">
        <v>826000000</v>
      </c>
      <c r="AC49" s="152">
        <v>0.55660377360000002</v>
      </c>
      <c r="AD49" s="152">
        <v>176000000</v>
      </c>
      <c r="AE49" s="152">
        <v>650000000</v>
      </c>
      <c r="AF49" s="152">
        <v>0.43800539080000001</v>
      </c>
      <c r="AG49" s="152">
        <v>1.26</v>
      </c>
      <c r="AH49" s="152">
        <v>1.26</v>
      </c>
      <c r="AI49" s="152">
        <v>483603395</v>
      </c>
      <c r="AJ49" s="152">
        <v>485134345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49057-9F2F-E144-8B7E-E703022C9D71}">
  <dimension ref="A1:D50"/>
  <sheetViews>
    <sheetView workbookViewId="0">
      <selection sqref="A1:D50"/>
    </sheetView>
  </sheetViews>
  <sheetFormatPr baseColWidth="10" defaultRowHeight="13"/>
  <sheetData>
    <row r="1" spans="1:4" ht="16">
      <c r="A1" s="153" t="s">
        <v>713</v>
      </c>
      <c r="B1" s="153" t="s">
        <v>864</v>
      </c>
      <c r="C1" s="153" t="s">
        <v>865</v>
      </c>
      <c r="D1" s="153" t="s">
        <v>866</v>
      </c>
    </row>
    <row r="2" spans="1:4" ht="16">
      <c r="A2" s="153" t="s">
        <v>511</v>
      </c>
      <c r="B2" s="153" t="s">
        <v>867</v>
      </c>
      <c r="C2" s="153" t="s">
        <v>868</v>
      </c>
      <c r="D2" s="153">
        <v>2776909568</v>
      </c>
    </row>
    <row r="3" spans="1:4" ht="16">
      <c r="A3" s="153" t="s">
        <v>513</v>
      </c>
      <c r="B3" s="153" t="s">
        <v>867</v>
      </c>
      <c r="C3" s="153" t="s">
        <v>869</v>
      </c>
      <c r="D3" s="153">
        <v>2425325312</v>
      </c>
    </row>
    <row r="4" spans="1:4" ht="16">
      <c r="A4" s="153" t="s">
        <v>629</v>
      </c>
      <c r="B4" s="153" t="s">
        <v>867</v>
      </c>
      <c r="C4" s="153" t="s">
        <v>870</v>
      </c>
      <c r="D4" s="153">
        <v>2544797440</v>
      </c>
    </row>
    <row r="5" spans="1:4" ht="16">
      <c r="A5" s="153" t="s">
        <v>515</v>
      </c>
      <c r="B5" s="153" t="s">
        <v>867</v>
      </c>
      <c r="C5" s="153" t="s">
        <v>871</v>
      </c>
      <c r="D5" s="153">
        <v>760165120</v>
      </c>
    </row>
    <row r="6" spans="1:4" ht="16">
      <c r="A6" s="153" t="s">
        <v>517</v>
      </c>
      <c r="B6" s="153" t="s">
        <v>867</v>
      </c>
      <c r="C6" s="153" t="s">
        <v>872</v>
      </c>
      <c r="D6" s="153">
        <v>246003613696</v>
      </c>
    </row>
    <row r="7" spans="1:4" ht="16">
      <c r="A7" s="153" t="s">
        <v>519</v>
      </c>
      <c r="B7" s="153" t="s">
        <v>867</v>
      </c>
      <c r="C7" s="153" t="s">
        <v>873</v>
      </c>
      <c r="D7" s="153">
        <v>2178269952</v>
      </c>
    </row>
    <row r="8" spans="1:4" ht="16">
      <c r="A8" s="153" t="s">
        <v>521</v>
      </c>
      <c r="B8" s="153" t="s">
        <v>867</v>
      </c>
      <c r="C8" s="153" t="s">
        <v>874</v>
      </c>
      <c r="D8" s="153">
        <v>2072131200</v>
      </c>
    </row>
    <row r="9" spans="1:4" ht="16">
      <c r="A9" s="153" t="s">
        <v>523</v>
      </c>
      <c r="B9" s="153" t="s">
        <v>867</v>
      </c>
      <c r="C9" s="153" t="s">
        <v>875</v>
      </c>
      <c r="D9" s="153">
        <v>407665728</v>
      </c>
    </row>
    <row r="10" spans="1:4" ht="16">
      <c r="A10" s="153" t="s">
        <v>525</v>
      </c>
      <c r="B10" s="153" t="s">
        <v>867</v>
      </c>
      <c r="C10" s="153" t="s">
        <v>876</v>
      </c>
      <c r="D10" s="153">
        <v>1027702720</v>
      </c>
    </row>
    <row r="11" spans="1:4" ht="16">
      <c r="A11" s="153" t="s">
        <v>527</v>
      </c>
      <c r="B11" s="153" t="s">
        <v>867</v>
      </c>
      <c r="C11" s="153" t="s">
        <v>877</v>
      </c>
      <c r="D11" s="153">
        <v>150592864</v>
      </c>
    </row>
    <row r="12" spans="1:4" ht="16">
      <c r="A12" s="153" t="s">
        <v>529</v>
      </c>
      <c r="B12" s="153" t="s">
        <v>867</v>
      </c>
      <c r="C12" s="153" t="s">
        <v>878</v>
      </c>
      <c r="D12" s="153">
        <v>817160512</v>
      </c>
    </row>
    <row r="13" spans="1:4" ht="16">
      <c r="A13" s="153" t="s">
        <v>531</v>
      </c>
      <c r="B13" s="153" t="s">
        <v>867</v>
      </c>
      <c r="C13" s="153" t="s">
        <v>879</v>
      </c>
      <c r="D13" s="153">
        <v>4585738752</v>
      </c>
    </row>
    <row r="14" spans="1:4" ht="16">
      <c r="A14" s="153" t="s">
        <v>533</v>
      </c>
      <c r="B14" s="153" t="s">
        <v>867</v>
      </c>
      <c r="C14" s="153" t="s">
        <v>880</v>
      </c>
      <c r="D14" s="153">
        <v>473406432</v>
      </c>
    </row>
    <row r="15" spans="1:4" ht="16">
      <c r="A15" s="153" t="s">
        <v>535</v>
      </c>
      <c r="B15" s="153" t="s">
        <v>867</v>
      </c>
      <c r="C15" s="153" t="s">
        <v>881</v>
      </c>
      <c r="D15" s="153">
        <v>84923367424</v>
      </c>
    </row>
    <row r="16" spans="1:4" ht="16">
      <c r="A16" s="153" t="s">
        <v>537</v>
      </c>
      <c r="B16" s="153" t="s">
        <v>867</v>
      </c>
      <c r="C16" s="153" t="s">
        <v>882</v>
      </c>
      <c r="D16" s="153">
        <v>14041123840</v>
      </c>
    </row>
    <row r="17" spans="1:4" ht="16">
      <c r="A17" s="153" t="s">
        <v>539</v>
      </c>
      <c r="B17" s="153" t="s">
        <v>867</v>
      </c>
      <c r="C17" s="153" t="s">
        <v>883</v>
      </c>
      <c r="D17" s="153">
        <v>6595350528</v>
      </c>
    </row>
    <row r="18" spans="1:4" ht="16">
      <c r="A18" s="153" t="s">
        <v>541</v>
      </c>
      <c r="B18" s="153" t="s">
        <v>867</v>
      </c>
      <c r="C18" s="153" t="s">
        <v>884</v>
      </c>
      <c r="D18" s="153">
        <v>2758436608</v>
      </c>
    </row>
    <row r="19" spans="1:4" ht="16">
      <c r="A19" s="153" t="s">
        <v>543</v>
      </c>
      <c r="B19" s="153" t="s">
        <v>867</v>
      </c>
      <c r="C19" s="153" t="s">
        <v>885</v>
      </c>
      <c r="D19" s="153">
        <v>6567369216</v>
      </c>
    </row>
    <row r="20" spans="1:4" ht="16">
      <c r="A20" s="153" t="s">
        <v>545</v>
      </c>
      <c r="B20" s="153" t="s">
        <v>867</v>
      </c>
      <c r="C20" s="153" t="s">
        <v>886</v>
      </c>
      <c r="D20" s="153">
        <v>1268235520</v>
      </c>
    </row>
    <row r="21" spans="1:4" ht="16">
      <c r="A21" s="153" t="s">
        <v>547</v>
      </c>
      <c r="B21" s="153" t="s">
        <v>867</v>
      </c>
      <c r="C21" s="153" t="s">
        <v>887</v>
      </c>
      <c r="D21" s="153">
        <v>159894992</v>
      </c>
    </row>
    <row r="22" spans="1:4" ht="16">
      <c r="A22" s="153" t="s">
        <v>549</v>
      </c>
      <c r="B22" s="153" t="s">
        <v>867</v>
      </c>
      <c r="C22" s="153" t="s">
        <v>888</v>
      </c>
      <c r="D22" s="153">
        <v>4352498688</v>
      </c>
    </row>
    <row r="23" spans="1:4" ht="16">
      <c r="A23" s="153" t="s">
        <v>551</v>
      </c>
      <c r="B23" s="153" t="s">
        <v>867</v>
      </c>
      <c r="C23" s="153" t="s">
        <v>889</v>
      </c>
      <c r="D23" s="153">
        <v>1564951808</v>
      </c>
    </row>
    <row r="24" spans="1:4" ht="16">
      <c r="A24" s="153" t="s">
        <v>553</v>
      </c>
      <c r="B24" s="153" t="s">
        <v>867</v>
      </c>
      <c r="C24" s="153" t="s">
        <v>890</v>
      </c>
      <c r="D24" s="153">
        <v>1407594240</v>
      </c>
    </row>
    <row r="25" spans="1:4" ht="16">
      <c r="A25" s="153" t="s">
        <v>555</v>
      </c>
      <c r="B25" s="153" t="s">
        <v>867</v>
      </c>
      <c r="C25" s="153" t="s">
        <v>891</v>
      </c>
      <c r="D25" s="153">
        <v>7412340224</v>
      </c>
    </row>
    <row r="26" spans="1:4" ht="16">
      <c r="A26" s="153" t="s">
        <v>557</v>
      </c>
      <c r="B26" s="153" t="s">
        <v>867</v>
      </c>
      <c r="C26" s="153" t="s">
        <v>892</v>
      </c>
      <c r="D26" s="153">
        <v>3621144832</v>
      </c>
    </row>
    <row r="27" spans="1:4" ht="16">
      <c r="A27" s="153" t="s">
        <v>559</v>
      </c>
      <c r="B27" s="153" t="s">
        <v>867</v>
      </c>
      <c r="C27" s="153" t="s">
        <v>893</v>
      </c>
      <c r="D27" s="153">
        <v>362367936</v>
      </c>
    </row>
    <row r="28" spans="1:4" ht="16">
      <c r="A28" s="153" t="s">
        <v>561</v>
      </c>
      <c r="B28" s="153" t="s">
        <v>867</v>
      </c>
      <c r="C28" s="153" t="s">
        <v>894</v>
      </c>
      <c r="D28" s="153">
        <v>2021100288</v>
      </c>
    </row>
    <row r="29" spans="1:4" ht="16">
      <c r="A29" s="153" t="s">
        <v>563</v>
      </c>
      <c r="B29" s="153" t="s">
        <v>867</v>
      </c>
      <c r="C29" s="153" t="s">
        <v>895</v>
      </c>
      <c r="D29" s="153">
        <v>4748311040</v>
      </c>
    </row>
    <row r="30" spans="1:4" ht="16">
      <c r="A30" s="153" t="s">
        <v>565</v>
      </c>
      <c r="B30" s="153" t="s">
        <v>867</v>
      </c>
      <c r="C30" s="153" t="s">
        <v>896</v>
      </c>
      <c r="D30" s="153">
        <v>449777106944</v>
      </c>
    </row>
    <row r="31" spans="1:4" ht="16">
      <c r="A31" s="153" t="s">
        <v>567</v>
      </c>
      <c r="B31" s="153" t="s">
        <v>867</v>
      </c>
      <c r="C31" s="153" t="s">
        <v>897</v>
      </c>
      <c r="D31" s="153">
        <v>10311778304</v>
      </c>
    </row>
    <row r="32" spans="1:4" ht="16">
      <c r="A32" s="153" t="s">
        <v>569</v>
      </c>
      <c r="B32" s="153" t="s">
        <v>867</v>
      </c>
      <c r="C32" s="153" t="s">
        <v>898</v>
      </c>
      <c r="D32" s="153">
        <v>1615677440</v>
      </c>
    </row>
    <row r="33" spans="1:4" ht="16">
      <c r="A33" s="153" t="s">
        <v>571</v>
      </c>
      <c r="B33" s="153" t="s">
        <v>867</v>
      </c>
      <c r="C33" s="153" t="s">
        <v>899</v>
      </c>
      <c r="D33" s="153">
        <v>22042335232</v>
      </c>
    </row>
    <row r="34" spans="1:4" ht="16">
      <c r="A34" s="153" t="s">
        <v>573</v>
      </c>
      <c r="B34" s="153" t="s">
        <v>867</v>
      </c>
      <c r="C34" s="153" t="s">
        <v>900</v>
      </c>
      <c r="D34" s="153">
        <v>497237376</v>
      </c>
    </row>
    <row r="35" spans="1:4" ht="16">
      <c r="A35" s="153" t="s">
        <v>575</v>
      </c>
      <c r="B35" s="153" t="s">
        <v>867</v>
      </c>
      <c r="C35" s="153" t="s">
        <v>901</v>
      </c>
      <c r="D35" s="153">
        <v>1279051264</v>
      </c>
    </row>
    <row r="36" spans="1:4" ht="16">
      <c r="A36" s="153" t="s">
        <v>577</v>
      </c>
      <c r="B36" s="153" t="s">
        <v>867</v>
      </c>
      <c r="C36" s="153" t="s">
        <v>902</v>
      </c>
      <c r="D36" s="153">
        <v>1182877696</v>
      </c>
    </row>
    <row r="37" spans="1:4" ht="16">
      <c r="A37" s="153" t="s">
        <v>579</v>
      </c>
      <c r="B37" s="153" t="s">
        <v>867</v>
      </c>
      <c r="C37" s="153" t="s">
        <v>903</v>
      </c>
      <c r="D37" s="153">
        <v>1718075648</v>
      </c>
    </row>
    <row r="38" spans="1:4" ht="16">
      <c r="A38" s="153" t="s">
        <v>581</v>
      </c>
      <c r="B38" s="153" t="s">
        <v>867</v>
      </c>
      <c r="C38" s="153" t="s">
        <v>904</v>
      </c>
      <c r="D38" s="153">
        <v>50657439744</v>
      </c>
    </row>
    <row r="39" spans="1:4" ht="16">
      <c r="A39" s="153" t="s">
        <v>583</v>
      </c>
      <c r="B39" s="153" t="s">
        <v>867</v>
      </c>
      <c r="C39" s="153" t="s">
        <v>905</v>
      </c>
      <c r="D39" s="153">
        <v>5575707136</v>
      </c>
    </row>
    <row r="40" spans="1:4" ht="16">
      <c r="A40" s="153" t="s">
        <v>585</v>
      </c>
      <c r="B40" s="153" t="s">
        <v>867</v>
      </c>
      <c r="C40" s="153" t="s">
        <v>906</v>
      </c>
      <c r="D40" s="153">
        <v>1338933632</v>
      </c>
    </row>
    <row r="41" spans="1:4" ht="16">
      <c r="A41" s="153" t="s">
        <v>587</v>
      </c>
      <c r="B41" s="153" t="s">
        <v>867</v>
      </c>
      <c r="C41" s="153" t="s">
        <v>907</v>
      </c>
      <c r="D41" s="153">
        <v>19038330880</v>
      </c>
    </row>
    <row r="42" spans="1:4" ht="16">
      <c r="A42" s="153" t="s">
        <v>589</v>
      </c>
      <c r="B42" s="153" t="s">
        <v>867</v>
      </c>
      <c r="C42" s="153" t="s">
        <v>908</v>
      </c>
      <c r="D42" s="153">
        <v>3230668032</v>
      </c>
    </row>
    <row r="43" spans="1:4" ht="16">
      <c r="A43" s="153" t="s">
        <v>591</v>
      </c>
      <c r="B43" s="153" t="s">
        <v>867</v>
      </c>
      <c r="C43" s="153" t="s">
        <v>909</v>
      </c>
      <c r="D43" s="153">
        <v>4777741312</v>
      </c>
    </row>
    <row r="44" spans="1:4" ht="16">
      <c r="A44" s="153" t="s">
        <v>593</v>
      </c>
      <c r="B44" s="153" t="s">
        <v>867</v>
      </c>
      <c r="C44" s="153" t="s">
        <v>910</v>
      </c>
      <c r="D44" s="153">
        <v>827307840</v>
      </c>
    </row>
    <row r="45" spans="1:4" ht="16">
      <c r="A45" s="153" t="s">
        <v>595</v>
      </c>
      <c r="B45" s="153" t="s">
        <v>867</v>
      </c>
      <c r="C45" s="153" t="s">
        <v>911</v>
      </c>
      <c r="D45" s="153">
        <v>40718630912</v>
      </c>
    </row>
    <row r="46" spans="1:4" ht="16">
      <c r="A46" s="153" t="s">
        <v>597</v>
      </c>
      <c r="B46" s="153" t="s">
        <v>867</v>
      </c>
      <c r="C46" s="153" t="s">
        <v>912</v>
      </c>
      <c r="D46" s="153">
        <v>59354664960</v>
      </c>
    </row>
    <row r="47" spans="1:4" ht="16">
      <c r="A47" s="153" t="s">
        <v>599</v>
      </c>
      <c r="B47" s="153" t="s">
        <v>867</v>
      </c>
      <c r="C47" s="153" t="s">
        <v>913</v>
      </c>
      <c r="D47" s="153">
        <v>7644274688</v>
      </c>
    </row>
    <row r="48" spans="1:4" ht="16">
      <c r="A48" s="153" t="s">
        <v>601</v>
      </c>
      <c r="B48" s="153" t="s">
        <v>867</v>
      </c>
      <c r="C48" s="153" t="s">
        <v>914</v>
      </c>
      <c r="D48" s="153">
        <v>160423886848</v>
      </c>
    </row>
    <row r="49" spans="1:4" ht="16">
      <c r="A49" s="153" t="s">
        <v>603</v>
      </c>
      <c r="B49" s="153" t="s">
        <v>867</v>
      </c>
      <c r="C49" s="153" t="s">
        <v>915</v>
      </c>
      <c r="D49" s="153">
        <v>5584550912</v>
      </c>
    </row>
    <row r="50" spans="1:4" ht="16">
      <c r="A50" s="153" t="s">
        <v>605</v>
      </c>
      <c r="B50" s="153" t="s">
        <v>867</v>
      </c>
      <c r="C50" s="153" t="s">
        <v>916</v>
      </c>
      <c r="D50" s="153">
        <v>9062681600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6"/>
  <sheetViews>
    <sheetView topLeftCell="A11" zoomScaleNormal="100" workbookViewId="0">
      <selection activeCell="B17" sqref="B17"/>
    </sheetView>
  </sheetViews>
  <sheetFormatPr baseColWidth="10" defaultColWidth="9.3984375" defaultRowHeight="16"/>
  <cols>
    <col min="1" max="1" width="23.3984375" style="1" customWidth="1"/>
    <col min="2" max="2" width="108" style="1" customWidth="1"/>
    <col min="3" max="16384" width="9.3984375" style="1"/>
  </cols>
  <sheetData>
    <row r="1" spans="1:2">
      <c r="A1" s="130" t="s">
        <v>340</v>
      </c>
      <c r="B1" s="131"/>
    </row>
    <row r="2" spans="1:2" ht="32.25" customHeight="1">
      <c r="A2" s="128" t="s">
        <v>343</v>
      </c>
      <c r="B2" s="132"/>
    </row>
    <row r="3" spans="1:2" ht="16" customHeight="1">
      <c r="A3" s="128" t="s">
        <v>135</v>
      </c>
      <c r="B3" s="128"/>
    </row>
    <row r="4" spans="1:2" ht="15.75" customHeight="1">
      <c r="A4" s="128" t="s">
        <v>434</v>
      </c>
      <c r="B4" s="128"/>
    </row>
    <row r="5" spans="1:2" ht="16" customHeight="1">
      <c r="A5" s="128" t="s">
        <v>366</v>
      </c>
      <c r="B5" s="128"/>
    </row>
    <row r="6" spans="1:2" ht="75.75" customHeight="1">
      <c r="A6" s="128" t="s">
        <v>365</v>
      </c>
      <c r="B6" s="132"/>
    </row>
    <row r="7" spans="1:2">
      <c r="A7" s="5"/>
      <c r="B7" s="68"/>
    </row>
    <row r="8" spans="1:2">
      <c r="A8" s="2" t="s">
        <v>16</v>
      </c>
      <c r="B8" s="3"/>
    </row>
    <row r="9" spans="1:2" ht="15" customHeight="1">
      <c r="A9" s="2" t="s">
        <v>17</v>
      </c>
      <c r="B9" s="38" t="s">
        <v>18</v>
      </c>
    </row>
    <row r="10" spans="1:2" ht="16" customHeight="1">
      <c r="A10" s="4" t="s">
        <v>38</v>
      </c>
      <c r="B10" s="36" t="s">
        <v>19</v>
      </c>
    </row>
    <row r="11" spans="1:2" ht="138.75" customHeight="1">
      <c r="A11" s="4" t="s">
        <v>364</v>
      </c>
      <c r="B11" s="36" t="s">
        <v>416</v>
      </c>
    </row>
    <row r="12" spans="1:2" ht="51">
      <c r="A12" s="4" t="s">
        <v>245</v>
      </c>
      <c r="B12" s="36" t="s">
        <v>418</v>
      </c>
    </row>
    <row r="13" spans="1:2" ht="60.75" customHeight="1">
      <c r="A13" s="4" t="s">
        <v>39</v>
      </c>
      <c r="B13" s="36" t="s">
        <v>421</v>
      </c>
    </row>
    <row r="14" spans="1:2" ht="76.5" customHeight="1">
      <c r="A14" s="4" t="s">
        <v>40</v>
      </c>
      <c r="B14" s="36" t="s">
        <v>424</v>
      </c>
    </row>
    <row r="15" spans="1:2" ht="48" customHeight="1">
      <c r="A15" s="4" t="s">
        <v>41</v>
      </c>
      <c r="B15" s="36" t="s">
        <v>427</v>
      </c>
    </row>
    <row r="16" spans="1:2" ht="96.75" customHeight="1">
      <c r="A16" s="4" t="s">
        <v>43</v>
      </c>
      <c r="B16" s="36" t="s">
        <v>431</v>
      </c>
    </row>
    <row r="17" spans="1:2" ht="90.75" customHeight="1">
      <c r="A17" s="4" t="s">
        <v>257</v>
      </c>
      <c r="B17" s="36" t="s">
        <v>1</v>
      </c>
    </row>
    <row r="18" spans="1:2" ht="104.25" customHeight="1">
      <c r="A18" s="4" t="s">
        <v>42</v>
      </c>
      <c r="B18" s="36" t="s">
        <v>433</v>
      </c>
    </row>
    <row r="19" spans="1:2">
      <c r="A19" s="3"/>
      <c r="B19" s="36"/>
    </row>
    <row r="20" spans="1:2">
      <c r="A20" s="2" t="s">
        <v>20</v>
      </c>
      <c r="B20" s="36"/>
    </row>
    <row r="21" spans="1:2">
      <c r="A21" s="26"/>
      <c r="B21" s="37" t="s">
        <v>362</v>
      </c>
    </row>
    <row r="22" spans="1:2">
      <c r="A22" s="46"/>
      <c r="B22" s="37" t="s">
        <v>78</v>
      </c>
    </row>
    <row r="23" spans="1:2" ht="15" customHeight="1">
      <c r="A23" s="7"/>
      <c r="B23" s="36" t="s">
        <v>242</v>
      </c>
    </row>
    <row r="24" spans="1:2" ht="15" customHeight="1">
      <c r="A24" s="81"/>
      <c r="B24" s="36" t="s">
        <v>241</v>
      </c>
    </row>
    <row r="25" spans="1:2" ht="34">
      <c r="A25" s="35"/>
      <c r="B25" s="36" t="s">
        <v>243</v>
      </c>
    </row>
    <row r="26" spans="1:2" ht="17">
      <c r="A26" s="82"/>
      <c r="B26" s="36" t="s">
        <v>244</v>
      </c>
    </row>
    <row r="27" spans="1:2" ht="17">
      <c r="A27" s="6"/>
      <c r="B27" s="36" t="s">
        <v>72</v>
      </c>
    </row>
    <row r="28" spans="1:2">
      <c r="A28" s="3"/>
      <c r="B28" s="3"/>
    </row>
    <row r="29" spans="1:2" ht="15" customHeight="1">
      <c r="A29" s="2" t="s">
        <v>141</v>
      </c>
      <c r="B29" s="3"/>
    </row>
    <row r="30" spans="1:2" ht="32" customHeight="1">
      <c r="A30" s="128" t="s">
        <v>143</v>
      </c>
      <c r="B30" s="128"/>
    </row>
    <row r="31" spans="1:2" ht="61.5" customHeight="1">
      <c r="A31" s="128" t="s">
        <v>266</v>
      </c>
      <c r="B31" s="128"/>
    </row>
    <row r="32" spans="1:2" ht="32" customHeight="1">
      <c r="A32" s="128" t="s">
        <v>142</v>
      </c>
      <c r="B32" s="128"/>
    </row>
    <row r="33" spans="1:2" ht="60" customHeight="1">
      <c r="A33" s="128" t="s">
        <v>144</v>
      </c>
      <c r="B33" s="128"/>
    </row>
    <row r="34" spans="1:2" ht="15.75" customHeight="1">
      <c r="A34" s="128" t="s">
        <v>145</v>
      </c>
      <c r="B34" s="128"/>
    </row>
    <row r="35" spans="1:2" ht="15.75" customHeight="1">
      <c r="A35" s="129" t="s">
        <v>273</v>
      </c>
      <c r="B35" s="129"/>
    </row>
    <row r="36" spans="1:2">
      <c r="A36" s="3"/>
      <c r="B36" s="3"/>
    </row>
    <row r="37" spans="1:2">
      <c r="A37" s="3"/>
      <c r="B37" s="3"/>
    </row>
    <row r="38" spans="1:2">
      <c r="A38" s="3"/>
      <c r="B38" s="3"/>
    </row>
    <row r="39" spans="1:2">
      <c r="A39" s="3"/>
      <c r="B39" s="3"/>
    </row>
    <row r="40" spans="1:2">
      <c r="A40" s="3"/>
      <c r="B40" s="3"/>
    </row>
    <row r="41" spans="1:2">
      <c r="A41" s="3"/>
      <c r="B41" s="3"/>
    </row>
    <row r="42" spans="1:2">
      <c r="A42" s="3"/>
      <c r="B42" s="3"/>
    </row>
    <row r="43" spans="1:2">
      <c r="A43" s="3"/>
      <c r="B43" s="3"/>
    </row>
    <row r="44" spans="1:2">
      <c r="A44" s="3"/>
      <c r="B44" s="3"/>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row r="143" spans="1:2">
      <c r="A143" s="3"/>
      <c r="B143" s="3"/>
    </row>
    <row r="144" spans="1:2">
      <c r="A144" s="3"/>
      <c r="B144" s="3"/>
    </row>
    <row r="145" spans="1:2">
      <c r="A145" s="3"/>
      <c r="B145" s="3"/>
    </row>
    <row r="146" spans="1:2">
      <c r="A146" s="3"/>
      <c r="B146" s="3"/>
    </row>
    <row r="147" spans="1:2">
      <c r="A147" s="3"/>
      <c r="B147" s="3"/>
    </row>
    <row r="148" spans="1:2">
      <c r="A148" s="3"/>
      <c r="B148" s="3"/>
    </row>
    <row r="149" spans="1:2">
      <c r="A149" s="3"/>
      <c r="B149" s="3"/>
    </row>
    <row r="150" spans="1:2">
      <c r="A150" s="3"/>
      <c r="B150" s="3"/>
    </row>
    <row r="151" spans="1:2">
      <c r="A151" s="3"/>
      <c r="B151" s="3"/>
    </row>
    <row r="152" spans="1:2">
      <c r="A152" s="3"/>
      <c r="B152" s="3"/>
    </row>
    <row r="153" spans="1:2">
      <c r="A153" s="3"/>
      <c r="B153" s="3"/>
    </row>
    <row r="154" spans="1:2">
      <c r="A154" s="3"/>
      <c r="B154" s="3"/>
    </row>
    <row r="155" spans="1:2">
      <c r="A155" s="3"/>
      <c r="B155" s="3"/>
    </row>
    <row r="156" spans="1:2">
      <c r="A156" s="3"/>
      <c r="B156" s="3"/>
    </row>
    <row r="157" spans="1:2">
      <c r="A157" s="3"/>
      <c r="B157" s="3"/>
    </row>
    <row r="158" spans="1:2">
      <c r="A158" s="3"/>
      <c r="B158" s="3"/>
    </row>
    <row r="159" spans="1:2">
      <c r="A159" s="3"/>
      <c r="B159" s="3"/>
    </row>
    <row r="160" spans="1:2">
      <c r="A160" s="3"/>
      <c r="B160" s="3"/>
    </row>
    <row r="161" spans="1:2">
      <c r="A161" s="3"/>
      <c r="B161" s="3"/>
    </row>
    <row r="162" spans="1:2">
      <c r="A162" s="3"/>
      <c r="B162" s="3"/>
    </row>
    <row r="163" spans="1:2">
      <c r="A163" s="3"/>
      <c r="B163" s="3"/>
    </row>
    <row r="164" spans="1:2">
      <c r="A164" s="3"/>
      <c r="B164" s="3"/>
    </row>
    <row r="165" spans="1:2">
      <c r="A165" s="3"/>
      <c r="B165" s="3"/>
    </row>
    <row r="166" spans="1:2">
      <c r="A166" s="3"/>
      <c r="B166" s="3"/>
    </row>
    <row r="167" spans="1:2">
      <c r="A167" s="3"/>
      <c r="B167" s="3"/>
    </row>
    <row r="168" spans="1:2">
      <c r="A168" s="3"/>
      <c r="B168" s="3"/>
    </row>
    <row r="169" spans="1:2">
      <c r="A169" s="3"/>
      <c r="B169" s="3"/>
    </row>
    <row r="170" spans="1:2">
      <c r="A170" s="3"/>
      <c r="B170" s="3"/>
    </row>
    <row r="171" spans="1:2">
      <c r="A171" s="3"/>
      <c r="B171" s="3"/>
    </row>
    <row r="172" spans="1:2">
      <c r="A172" s="3"/>
      <c r="B172" s="3"/>
    </row>
    <row r="173" spans="1:2">
      <c r="A173" s="3"/>
      <c r="B173" s="3"/>
    </row>
    <row r="174" spans="1:2">
      <c r="A174" s="3"/>
      <c r="B174" s="3"/>
    </row>
    <row r="175" spans="1:2">
      <c r="A175" s="3"/>
      <c r="B175" s="3"/>
    </row>
    <row r="176" spans="1:2">
      <c r="A176" s="3"/>
      <c r="B176" s="3"/>
    </row>
    <row r="177" spans="1:2">
      <c r="A177" s="3"/>
      <c r="B177" s="3"/>
    </row>
    <row r="178" spans="1:2">
      <c r="A178" s="3"/>
      <c r="B178" s="3"/>
    </row>
    <row r="179" spans="1:2">
      <c r="A179" s="3"/>
      <c r="B179" s="3"/>
    </row>
    <row r="180" spans="1:2">
      <c r="A180" s="3"/>
      <c r="B180" s="3"/>
    </row>
    <row r="181" spans="1:2">
      <c r="A181" s="3"/>
      <c r="B181" s="3"/>
    </row>
    <row r="182" spans="1:2">
      <c r="A182" s="3"/>
      <c r="B182" s="3"/>
    </row>
    <row r="183" spans="1:2">
      <c r="A183" s="3"/>
      <c r="B183" s="3"/>
    </row>
    <row r="184" spans="1:2">
      <c r="A184" s="3"/>
      <c r="B184" s="3"/>
    </row>
    <row r="185" spans="1:2">
      <c r="A185" s="3"/>
      <c r="B185" s="3"/>
    </row>
    <row r="186" spans="1:2">
      <c r="A186" s="3"/>
      <c r="B186" s="3"/>
    </row>
    <row r="187" spans="1:2">
      <c r="A187" s="3"/>
      <c r="B187" s="3"/>
    </row>
    <row r="188" spans="1:2">
      <c r="A188" s="3"/>
      <c r="B188" s="3"/>
    </row>
    <row r="189" spans="1:2">
      <c r="A189" s="3"/>
      <c r="B189" s="3"/>
    </row>
    <row r="190" spans="1:2">
      <c r="A190" s="3"/>
      <c r="B190" s="3"/>
    </row>
    <row r="191" spans="1:2">
      <c r="A191" s="3"/>
      <c r="B191" s="3"/>
    </row>
    <row r="192" spans="1:2">
      <c r="A192" s="3"/>
      <c r="B192" s="3"/>
    </row>
    <row r="193" spans="1:2">
      <c r="A193" s="3"/>
      <c r="B193" s="3"/>
    </row>
    <row r="194" spans="1:2">
      <c r="A194" s="3"/>
      <c r="B194" s="3"/>
    </row>
    <row r="195" spans="1:2">
      <c r="A195" s="3"/>
      <c r="B195" s="3"/>
    </row>
    <row r="196" spans="1:2">
      <c r="A196" s="3"/>
      <c r="B196" s="3"/>
    </row>
    <row r="197" spans="1:2">
      <c r="A197" s="3"/>
      <c r="B197" s="3"/>
    </row>
    <row r="198" spans="1:2">
      <c r="A198" s="3"/>
      <c r="B198" s="3"/>
    </row>
    <row r="199" spans="1:2">
      <c r="A199" s="3"/>
      <c r="B199" s="3"/>
    </row>
    <row r="200" spans="1:2">
      <c r="A200" s="3"/>
      <c r="B200" s="3"/>
    </row>
    <row r="201" spans="1:2">
      <c r="A201" s="3"/>
      <c r="B201" s="3"/>
    </row>
    <row r="202" spans="1:2">
      <c r="A202" s="3"/>
      <c r="B202" s="3"/>
    </row>
    <row r="203" spans="1:2">
      <c r="A203" s="3"/>
      <c r="B203" s="3"/>
    </row>
    <row r="204" spans="1:2">
      <c r="A204" s="3"/>
      <c r="B204" s="3"/>
    </row>
    <row r="205" spans="1:2">
      <c r="A205" s="3"/>
      <c r="B205" s="3"/>
    </row>
    <row r="206" spans="1:2">
      <c r="A206" s="3"/>
      <c r="B206" s="3"/>
    </row>
    <row r="207" spans="1:2">
      <c r="A207" s="3"/>
      <c r="B207" s="3"/>
    </row>
    <row r="208" spans="1:2">
      <c r="A208" s="3"/>
      <c r="B208" s="3"/>
    </row>
    <row r="209" spans="1:2">
      <c r="A209" s="3"/>
      <c r="B209" s="3"/>
    </row>
    <row r="210" spans="1:2">
      <c r="A210" s="3"/>
      <c r="B210" s="3"/>
    </row>
    <row r="211" spans="1:2">
      <c r="A211" s="3"/>
      <c r="B211" s="3"/>
    </row>
    <row r="212" spans="1:2">
      <c r="A212" s="3"/>
      <c r="B212" s="3"/>
    </row>
    <row r="213" spans="1:2">
      <c r="A213" s="3"/>
      <c r="B213" s="3"/>
    </row>
    <row r="214" spans="1:2">
      <c r="A214" s="3"/>
      <c r="B214" s="3"/>
    </row>
    <row r="215" spans="1:2">
      <c r="A215" s="3"/>
      <c r="B215" s="3"/>
    </row>
    <row r="216" spans="1:2">
      <c r="A216" s="3"/>
      <c r="B216" s="3"/>
    </row>
    <row r="217" spans="1:2">
      <c r="A217" s="3"/>
      <c r="B217" s="3"/>
    </row>
    <row r="218" spans="1:2">
      <c r="A218" s="3"/>
      <c r="B218" s="3"/>
    </row>
    <row r="219" spans="1:2">
      <c r="A219" s="3"/>
      <c r="B219" s="3"/>
    </row>
    <row r="220" spans="1:2">
      <c r="A220" s="3"/>
      <c r="B220" s="3"/>
    </row>
    <row r="221" spans="1:2">
      <c r="A221" s="3"/>
      <c r="B221" s="3"/>
    </row>
    <row r="222" spans="1:2">
      <c r="A222" s="3"/>
      <c r="B222" s="3"/>
    </row>
    <row r="223" spans="1:2">
      <c r="A223" s="3"/>
      <c r="B223" s="3"/>
    </row>
    <row r="224" spans="1:2">
      <c r="A224" s="3"/>
      <c r="B224" s="3"/>
    </row>
    <row r="225" spans="1:2">
      <c r="A225" s="3"/>
      <c r="B225" s="3"/>
    </row>
    <row r="226" spans="1:2">
      <c r="A226" s="3"/>
      <c r="B226" s="3"/>
    </row>
    <row r="227" spans="1:2">
      <c r="A227" s="3"/>
      <c r="B227" s="3"/>
    </row>
    <row r="228" spans="1:2">
      <c r="A228" s="3"/>
      <c r="B228" s="3"/>
    </row>
    <row r="229" spans="1:2">
      <c r="A229" s="3"/>
      <c r="B229" s="3"/>
    </row>
    <row r="230" spans="1:2">
      <c r="A230" s="3"/>
      <c r="B230" s="3"/>
    </row>
    <row r="231" spans="1:2">
      <c r="A231" s="3"/>
      <c r="B231" s="3"/>
    </row>
    <row r="232" spans="1:2">
      <c r="A232" s="3"/>
      <c r="B232" s="3"/>
    </row>
    <row r="233" spans="1:2">
      <c r="A233" s="3"/>
      <c r="B233" s="3"/>
    </row>
    <row r="234" spans="1:2">
      <c r="A234" s="3"/>
      <c r="B234" s="3"/>
    </row>
    <row r="235" spans="1:2">
      <c r="A235" s="3"/>
      <c r="B235" s="3"/>
    </row>
    <row r="236" spans="1:2">
      <c r="A236" s="3"/>
      <c r="B236" s="3"/>
    </row>
    <row r="237" spans="1:2">
      <c r="A237" s="3"/>
      <c r="B237" s="3"/>
    </row>
    <row r="238" spans="1:2">
      <c r="A238" s="3"/>
      <c r="B238" s="3"/>
    </row>
    <row r="239" spans="1:2">
      <c r="A239" s="3"/>
      <c r="B239" s="3"/>
    </row>
    <row r="240" spans="1:2">
      <c r="A240" s="3"/>
      <c r="B240" s="3"/>
    </row>
    <row r="241" spans="1:2">
      <c r="A241" s="3"/>
      <c r="B241" s="3"/>
    </row>
    <row r="242" spans="1:2">
      <c r="A242" s="3"/>
      <c r="B242" s="3"/>
    </row>
    <row r="243" spans="1:2">
      <c r="A243" s="3"/>
      <c r="B243" s="3"/>
    </row>
    <row r="244" spans="1:2">
      <c r="A244" s="3"/>
      <c r="B244" s="3"/>
    </row>
    <row r="245" spans="1:2">
      <c r="A245" s="3"/>
      <c r="B245" s="3"/>
    </row>
    <row r="246" spans="1:2">
      <c r="A246" s="3"/>
      <c r="B246" s="3"/>
    </row>
    <row r="247" spans="1:2">
      <c r="A247" s="3"/>
      <c r="B247" s="3"/>
    </row>
    <row r="248" spans="1:2">
      <c r="A248" s="3"/>
      <c r="B248" s="3"/>
    </row>
    <row r="249" spans="1:2">
      <c r="A249" s="3"/>
      <c r="B249" s="3"/>
    </row>
    <row r="250" spans="1:2">
      <c r="A250" s="3"/>
      <c r="B250" s="3"/>
    </row>
    <row r="251" spans="1:2">
      <c r="A251" s="3"/>
      <c r="B251" s="3"/>
    </row>
    <row r="252" spans="1:2">
      <c r="A252" s="3"/>
      <c r="B252" s="3"/>
    </row>
    <row r="253" spans="1:2">
      <c r="A253" s="3"/>
      <c r="B253" s="3"/>
    </row>
    <row r="254" spans="1:2">
      <c r="A254" s="3"/>
      <c r="B254" s="3"/>
    </row>
    <row r="255" spans="1:2">
      <c r="A255" s="3"/>
      <c r="B255" s="3"/>
    </row>
    <row r="256" spans="1:2">
      <c r="A256" s="3"/>
      <c r="B256" s="3"/>
    </row>
  </sheetData>
  <mergeCells count="12">
    <mergeCell ref="A34:B34"/>
    <mergeCell ref="A30:B30"/>
    <mergeCell ref="A35:B35"/>
    <mergeCell ref="A1:B1"/>
    <mergeCell ref="A5:B5"/>
    <mergeCell ref="A32:B32"/>
    <mergeCell ref="A33:B33"/>
    <mergeCell ref="A31:B31"/>
    <mergeCell ref="A2:B2"/>
    <mergeCell ref="A4:B4"/>
    <mergeCell ref="A6:B6"/>
    <mergeCell ref="A3:B3"/>
  </mergeCells>
  <phoneticPr fontId="3" type="noConversion"/>
  <pageMargins left="0.75" right="0.75" top="1" bottom="1" header="0.5" footer="0.5"/>
  <pageSetup scale="63" fitToHeight="2" orientation="portrait"/>
  <headerFooter alignWithMargins="0"/>
  <rowBreaks count="1" manualBreakCount="1">
    <brk id="18" max="1"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349"/>
  <sheetViews>
    <sheetView zoomScaleNormal="100" zoomScaleSheetLayoutView="50" workbookViewId="0">
      <pane xSplit="1" ySplit="3" topLeftCell="B64" activePane="bottomRight" state="frozen"/>
      <selection pane="topRight" activeCell="B1" sqref="B1"/>
      <selection pane="bottomLeft" activeCell="A5" sqref="A5"/>
      <selection pane="bottomRight" activeCell="Q19" sqref="Q19"/>
    </sheetView>
  </sheetViews>
  <sheetFormatPr baseColWidth="10" defaultColWidth="9.3984375" defaultRowHeight="16"/>
  <cols>
    <col min="1" max="1" width="45.19921875" style="8" customWidth="1"/>
    <col min="2" max="2" width="14.19921875" style="3" customWidth="1"/>
    <col min="3" max="3" width="16.3984375" style="3" customWidth="1"/>
    <col min="4" max="4" width="17.3984375" style="3" customWidth="1"/>
    <col min="5" max="5" width="12.3984375" style="3" customWidth="1"/>
    <col min="6" max="6" width="13.59765625" style="19" customWidth="1"/>
    <col min="7" max="7" width="10.796875" style="21" customWidth="1"/>
    <col min="8" max="8" width="10.796875" style="3" customWidth="1"/>
    <col min="9" max="9" width="10.796875" style="19" customWidth="1"/>
    <col min="10" max="13" width="10.796875" style="3" customWidth="1"/>
    <col min="14" max="16" width="10.796875" style="19" customWidth="1"/>
    <col min="17" max="17" width="29.3984375" style="3" customWidth="1"/>
    <col min="18" max="18" width="9.3984375" style="3"/>
    <col min="19" max="19" width="12.59765625" style="3" bestFit="1" customWidth="1"/>
    <col min="20" max="16384" width="9.3984375" style="3"/>
  </cols>
  <sheetData>
    <row r="1" spans="1:17" s="8" customFormat="1">
      <c r="A1" s="41" t="s">
        <v>7</v>
      </c>
      <c r="C1" s="9"/>
      <c r="D1" s="9"/>
      <c r="E1" s="9"/>
      <c r="F1" s="10"/>
      <c r="G1" s="10"/>
      <c r="H1" s="10"/>
      <c r="I1" s="10"/>
      <c r="J1" s="10"/>
      <c r="K1" s="10"/>
      <c r="L1" s="10"/>
      <c r="M1" s="10"/>
      <c r="N1" s="10"/>
      <c r="O1" s="10"/>
      <c r="P1" s="10"/>
      <c r="Q1" s="10"/>
    </row>
    <row r="2" spans="1:17" s="8" customFormat="1" ht="15" customHeight="1">
      <c r="A2" s="11"/>
      <c r="B2" s="11"/>
      <c r="C2" s="11"/>
      <c r="D2" s="11"/>
      <c r="E2" s="11"/>
      <c r="F2" s="12"/>
      <c r="G2" s="13"/>
      <c r="H2" s="11"/>
      <c r="I2" s="12"/>
      <c r="J2" s="11"/>
      <c r="K2" s="11"/>
      <c r="L2" s="11"/>
      <c r="M2" s="11"/>
      <c r="N2" s="12"/>
      <c r="O2" s="12"/>
      <c r="P2" s="12"/>
      <c r="Q2" s="11"/>
    </row>
    <row r="3" spans="1:17" s="16" customFormat="1" ht="35.25" customHeight="1">
      <c r="A3" s="14"/>
      <c r="B3" s="14" t="s">
        <v>136</v>
      </c>
      <c r="C3" s="14" t="s">
        <v>138</v>
      </c>
      <c r="D3" s="14" t="s">
        <v>139</v>
      </c>
      <c r="E3" s="14" t="s">
        <v>137</v>
      </c>
      <c r="F3" s="15" t="s">
        <v>26</v>
      </c>
      <c r="G3" s="15" t="s">
        <v>29</v>
      </c>
      <c r="H3" s="15" t="s">
        <v>30</v>
      </c>
      <c r="I3" s="15" t="s">
        <v>33</v>
      </c>
      <c r="J3" s="15" t="s">
        <v>34</v>
      </c>
      <c r="K3" s="15" t="s">
        <v>35</v>
      </c>
      <c r="L3" s="15" t="s">
        <v>36</v>
      </c>
      <c r="M3" s="15" t="s">
        <v>37</v>
      </c>
      <c r="N3" s="15" t="s">
        <v>27</v>
      </c>
      <c r="O3" s="15" t="s">
        <v>32</v>
      </c>
      <c r="P3" s="15" t="s">
        <v>28</v>
      </c>
      <c r="Q3" s="15" t="s">
        <v>31</v>
      </c>
    </row>
    <row r="4" spans="1:17" s="16" customFormat="1" ht="47.25" customHeight="1">
      <c r="A4" s="40" t="s">
        <v>411</v>
      </c>
      <c r="F4" s="25"/>
      <c r="G4" s="25"/>
      <c r="H4" s="25"/>
      <c r="I4" s="25"/>
      <c r="J4" s="25"/>
      <c r="K4" s="25"/>
      <c r="L4" s="25"/>
      <c r="M4" s="25"/>
      <c r="N4" s="25"/>
      <c r="O4" s="25"/>
      <c r="P4" s="25"/>
      <c r="Q4" s="25"/>
    </row>
    <row r="5" spans="1:17" s="8" customFormat="1" ht="17">
      <c r="A5" s="18" t="s">
        <v>22</v>
      </c>
      <c r="B5" s="45">
        <f t="shared" ref="B5:B18" si="0">SUM(F5:Q5)</f>
        <v>103476.07197882359</v>
      </c>
      <c r="C5" s="45">
        <f t="shared" ref="C5:C18" si="1">SUM(F5:H5)</f>
        <v>18005.164936214183</v>
      </c>
      <c r="D5" s="45">
        <f t="shared" ref="D5:D18" si="2">SUM(I5:M5)</f>
        <v>12619.303873609409</v>
      </c>
      <c r="E5" s="45">
        <f t="shared" ref="E5:E18" si="3">SUM(N5:Q5)</f>
        <v>72851.603168999995</v>
      </c>
      <c r="F5" s="45">
        <f>SUM(F6:F9)</f>
        <v>2380.7051937092292</v>
      </c>
      <c r="G5" s="45">
        <f t="shared" ref="G5:P5" si="4">SUM(G6:G9)</f>
        <v>2752.9423129049565</v>
      </c>
      <c r="H5" s="45">
        <f t="shared" si="4"/>
        <v>12871.517429599999</v>
      </c>
      <c r="I5" s="45">
        <f t="shared" si="4"/>
        <v>331.00639810339652</v>
      </c>
      <c r="J5" s="45">
        <f t="shared" si="4"/>
        <v>1474.805726497528</v>
      </c>
      <c r="K5" s="45">
        <f t="shared" si="4"/>
        <v>4705.0385497220368</v>
      </c>
      <c r="L5" s="45">
        <f t="shared" si="4"/>
        <v>2021.1798724052971</v>
      </c>
      <c r="M5" s="45">
        <f t="shared" si="4"/>
        <v>4087.2733268811517</v>
      </c>
      <c r="N5" s="45">
        <f t="shared" si="4"/>
        <v>14120.701245000002</v>
      </c>
      <c r="O5" s="45">
        <f t="shared" si="4"/>
        <v>17121.210494999996</v>
      </c>
      <c r="P5" s="45">
        <f t="shared" si="4"/>
        <v>4582.979429</v>
      </c>
      <c r="Q5" s="45">
        <f>xCall!C17/1000000</f>
        <v>37026.712</v>
      </c>
    </row>
    <row r="6" spans="1:17" s="8" customFormat="1" ht="17">
      <c r="A6" s="34" t="s">
        <v>23</v>
      </c>
      <c r="B6" s="45">
        <f t="shared" si="0"/>
        <v>5020.6469999999999</v>
      </c>
      <c r="C6" s="45">
        <f t="shared" si="1"/>
        <v>1415</v>
      </c>
      <c r="D6" s="45">
        <f t="shared" si="2"/>
        <v>1033</v>
      </c>
      <c r="E6" s="45">
        <f t="shared" si="3"/>
        <v>2572.6469999999999</v>
      </c>
      <c r="F6" s="27">
        <v>250</v>
      </c>
      <c r="G6" s="27">
        <v>178</v>
      </c>
      <c r="H6" s="27">
        <v>987</v>
      </c>
      <c r="I6" s="27">
        <v>10</v>
      </c>
      <c r="J6" s="27">
        <v>150</v>
      </c>
      <c r="K6" s="27">
        <v>390</v>
      </c>
      <c r="L6" s="27">
        <v>185</v>
      </c>
      <c r="M6" s="27">
        <v>298</v>
      </c>
      <c r="N6" s="27">
        <v>1100</v>
      </c>
      <c r="O6" s="27">
        <v>450</v>
      </c>
      <c r="P6" s="27">
        <v>450</v>
      </c>
      <c r="Q6" s="45">
        <f>xCall!C18/1000000</f>
        <v>572.64700000000005</v>
      </c>
    </row>
    <row r="7" spans="1:17" s="8" customFormat="1" ht="17">
      <c r="A7" s="34" t="s">
        <v>86</v>
      </c>
      <c r="B7" s="45">
        <f t="shared" si="0"/>
        <v>15848.934999999999</v>
      </c>
      <c r="C7" s="45">
        <f t="shared" si="1"/>
        <v>568</v>
      </c>
      <c r="D7" s="45">
        <f t="shared" si="2"/>
        <v>1021</v>
      </c>
      <c r="E7" s="45">
        <f t="shared" si="3"/>
        <v>14259.934999999999</v>
      </c>
      <c r="F7" s="27">
        <v>131</v>
      </c>
      <c r="G7" s="27">
        <v>85</v>
      </c>
      <c r="H7" s="27">
        <v>352</v>
      </c>
      <c r="I7" s="27">
        <v>16</v>
      </c>
      <c r="J7" s="27">
        <v>112</v>
      </c>
      <c r="K7" s="27">
        <v>407</v>
      </c>
      <c r="L7" s="27">
        <v>143</v>
      </c>
      <c r="M7" s="27">
        <v>343</v>
      </c>
      <c r="N7" s="27">
        <v>1892</v>
      </c>
      <c r="O7" s="27">
        <v>780</v>
      </c>
      <c r="P7" s="27">
        <v>921</v>
      </c>
      <c r="Q7" s="45">
        <f>xCall!C19/1000000</f>
        <v>10666.934999999999</v>
      </c>
    </row>
    <row r="8" spans="1:17" ht="17">
      <c r="A8" s="34" t="s">
        <v>359</v>
      </c>
      <c r="B8" s="45">
        <f t="shared" si="0"/>
        <v>71444.894114847557</v>
      </c>
      <c r="C8" s="45">
        <f t="shared" si="1"/>
        <v>14627.461380355533</v>
      </c>
      <c r="D8" s="45">
        <f t="shared" si="2"/>
        <v>9981.075021204113</v>
      </c>
      <c r="E8" s="45">
        <f t="shared" si="3"/>
        <v>46836.357713287915</v>
      </c>
      <c r="F8" s="45">
        <f>F36+F39-F43</f>
        <v>1591.8733035051191</v>
      </c>
      <c r="G8" s="45">
        <f t="shared" ref="G8:P8" si="5">G36+G39-G43</f>
        <v>2315.0706472504162</v>
      </c>
      <c r="H8" s="45">
        <f t="shared" si="5"/>
        <v>10720.517429599999</v>
      </c>
      <c r="I8" s="45">
        <f>I36+I39-I43</f>
        <v>304.00639810339652</v>
      </c>
      <c r="J8" s="45">
        <f t="shared" si="5"/>
        <v>1020.805726497528</v>
      </c>
      <c r="K8" s="45">
        <f t="shared" si="5"/>
        <v>3854.7102397220365</v>
      </c>
      <c r="L8" s="45">
        <f t="shared" si="5"/>
        <v>1401.8883999999998</v>
      </c>
      <c r="M8" s="45">
        <f t="shared" si="5"/>
        <v>3399.6642568811517</v>
      </c>
      <c r="N8" s="45">
        <f t="shared" si="5"/>
        <v>10937.328100000002</v>
      </c>
      <c r="O8" s="45">
        <f t="shared" si="5"/>
        <v>15622.086799999999</v>
      </c>
      <c r="P8" s="45">
        <f t="shared" si="5"/>
        <v>3111.7515000000003</v>
      </c>
      <c r="Q8" s="45">
        <f>xCall!C20/1000000</f>
        <v>17165.191313287916</v>
      </c>
    </row>
    <row r="9" spans="1:17" ht="17">
      <c r="A9" s="34" t="s">
        <v>360</v>
      </c>
      <c r="B9" s="45">
        <f>SUM(F9:Q9)</f>
        <v>11161.595863976028</v>
      </c>
      <c r="C9" s="45">
        <f t="shared" si="1"/>
        <v>1394.7035558586504</v>
      </c>
      <c r="D9" s="45">
        <f t="shared" si="2"/>
        <v>584.22885240529729</v>
      </c>
      <c r="E9" s="45">
        <f t="shared" si="3"/>
        <v>9182.6634557120815</v>
      </c>
      <c r="F9" s="27">
        <v>407.83189020411015</v>
      </c>
      <c r="G9" s="27">
        <v>174.87166565454035</v>
      </c>
      <c r="H9" s="27">
        <v>812</v>
      </c>
      <c r="I9" s="27">
        <v>1</v>
      </c>
      <c r="J9" s="27">
        <v>192</v>
      </c>
      <c r="K9" s="27">
        <v>53.328310000000002</v>
      </c>
      <c r="L9" s="27">
        <v>291.29147240529733</v>
      </c>
      <c r="M9" s="27">
        <v>46.609070000000003</v>
      </c>
      <c r="N9" s="27">
        <v>191.37314499999999</v>
      </c>
      <c r="O9" s="27">
        <v>269.123695</v>
      </c>
      <c r="P9" s="27">
        <v>100.227929</v>
      </c>
      <c r="Q9" s="45">
        <f>xCall!C21/1000000</f>
        <v>8621.9386867120811</v>
      </c>
    </row>
    <row r="10" spans="1:17" ht="17">
      <c r="A10" s="18" t="s">
        <v>24</v>
      </c>
      <c r="B10" s="45">
        <f t="shared" si="0"/>
        <v>101040.09097882359</v>
      </c>
      <c r="C10" s="45">
        <f t="shared" si="1"/>
        <v>18005.164936214183</v>
      </c>
      <c r="D10" s="45">
        <f t="shared" si="2"/>
        <v>12619.303873609409</v>
      </c>
      <c r="E10" s="45">
        <f t="shared" si="3"/>
        <v>70415.622168999995</v>
      </c>
      <c r="F10" s="45">
        <f t="shared" ref="F10:P10" si="6">F5</f>
        <v>2380.7051937092292</v>
      </c>
      <c r="G10" s="45">
        <f t="shared" si="6"/>
        <v>2752.9423129049565</v>
      </c>
      <c r="H10" s="45">
        <f t="shared" si="6"/>
        <v>12871.517429599999</v>
      </c>
      <c r="I10" s="45">
        <f t="shared" si="6"/>
        <v>331.00639810339652</v>
      </c>
      <c r="J10" s="45">
        <f t="shared" si="6"/>
        <v>1474.805726497528</v>
      </c>
      <c r="K10" s="45">
        <f t="shared" si="6"/>
        <v>4705.0385497220368</v>
      </c>
      <c r="L10" s="45">
        <f t="shared" si="6"/>
        <v>2021.1798724052971</v>
      </c>
      <c r="M10" s="45">
        <f t="shared" si="6"/>
        <v>4087.2733268811517</v>
      </c>
      <c r="N10" s="45">
        <f t="shared" si="6"/>
        <v>14120.701245000002</v>
      </c>
      <c r="O10" s="45">
        <f t="shared" si="6"/>
        <v>17121.210494999996</v>
      </c>
      <c r="P10" s="45">
        <f t="shared" si="6"/>
        <v>4582.979429</v>
      </c>
      <c r="Q10" s="45">
        <f>xCall!C22/1000000</f>
        <v>34590.731</v>
      </c>
    </row>
    <row r="11" spans="1:17" ht="17">
      <c r="A11" s="34" t="s">
        <v>25</v>
      </c>
      <c r="B11" s="45">
        <f t="shared" si="0"/>
        <v>95654.639918560628</v>
      </c>
      <c r="C11" s="45">
        <f t="shared" si="1"/>
        <v>17497.631190762972</v>
      </c>
      <c r="D11" s="45">
        <f t="shared" si="2"/>
        <v>11402.299709370427</v>
      </c>
      <c r="E11" s="45">
        <f t="shared" si="3"/>
        <v>66754.709018427224</v>
      </c>
      <c r="F11" s="45">
        <f>SUM(F12,F15)</f>
        <v>2299.3139770253283</v>
      </c>
      <c r="G11" s="45">
        <f t="shared" ref="G11:P11" si="7">SUM(G12,G15)</f>
        <v>2687.3880175382214</v>
      </c>
      <c r="H11" s="45">
        <f t="shared" si="7"/>
        <v>12510.929196199424</v>
      </c>
      <c r="I11" s="45">
        <f t="shared" si="7"/>
        <v>293.72838414362076</v>
      </c>
      <c r="J11" s="45">
        <f t="shared" si="7"/>
        <v>1472.3552914326046</v>
      </c>
      <c r="K11" s="45">
        <f t="shared" si="7"/>
        <v>4178.232327004006</v>
      </c>
      <c r="L11" s="45">
        <f t="shared" si="7"/>
        <v>1965.034569791037</v>
      </c>
      <c r="M11" s="45">
        <f t="shared" si="7"/>
        <v>3492.9491369991583</v>
      </c>
      <c r="N11" s="45">
        <f t="shared" si="7"/>
        <v>12457.662454839889</v>
      </c>
      <c r="O11" s="45">
        <f t="shared" si="7"/>
        <v>15406.572214377031</v>
      </c>
      <c r="P11" s="45">
        <f t="shared" si="7"/>
        <v>4299.7433492103019</v>
      </c>
      <c r="Q11" s="45">
        <f>xCall!C23/1000000</f>
        <v>34590.731</v>
      </c>
    </row>
    <row r="12" spans="1:17" ht="17">
      <c r="A12" s="65" t="s">
        <v>254</v>
      </c>
      <c r="B12" s="45">
        <f t="shared" ref="B12:B17" si="8">SUM(F12:Q12)</f>
        <v>29575</v>
      </c>
      <c r="C12" s="45">
        <f t="shared" si="1"/>
        <v>8027</v>
      </c>
      <c r="D12" s="45">
        <f t="shared" si="2"/>
        <v>5366</v>
      </c>
      <c r="E12" s="45">
        <f t="shared" si="3"/>
        <v>16182</v>
      </c>
      <c r="F12" s="45">
        <f>SUM(F13:F14)</f>
        <v>1124</v>
      </c>
      <c r="G12" s="45">
        <f t="shared" ref="G12:P12" si="9">SUM(G13:G14)</f>
        <v>982</v>
      </c>
      <c r="H12" s="45">
        <f t="shared" si="9"/>
        <v>5921</v>
      </c>
      <c r="I12" s="45">
        <f t="shared" si="9"/>
        <v>137</v>
      </c>
      <c r="J12" s="45">
        <f t="shared" si="9"/>
        <v>638</v>
      </c>
      <c r="K12" s="45">
        <f t="shared" si="9"/>
        <v>2211</v>
      </c>
      <c r="L12" s="45">
        <f t="shared" si="9"/>
        <v>782</v>
      </c>
      <c r="M12" s="45">
        <f t="shared" si="9"/>
        <v>1598</v>
      </c>
      <c r="N12" s="45">
        <f t="shared" si="9"/>
        <v>6801</v>
      </c>
      <c r="O12" s="45">
        <f t="shared" si="9"/>
        <v>7290</v>
      </c>
      <c r="P12" s="45">
        <f t="shared" si="9"/>
        <v>2091</v>
      </c>
      <c r="Q12" s="45">
        <f>xCall!C24/1000000</f>
        <v>0</v>
      </c>
    </row>
    <row r="13" spans="1:17" ht="17">
      <c r="A13" s="78" t="s">
        <v>371</v>
      </c>
      <c r="B13" s="45">
        <f t="shared" si="8"/>
        <v>11535.89</v>
      </c>
      <c r="C13" s="45">
        <f t="shared" si="1"/>
        <v>5335.6</v>
      </c>
      <c r="D13" s="45">
        <f t="shared" si="2"/>
        <v>2701.0599999999995</v>
      </c>
      <c r="E13" s="45">
        <f t="shared" si="3"/>
        <v>3499.23</v>
      </c>
      <c r="F13" s="28">
        <v>899.2</v>
      </c>
      <c r="G13" s="28">
        <v>883.8</v>
      </c>
      <c r="H13" s="28">
        <v>3552.6</v>
      </c>
      <c r="I13" s="28">
        <v>54.8</v>
      </c>
      <c r="J13" s="28">
        <v>319</v>
      </c>
      <c r="K13" s="28">
        <v>1415.04</v>
      </c>
      <c r="L13" s="28">
        <v>304.98</v>
      </c>
      <c r="M13" s="28">
        <v>607.24</v>
      </c>
      <c r="N13" s="28">
        <v>1768.26</v>
      </c>
      <c r="O13" s="28">
        <v>1166.4000000000001</v>
      </c>
      <c r="P13" s="28">
        <v>564.57000000000005</v>
      </c>
      <c r="Q13" s="45">
        <f>xCall!C25/1000000</f>
        <v>0</v>
      </c>
    </row>
    <row r="14" spans="1:17" ht="17">
      <c r="A14" s="78" t="s">
        <v>372</v>
      </c>
      <c r="B14" s="45">
        <f t="shared" si="8"/>
        <v>18039.11</v>
      </c>
      <c r="C14" s="45">
        <f t="shared" si="1"/>
        <v>2691.4</v>
      </c>
      <c r="D14" s="45">
        <f t="shared" si="2"/>
        <v>2664.94</v>
      </c>
      <c r="E14" s="45">
        <f t="shared" si="3"/>
        <v>12682.77</v>
      </c>
      <c r="F14" s="28">
        <v>224.8</v>
      </c>
      <c r="G14" s="28">
        <v>98.2</v>
      </c>
      <c r="H14" s="28">
        <v>2368.4</v>
      </c>
      <c r="I14" s="28">
        <v>82.2</v>
      </c>
      <c r="J14" s="28">
        <v>319</v>
      </c>
      <c r="K14" s="28">
        <v>795.96</v>
      </c>
      <c r="L14" s="28">
        <v>477.02</v>
      </c>
      <c r="M14" s="28">
        <v>990.76</v>
      </c>
      <c r="N14" s="28">
        <v>5032.74</v>
      </c>
      <c r="O14" s="28">
        <v>6123.6</v>
      </c>
      <c r="P14" s="28">
        <v>1526.43</v>
      </c>
      <c r="Q14" s="45">
        <f>xCall!C26/1000000</f>
        <v>0</v>
      </c>
    </row>
    <row r="15" spans="1:17" ht="17">
      <c r="A15" s="65" t="s">
        <v>255</v>
      </c>
      <c r="B15" s="45">
        <f t="shared" si="8"/>
        <v>66079.639918560628</v>
      </c>
      <c r="C15" s="45">
        <f t="shared" si="1"/>
        <v>9470.6311907629733</v>
      </c>
      <c r="D15" s="45">
        <f t="shared" si="2"/>
        <v>6036.2997093704271</v>
      </c>
      <c r="E15" s="45">
        <f t="shared" si="3"/>
        <v>50572.709018427224</v>
      </c>
      <c r="F15" s="45">
        <f t="shared" ref="F15:P15" si="10">SUM(F16:F17)</f>
        <v>1175.3139770253283</v>
      </c>
      <c r="G15" s="45">
        <f t="shared" si="10"/>
        <v>1705.3880175382214</v>
      </c>
      <c r="H15" s="45">
        <f t="shared" si="10"/>
        <v>6589.929196199424</v>
      </c>
      <c r="I15" s="45">
        <f t="shared" si="10"/>
        <v>156.72838414362076</v>
      </c>
      <c r="J15" s="45">
        <f t="shared" si="10"/>
        <v>834.35529143260464</v>
      </c>
      <c r="K15" s="45">
        <f t="shared" si="10"/>
        <v>1967.232327004006</v>
      </c>
      <c r="L15" s="45">
        <f t="shared" si="10"/>
        <v>1183.034569791037</v>
      </c>
      <c r="M15" s="45">
        <f t="shared" si="10"/>
        <v>1894.9491369991583</v>
      </c>
      <c r="N15" s="45">
        <f t="shared" si="10"/>
        <v>5656.6624548398886</v>
      </c>
      <c r="O15" s="45">
        <f t="shared" si="10"/>
        <v>8116.5722143770308</v>
      </c>
      <c r="P15" s="45">
        <f t="shared" si="10"/>
        <v>2208.7433492103019</v>
      </c>
      <c r="Q15" s="45">
        <f>xCall!C27/1000000</f>
        <v>34590.731</v>
      </c>
    </row>
    <row r="16" spans="1:17" ht="17">
      <c r="A16" s="78" t="s">
        <v>371</v>
      </c>
      <c r="B16" s="45">
        <f t="shared" si="8"/>
        <v>26797.966298606858</v>
      </c>
      <c r="C16" s="45">
        <f t="shared" si="1"/>
        <v>6670.3004623917823</v>
      </c>
      <c r="D16" s="45">
        <f t="shared" si="2"/>
        <v>2778.0755368716195</v>
      </c>
      <c r="E16" s="45">
        <f t="shared" si="3"/>
        <v>17349.590299343454</v>
      </c>
      <c r="F16" s="28">
        <v>952.004321390516</v>
      </c>
      <c r="G16" s="28">
        <v>1500.7414554336349</v>
      </c>
      <c r="H16" s="28">
        <v>4217.5546855676312</v>
      </c>
      <c r="I16" s="28">
        <v>65.825921340320718</v>
      </c>
      <c r="J16" s="28">
        <v>425.52119863062836</v>
      </c>
      <c r="K16" s="28">
        <v>1200.0117194724437</v>
      </c>
      <c r="L16" s="28">
        <v>461.38348221850441</v>
      </c>
      <c r="M16" s="28">
        <v>625.33321520972231</v>
      </c>
      <c r="N16" s="28">
        <v>1527.2988628067699</v>
      </c>
      <c r="O16" s="28">
        <v>1704.4801650191764</v>
      </c>
      <c r="P16" s="28">
        <v>684.71043825519359</v>
      </c>
      <c r="Q16" s="45">
        <f>xCall!C28/1000000</f>
        <v>13433.100833262313</v>
      </c>
    </row>
    <row r="17" spans="1:23" ht="17">
      <c r="A17" s="78" t="s">
        <v>372</v>
      </c>
      <c r="B17" s="45">
        <f t="shared" si="8"/>
        <v>39281.67361995377</v>
      </c>
      <c r="C17" s="45">
        <f t="shared" si="1"/>
        <v>2800.330728371192</v>
      </c>
      <c r="D17" s="45">
        <f t="shared" si="2"/>
        <v>3258.2241724988071</v>
      </c>
      <c r="E17" s="45">
        <f t="shared" si="3"/>
        <v>33223.118719083766</v>
      </c>
      <c r="F17" s="28">
        <v>223.30965563481232</v>
      </c>
      <c r="G17" s="28">
        <v>204.64656210458656</v>
      </c>
      <c r="H17" s="28">
        <v>2372.3745106317929</v>
      </c>
      <c r="I17" s="28">
        <v>90.90246280330004</v>
      </c>
      <c r="J17" s="28">
        <v>408.83409280197628</v>
      </c>
      <c r="K17" s="28">
        <v>767.22060753156234</v>
      </c>
      <c r="L17" s="28">
        <v>721.65108757253256</v>
      </c>
      <c r="M17" s="28">
        <v>1269.615921789436</v>
      </c>
      <c r="N17" s="28">
        <v>4129.3635920331189</v>
      </c>
      <c r="O17" s="28">
        <v>6412.0920493578542</v>
      </c>
      <c r="P17" s="28">
        <v>1524.0329109551083</v>
      </c>
      <c r="Q17" s="45">
        <f>xCall!C29/1000000</f>
        <v>21157.630166737687</v>
      </c>
    </row>
    <row r="18" spans="1:23" ht="17">
      <c r="A18" s="34" t="s">
        <v>131</v>
      </c>
      <c r="B18" s="45">
        <f t="shared" si="0"/>
        <v>5386.2080602629703</v>
      </c>
      <c r="C18" s="45">
        <f t="shared" si="1"/>
        <v>507.53374545121051</v>
      </c>
      <c r="D18" s="45">
        <f t="shared" si="2"/>
        <v>1217.0041642389833</v>
      </c>
      <c r="E18" s="45">
        <f t="shared" si="3"/>
        <v>3661.6701505727765</v>
      </c>
      <c r="F18" s="45">
        <f>F10-F11</f>
        <v>81.391216683900893</v>
      </c>
      <c r="G18" s="45">
        <f t="shared" ref="G18:P18" si="11">G10-G11</f>
        <v>65.554295366735005</v>
      </c>
      <c r="H18" s="45">
        <f t="shared" si="11"/>
        <v>360.58823340057461</v>
      </c>
      <c r="I18" s="45">
        <f t="shared" si="11"/>
        <v>37.278013959775762</v>
      </c>
      <c r="J18" s="45">
        <f t="shared" si="11"/>
        <v>2.4504350649233402</v>
      </c>
      <c r="K18" s="45">
        <f>K10-K11</f>
        <v>526.80622271803077</v>
      </c>
      <c r="L18" s="45">
        <f t="shared" si="11"/>
        <v>56.145302614260117</v>
      </c>
      <c r="M18" s="45">
        <f t="shared" si="11"/>
        <v>594.32418988199333</v>
      </c>
      <c r="N18" s="45">
        <f t="shared" si="11"/>
        <v>1663.0387901601134</v>
      </c>
      <c r="O18" s="45">
        <f t="shared" si="11"/>
        <v>1714.6382806229649</v>
      </c>
      <c r="P18" s="45">
        <f t="shared" si="11"/>
        <v>283.23607978969812</v>
      </c>
      <c r="Q18" s="45">
        <f>xCall!C30/1000000</f>
        <v>0.75700000000000001</v>
      </c>
    </row>
    <row r="19" spans="1:23">
      <c r="A19" s="34"/>
      <c r="B19" s="16"/>
      <c r="C19" s="16"/>
      <c r="D19" s="16"/>
      <c r="E19" s="16"/>
      <c r="F19" s="17"/>
      <c r="G19" s="17"/>
      <c r="H19" s="17"/>
      <c r="I19" s="17"/>
      <c r="J19" s="17"/>
      <c r="K19" s="17"/>
      <c r="L19" s="17"/>
      <c r="M19" s="17"/>
      <c r="N19" s="17"/>
      <c r="O19" s="17"/>
      <c r="P19" s="17"/>
      <c r="Q19" s="45"/>
      <c r="R19" s="16"/>
      <c r="S19" s="16"/>
      <c r="T19" s="16"/>
      <c r="U19" s="16"/>
      <c r="V19" s="16"/>
      <c r="W19" s="16"/>
    </row>
    <row r="20" spans="1:23" ht="17">
      <c r="A20" s="18" t="s">
        <v>355</v>
      </c>
      <c r="B20" s="45">
        <f t="shared" ref="B20:B30" si="12">SUM(F20:Q20)</f>
        <v>1162.6251589406315</v>
      </c>
      <c r="C20" s="45">
        <f t="shared" ref="C20:C30" si="13">SUM(F20:H20)</f>
        <v>-49.78313240343374</v>
      </c>
      <c r="D20" s="45">
        <f t="shared" ref="D20:D30" si="14">SUM(I20:M20)</f>
        <v>147.5538841853095</v>
      </c>
      <c r="E20" s="45">
        <f t="shared" ref="E20:E30" si="15">SUM(N20:Q20)</f>
        <v>1064.8544071587557</v>
      </c>
      <c r="F20" s="28">
        <f>F21+F28-F29+F30</f>
        <v>-30.011853630971817</v>
      </c>
      <c r="G20" s="28">
        <f t="shared" ref="G20:P20" si="16">G21+G28-G29+G30</f>
        <v>-48.251855185426479</v>
      </c>
      <c r="H20" s="28">
        <f t="shared" si="16"/>
        <v>28.480576412964549</v>
      </c>
      <c r="I20" s="28">
        <f t="shared" si="16"/>
        <v>-4.3750093657448339</v>
      </c>
      <c r="J20" s="28">
        <f t="shared" si="16"/>
        <v>24.632488342695822</v>
      </c>
      <c r="K20" s="28">
        <f t="shared" si="16"/>
        <v>32.199169999999995</v>
      </c>
      <c r="L20" s="28">
        <f t="shared" si="16"/>
        <v>43.227545208358514</v>
      </c>
      <c r="M20" s="28">
        <f t="shared" si="16"/>
        <v>51.869689999999991</v>
      </c>
      <c r="N20" s="28">
        <f t="shared" si="16"/>
        <v>212.92521499999992</v>
      </c>
      <c r="O20" s="28">
        <f t="shared" si="16"/>
        <v>486.79468616845605</v>
      </c>
      <c r="P20" s="28">
        <f t="shared" si="16"/>
        <v>80.16350599029974</v>
      </c>
      <c r="Q20" s="45">
        <f>xCall!C32/1000000</f>
        <v>284.971</v>
      </c>
    </row>
    <row r="21" spans="1:23">
      <c r="A21" s="37" t="s">
        <v>346</v>
      </c>
      <c r="B21" s="45">
        <f t="shared" si="12"/>
        <v>1686.4882549406316</v>
      </c>
      <c r="C21" s="45">
        <f t="shared" si="13"/>
        <v>-27.061372403433751</v>
      </c>
      <c r="D21" s="45">
        <f t="shared" si="14"/>
        <v>194.37022018530951</v>
      </c>
      <c r="E21" s="45">
        <f t="shared" si="15"/>
        <v>1519.1794071587556</v>
      </c>
      <c r="F21" s="45">
        <f>F22+F25-F26-F27</f>
        <v>-23.654253630971816</v>
      </c>
      <c r="G21" s="45">
        <f t="shared" ref="G21:P21" si="17">G22+G25-G26-G27</f>
        <v>-47.266895185426478</v>
      </c>
      <c r="H21" s="45">
        <f t="shared" si="17"/>
        <v>43.85977641296455</v>
      </c>
      <c r="I21" s="45">
        <f t="shared" si="17"/>
        <v>-4.9229453657448339</v>
      </c>
      <c r="J21" s="45">
        <f t="shared" si="17"/>
        <v>20.942088342695826</v>
      </c>
      <c r="K21" s="45">
        <f t="shared" si="17"/>
        <v>60.442769999999996</v>
      </c>
      <c r="L21" s="45">
        <f t="shared" si="17"/>
        <v>43.038617208358517</v>
      </c>
      <c r="M21" s="45">
        <f t="shared" si="17"/>
        <v>74.869689999999991</v>
      </c>
      <c r="N21" s="45">
        <f t="shared" si="17"/>
        <v>231.62921499999993</v>
      </c>
      <c r="O21" s="45">
        <f t="shared" si="17"/>
        <v>495.15468616845607</v>
      </c>
      <c r="P21" s="45">
        <f t="shared" si="17"/>
        <v>80.515505990299744</v>
      </c>
      <c r="Q21" s="45">
        <f>xCall!C33/1000000</f>
        <v>711.88</v>
      </c>
    </row>
    <row r="22" spans="1:23" ht="17">
      <c r="A22" s="78" t="s">
        <v>347</v>
      </c>
      <c r="B22" s="45">
        <f t="shared" si="12"/>
        <v>4708.4262885863791</v>
      </c>
      <c r="C22" s="45">
        <f t="shared" si="13"/>
        <v>1110.7077523694811</v>
      </c>
      <c r="D22" s="45">
        <f t="shared" si="14"/>
        <v>661.8002701853095</v>
      </c>
      <c r="E22" s="45">
        <f t="shared" si="15"/>
        <v>2935.9182660315882</v>
      </c>
      <c r="F22" s="45">
        <f>F23-F24</f>
        <v>142.9304409189869</v>
      </c>
      <c r="G22" s="45">
        <f t="shared" ref="G22:P22" si="18">G23-G24</f>
        <v>171.45947929847114</v>
      </c>
      <c r="H22" s="45">
        <f t="shared" si="18"/>
        <v>796.31783215202313</v>
      </c>
      <c r="I22" s="45">
        <f t="shared" si="18"/>
        <v>21.365864634255168</v>
      </c>
      <c r="J22" s="45">
        <f t="shared" si="18"/>
        <v>89.395788342695823</v>
      </c>
      <c r="K22" s="45">
        <f t="shared" si="18"/>
        <v>237</v>
      </c>
      <c r="L22" s="45">
        <f t="shared" si="18"/>
        <v>103.03861720835852</v>
      </c>
      <c r="M22" s="45">
        <f t="shared" si="18"/>
        <v>211</v>
      </c>
      <c r="N22" s="45">
        <f t="shared" si="18"/>
        <v>690.17149999999992</v>
      </c>
      <c r="O22" s="45">
        <f t="shared" si="18"/>
        <v>1064.9565000000002</v>
      </c>
      <c r="P22" s="45">
        <f t="shared" si="18"/>
        <v>267.83026603158794</v>
      </c>
      <c r="Q22" s="45">
        <f>xCall!C34/1000000</f>
        <v>912.96</v>
      </c>
    </row>
    <row r="23" spans="1:23" ht="17">
      <c r="A23" s="95" t="s">
        <v>344</v>
      </c>
      <c r="B23" s="45">
        <f t="shared" si="12"/>
        <v>6998.5569999999998</v>
      </c>
      <c r="C23" s="45">
        <f t="shared" si="13"/>
        <v>1650.0730000000001</v>
      </c>
      <c r="D23" s="45">
        <f t="shared" si="14"/>
        <v>1009.905</v>
      </c>
      <c r="E23" s="45">
        <f t="shared" si="15"/>
        <v>4338.5789999999997</v>
      </c>
      <c r="F23" s="28">
        <v>212.42300000000003</v>
      </c>
      <c r="G23" s="28">
        <v>259.315</v>
      </c>
      <c r="H23" s="28">
        <v>1178.335</v>
      </c>
      <c r="I23" s="28">
        <v>30.375</v>
      </c>
      <c r="J23" s="28">
        <v>135.53</v>
      </c>
      <c r="K23" s="28">
        <v>345</v>
      </c>
      <c r="L23" s="28">
        <v>166</v>
      </c>
      <c r="M23" s="28">
        <v>333</v>
      </c>
      <c r="N23" s="28">
        <v>1152.1714999999999</v>
      </c>
      <c r="O23" s="28">
        <v>1557.9565000000002</v>
      </c>
      <c r="P23" s="28">
        <v>398</v>
      </c>
      <c r="Q23" s="45">
        <f>xCall!C35/1000000</f>
        <v>1230.451</v>
      </c>
    </row>
    <row r="24" spans="1:23" ht="17">
      <c r="A24" s="95" t="s">
        <v>345</v>
      </c>
      <c r="B24" s="45">
        <f t="shared" si="12"/>
        <v>1655.1487114136216</v>
      </c>
      <c r="C24" s="45">
        <f t="shared" si="13"/>
        <v>539.36524763051898</v>
      </c>
      <c r="D24" s="45">
        <f t="shared" si="14"/>
        <v>348.10472981469047</v>
      </c>
      <c r="E24" s="45">
        <f t="shared" si="15"/>
        <v>767.67873396841219</v>
      </c>
      <c r="F24" s="28">
        <v>69.492559081013127</v>
      </c>
      <c r="G24" s="28">
        <v>87.85552070152886</v>
      </c>
      <c r="H24" s="28">
        <v>382.01716784797696</v>
      </c>
      <c r="I24" s="28">
        <v>9.0091353657448305</v>
      </c>
      <c r="J24" s="28">
        <v>46.134211657304185</v>
      </c>
      <c r="K24" s="28">
        <v>108</v>
      </c>
      <c r="L24" s="28">
        <v>62.961382791641483</v>
      </c>
      <c r="M24" s="28">
        <v>122</v>
      </c>
      <c r="N24" s="28">
        <v>462</v>
      </c>
      <c r="O24" s="28">
        <v>493</v>
      </c>
      <c r="P24" s="28">
        <v>130.16973396841209</v>
      </c>
      <c r="Q24" s="45">
        <f>xCall!C36/1000000</f>
        <v>-317.49099999999999</v>
      </c>
    </row>
    <row r="25" spans="1:23" ht="17">
      <c r="A25" s="78" t="s">
        <v>348</v>
      </c>
      <c r="B25" s="45">
        <f t="shared" si="12"/>
        <v>349.52866299999999</v>
      </c>
      <c r="C25" s="45">
        <f t="shared" si="13"/>
        <v>18.058230000000002</v>
      </c>
      <c r="D25" s="45">
        <f t="shared" si="14"/>
        <v>18.179510000000001</v>
      </c>
      <c r="E25" s="45">
        <f t="shared" si="15"/>
        <v>313.29092300000002</v>
      </c>
      <c r="F25" s="28">
        <v>2.41473</v>
      </c>
      <c r="G25" s="28">
        <v>2.7958500000000006</v>
      </c>
      <c r="H25" s="28">
        <v>12.84765</v>
      </c>
      <c r="I25" s="28">
        <v>0.32075000000000009</v>
      </c>
      <c r="J25" s="28">
        <v>1.5463</v>
      </c>
      <c r="K25" s="28">
        <v>4.4427700000000003</v>
      </c>
      <c r="L25" s="28">
        <v>8</v>
      </c>
      <c r="M25" s="28">
        <v>3.8696900000000003</v>
      </c>
      <c r="N25" s="28">
        <v>13.457715</v>
      </c>
      <c r="O25" s="28">
        <v>16.374565</v>
      </c>
      <c r="P25" s="28">
        <v>4.7426430000000002</v>
      </c>
      <c r="Q25" s="45">
        <f>xCall!C37/1000000</f>
        <v>278.71600000000001</v>
      </c>
    </row>
    <row r="26" spans="1:23" ht="17">
      <c r="A26" s="78" t="s">
        <v>349</v>
      </c>
      <c r="B26" s="45">
        <f t="shared" si="12"/>
        <v>1160.6467539425771</v>
      </c>
      <c r="C26" s="45">
        <f t="shared" si="13"/>
        <v>752</v>
      </c>
      <c r="D26" s="45">
        <f t="shared" si="14"/>
        <v>166.60955999999999</v>
      </c>
      <c r="E26" s="45">
        <f t="shared" si="15"/>
        <v>242.03719394257726</v>
      </c>
      <c r="F26" s="28">
        <v>115</v>
      </c>
      <c r="G26" s="28">
        <v>159</v>
      </c>
      <c r="H26" s="28">
        <v>478</v>
      </c>
      <c r="I26" s="28">
        <v>7.609560000000001</v>
      </c>
      <c r="J26" s="28">
        <v>45</v>
      </c>
      <c r="K26" s="28">
        <v>40</v>
      </c>
      <c r="L26" s="28">
        <v>39</v>
      </c>
      <c r="M26" s="28">
        <v>35</v>
      </c>
      <c r="N26" s="28">
        <v>151</v>
      </c>
      <c r="O26" s="28">
        <v>220</v>
      </c>
      <c r="P26" s="28">
        <v>86</v>
      </c>
      <c r="Q26" s="45">
        <f>xCall!C38/1000000</f>
        <v>-214.96280605742274</v>
      </c>
    </row>
    <row r="27" spans="1:23" ht="17">
      <c r="A27" s="78" t="s">
        <v>350</v>
      </c>
      <c r="B27" s="45">
        <f t="shared" si="12"/>
        <v>1251.2279427031701</v>
      </c>
      <c r="C27" s="45">
        <f t="shared" si="13"/>
        <v>403.82735477291499</v>
      </c>
      <c r="D27" s="45">
        <f t="shared" si="14"/>
        <v>319</v>
      </c>
      <c r="E27" s="45">
        <f t="shared" si="15"/>
        <v>528.40058793025514</v>
      </c>
      <c r="F27" s="28">
        <v>53.999424549958711</v>
      </c>
      <c r="G27" s="28">
        <v>62.522224483897617</v>
      </c>
      <c r="H27" s="28">
        <v>287.30570573905862</v>
      </c>
      <c r="I27" s="28">
        <v>19</v>
      </c>
      <c r="J27" s="28">
        <v>25</v>
      </c>
      <c r="K27" s="28">
        <v>141</v>
      </c>
      <c r="L27" s="28">
        <v>29</v>
      </c>
      <c r="M27" s="28">
        <v>105</v>
      </c>
      <c r="N27" s="28">
        <v>321</v>
      </c>
      <c r="O27" s="28">
        <v>366.17637883154424</v>
      </c>
      <c r="P27" s="28">
        <v>106.05740304128818</v>
      </c>
      <c r="Q27" s="45">
        <f>xCall!C39/1000000</f>
        <v>-264.83319394257728</v>
      </c>
    </row>
    <row r="28" spans="1:23" ht="17">
      <c r="A28" s="34" t="s">
        <v>351</v>
      </c>
      <c r="B28" s="45">
        <f t="shared" si="12"/>
        <v>-52.798865202052042</v>
      </c>
      <c r="C28" s="45">
        <f t="shared" si="13"/>
        <v>-13.256</v>
      </c>
      <c r="D28" s="45">
        <f t="shared" si="14"/>
        <v>-0.40000000000000036</v>
      </c>
      <c r="E28" s="45">
        <f t="shared" si="15"/>
        <v>-39.142865202052043</v>
      </c>
      <c r="F28" s="28">
        <v>-3</v>
      </c>
      <c r="G28" s="28">
        <v>-0.25600000000000001</v>
      </c>
      <c r="H28" s="28">
        <v>-10</v>
      </c>
      <c r="I28" s="28">
        <v>1</v>
      </c>
      <c r="J28" s="28">
        <v>0.9</v>
      </c>
      <c r="K28" s="28">
        <v>1.1519999999999999</v>
      </c>
      <c r="L28" s="28">
        <v>1.5479999999999998</v>
      </c>
      <c r="M28" s="28">
        <v>-5</v>
      </c>
      <c r="N28" s="28">
        <v>2</v>
      </c>
      <c r="O28" s="28">
        <v>-2</v>
      </c>
      <c r="P28" s="28">
        <v>6</v>
      </c>
      <c r="Q28" s="45">
        <f>xCall!C40/1000000</f>
        <v>-45.142865202052043</v>
      </c>
    </row>
    <row r="29" spans="1:23" ht="17">
      <c r="A29" s="34" t="s">
        <v>352</v>
      </c>
      <c r="B29" s="45">
        <f t="shared" si="12"/>
        <v>-309.54079999999999</v>
      </c>
      <c r="C29" s="45">
        <f t="shared" si="13"/>
        <v>4.5527999999999995</v>
      </c>
      <c r="D29" s="45">
        <f t="shared" si="14"/>
        <v>17.622399999999999</v>
      </c>
      <c r="E29" s="45">
        <f t="shared" si="15"/>
        <v>-331.71600000000001</v>
      </c>
      <c r="F29" s="28">
        <v>0.35760000000000003</v>
      </c>
      <c r="G29" s="28">
        <v>0.81600000000000006</v>
      </c>
      <c r="H29" s="28">
        <v>3.3791999999999995</v>
      </c>
      <c r="I29" s="28">
        <v>0.4728</v>
      </c>
      <c r="J29" s="28">
        <v>1.2096</v>
      </c>
      <c r="K29" s="28">
        <v>4.3956</v>
      </c>
      <c r="L29" s="28">
        <v>1.5443999999999998</v>
      </c>
      <c r="M29" s="28">
        <v>10</v>
      </c>
      <c r="N29" s="28">
        <v>22.704000000000001</v>
      </c>
      <c r="O29" s="28">
        <v>9.36</v>
      </c>
      <c r="P29" s="28">
        <v>11.352</v>
      </c>
      <c r="Q29" s="45">
        <f>xCall!C41/1000000</f>
        <v>-375.13200000000001</v>
      </c>
    </row>
    <row r="30" spans="1:23" ht="17">
      <c r="A30" s="34" t="s">
        <v>353</v>
      </c>
      <c r="B30" s="45">
        <f t="shared" si="12"/>
        <v>-30.341030797947944</v>
      </c>
      <c r="C30" s="45">
        <f t="shared" si="13"/>
        <v>-4.91296</v>
      </c>
      <c r="D30" s="45">
        <f t="shared" si="14"/>
        <v>-28.793936000000002</v>
      </c>
      <c r="E30" s="45">
        <f t="shared" si="15"/>
        <v>3.3658652020520572</v>
      </c>
      <c r="F30" s="28">
        <v>-3</v>
      </c>
      <c r="G30" s="28">
        <v>8.7040000000000006E-2</v>
      </c>
      <c r="H30" s="28">
        <v>-2</v>
      </c>
      <c r="I30" s="28">
        <v>2.0735999999999997E-2</v>
      </c>
      <c r="J30" s="28">
        <v>4</v>
      </c>
      <c r="K30" s="28">
        <v>-25</v>
      </c>
      <c r="L30" s="28">
        <v>0.18532799999999996</v>
      </c>
      <c r="M30" s="28">
        <v>-8</v>
      </c>
      <c r="N30" s="28">
        <v>2</v>
      </c>
      <c r="O30" s="28">
        <v>3</v>
      </c>
      <c r="P30" s="28">
        <v>5</v>
      </c>
      <c r="Q30" s="45">
        <f>xCall!C42/1000000</f>
        <v>-6.6341347979479428</v>
      </c>
    </row>
    <row r="31" spans="1:23" s="16" customFormat="1" ht="35.25" customHeight="1">
      <c r="A31" s="40" t="s">
        <v>412</v>
      </c>
      <c r="F31" s="52"/>
      <c r="G31" s="52"/>
      <c r="H31" s="52"/>
      <c r="I31" s="52"/>
      <c r="J31" s="52"/>
      <c r="K31" s="52"/>
      <c r="L31" s="52"/>
      <c r="M31" s="52"/>
      <c r="N31" s="52"/>
      <c r="O31" s="52"/>
      <c r="P31" s="52"/>
      <c r="Q31" s="52"/>
    </row>
    <row r="32" spans="1:23" s="16" customFormat="1" ht="15" customHeight="1">
      <c r="A32" s="62" t="s">
        <v>147</v>
      </c>
      <c r="F32" s="52"/>
      <c r="G32" s="52"/>
      <c r="H32" s="52"/>
      <c r="I32" s="52"/>
      <c r="J32" s="52"/>
      <c r="K32" s="52"/>
      <c r="L32" s="52"/>
      <c r="M32" s="52"/>
      <c r="N32" s="52"/>
      <c r="O32" s="52"/>
      <c r="Q32" s="52"/>
    </row>
    <row r="33" spans="1:24" ht="17">
      <c r="A33" s="34" t="s">
        <v>132</v>
      </c>
      <c r="B33" s="45">
        <f t="shared" ref="B33:P33" si="19">B18</f>
        <v>5386.2080602629703</v>
      </c>
      <c r="C33" s="45">
        <f t="shared" si="19"/>
        <v>507.53374545121051</v>
      </c>
      <c r="D33" s="45">
        <f t="shared" si="19"/>
        <v>1217.0041642389833</v>
      </c>
      <c r="E33" s="45">
        <f t="shared" si="19"/>
        <v>3661.6701505727765</v>
      </c>
      <c r="F33" s="45">
        <f t="shared" si="19"/>
        <v>81.391216683900893</v>
      </c>
      <c r="G33" s="45">
        <f t="shared" si="19"/>
        <v>65.554295366735005</v>
      </c>
      <c r="H33" s="45">
        <f t="shared" si="19"/>
        <v>360.58823340057461</v>
      </c>
      <c r="I33" s="45">
        <f t="shared" si="19"/>
        <v>37.278013959775762</v>
      </c>
      <c r="J33" s="45">
        <f t="shared" si="19"/>
        <v>2.4504350649233402</v>
      </c>
      <c r="K33" s="45">
        <f t="shared" si="19"/>
        <v>526.80622271803077</v>
      </c>
      <c r="L33" s="45">
        <f t="shared" si="19"/>
        <v>56.145302614260117</v>
      </c>
      <c r="M33" s="45">
        <f t="shared" si="19"/>
        <v>594.32418988199333</v>
      </c>
      <c r="N33" s="45">
        <f t="shared" si="19"/>
        <v>1663.0387901601134</v>
      </c>
      <c r="O33" s="45">
        <f t="shared" si="19"/>
        <v>1714.6382806229649</v>
      </c>
      <c r="P33" s="45">
        <f t="shared" si="19"/>
        <v>283.23607978969812</v>
      </c>
      <c r="Q33" s="45">
        <f>xCall!C45/1000000</f>
        <v>0.75700000000000001</v>
      </c>
    </row>
    <row r="34" spans="1:24" ht="17">
      <c r="A34" s="64" t="s">
        <v>15</v>
      </c>
      <c r="B34" s="45">
        <f>SUM(C34:E34)</f>
        <v>45789.922258791914</v>
      </c>
      <c r="C34" s="45">
        <f>SUM(F34:H34)</f>
        <v>10245.630392439874</v>
      </c>
      <c r="D34" s="45">
        <f>SUM(I34:M34)</f>
        <v>6677.9425870271898</v>
      </c>
      <c r="E34" s="45">
        <f>SUM(N34:Q34)</f>
        <v>28866.349279324852</v>
      </c>
      <c r="F34" s="28">
        <v>1030.268565618999</v>
      </c>
      <c r="G34" s="28">
        <v>809.3122884782091</v>
      </c>
      <c r="H34" s="28">
        <v>8406.049538342666</v>
      </c>
      <c r="I34" s="28">
        <v>156.12894415322725</v>
      </c>
      <c r="J34" s="28">
        <v>567.75967977706023</v>
      </c>
      <c r="K34" s="28">
        <v>3148.4205138715688</v>
      </c>
      <c r="L34" s="28">
        <v>676.44942908747134</v>
      </c>
      <c r="M34" s="28">
        <v>2129.1840201378623</v>
      </c>
      <c r="N34" s="28">
        <v>7755.1184366993966</v>
      </c>
      <c r="O34" s="28">
        <v>9008.2549172611853</v>
      </c>
      <c r="P34" s="28">
        <v>2327.621240680282</v>
      </c>
      <c r="Q34" s="45">
        <f>xCall!C46/1000000</f>
        <v>9775.3546846839909</v>
      </c>
    </row>
    <row r="35" spans="1:24" s="16" customFormat="1" ht="15" customHeight="1">
      <c r="A35" s="62" t="s">
        <v>127</v>
      </c>
      <c r="F35" s="52"/>
      <c r="G35" s="52"/>
      <c r="H35" s="52"/>
      <c r="I35" s="52"/>
      <c r="J35" s="52"/>
      <c r="K35" s="52"/>
      <c r="L35" s="52"/>
      <c r="M35" s="52"/>
      <c r="N35" s="52"/>
      <c r="O35" s="52"/>
      <c r="P35" s="52"/>
      <c r="Q35" s="45"/>
    </row>
    <row r="36" spans="1:24" s="16" customFormat="1" ht="15" customHeight="1">
      <c r="A36" s="64" t="s">
        <v>80</v>
      </c>
      <c r="B36" s="45">
        <f t="shared" ref="B36:B42" si="20">SUM(C36:E36)</f>
        <v>57463.499125315167</v>
      </c>
      <c r="C36" s="45">
        <f t="shared" ref="C36:C43" si="21">SUM(F36:H36)</f>
        <v>12699.679100000001</v>
      </c>
      <c r="D36" s="45">
        <f t="shared" ref="D36:D43" si="22">SUM(I36:M36)</f>
        <v>9455.4190999999992</v>
      </c>
      <c r="E36" s="45">
        <f t="shared" ref="E36:E43" si="23">SUM(N36:Q36)</f>
        <v>35308.400925315167</v>
      </c>
      <c r="F36" s="45">
        <f>SUM(F37:F38)</f>
        <v>1098.712</v>
      </c>
      <c r="G36" s="45">
        <f t="shared" ref="G36:P36" si="24">SUM(G37:G38)</f>
        <v>1944.6608000000001</v>
      </c>
      <c r="H36" s="45">
        <f t="shared" si="24"/>
        <v>9656.3063000000002</v>
      </c>
      <c r="I36" s="45">
        <f t="shared" si="24"/>
        <v>262.24370000000005</v>
      </c>
      <c r="J36" s="45">
        <f t="shared" si="24"/>
        <v>950.4668999999999</v>
      </c>
      <c r="K36" s="45">
        <f t="shared" si="24"/>
        <v>3750.8381000000004</v>
      </c>
      <c r="L36" s="45">
        <f t="shared" si="24"/>
        <v>1135.3114</v>
      </c>
      <c r="M36" s="45">
        <f t="shared" si="24"/>
        <v>3356.5590000000002</v>
      </c>
      <c r="N36" s="45">
        <f t="shared" si="24"/>
        <v>10330.583100000002</v>
      </c>
      <c r="O36" s="45">
        <f t="shared" si="24"/>
        <v>15300.713800000001</v>
      </c>
      <c r="P36" s="45">
        <f t="shared" si="24"/>
        <v>2811.0275000000001</v>
      </c>
      <c r="Q36" s="45">
        <f>xCall!C48/1000000</f>
        <v>6866.0765253151676</v>
      </c>
    </row>
    <row r="37" spans="1:24" s="16" customFormat="1" ht="15" customHeight="1">
      <c r="A37" s="63" t="s">
        <v>81</v>
      </c>
      <c r="B37" s="45">
        <f t="shared" si="20"/>
        <v>52170.082568481397</v>
      </c>
      <c r="C37" s="45">
        <f t="shared" si="21"/>
        <v>11849.650099999999</v>
      </c>
      <c r="D37" s="45">
        <f t="shared" si="22"/>
        <v>8793.7420999999995</v>
      </c>
      <c r="E37" s="45">
        <f t="shared" si="23"/>
        <v>31526.690368481399</v>
      </c>
      <c r="F37" s="28">
        <v>970</v>
      </c>
      <c r="G37" s="28">
        <v>1628.4268000000002</v>
      </c>
      <c r="H37" s="28">
        <v>9251.2232999999997</v>
      </c>
      <c r="I37" s="28">
        <v>240.32470000000006</v>
      </c>
      <c r="J37" s="28">
        <v>610.59789999999987</v>
      </c>
      <c r="K37" s="28">
        <v>3634.7421000000004</v>
      </c>
      <c r="L37" s="28">
        <v>954.51839999999993</v>
      </c>
      <c r="M37" s="28">
        <v>3353.5590000000002</v>
      </c>
      <c r="N37" s="28">
        <v>9583.8721000000023</v>
      </c>
      <c r="O37" s="28">
        <v>15283.683800000001</v>
      </c>
      <c r="P37" s="28">
        <v>1853.0655000000002</v>
      </c>
      <c r="Q37" s="45">
        <f>xCall!C49/1000000</f>
        <v>4806.068968481396</v>
      </c>
    </row>
    <row r="38" spans="1:24" s="16" customFormat="1" ht="15" customHeight="1">
      <c r="A38" s="63" t="s">
        <v>82</v>
      </c>
      <c r="B38" s="45">
        <f t="shared" si="20"/>
        <v>5293.4165568337721</v>
      </c>
      <c r="C38" s="45">
        <f t="shared" si="21"/>
        <v>850.029</v>
      </c>
      <c r="D38" s="45">
        <f t="shared" si="22"/>
        <v>661.67700000000002</v>
      </c>
      <c r="E38" s="45">
        <f t="shared" si="23"/>
        <v>3781.7105568337715</v>
      </c>
      <c r="F38" s="28">
        <v>128.71199999999999</v>
      </c>
      <c r="G38" s="28">
        <v>316.23399999999998</v>
      </c>
      <c r="H38" s="28">
        <v>405.08300000000003</v>
      </c>
      <c r="I38" s="28">
        <v>21.919</v>
      </c>
      <c r="J38" s="28">
        <v>339.86900000000003</v>
      </c>
      <c r="K38" s="28">
        <v>116.096</v>
      </c>
      <c r="L38" s="28">
        <v>180.79300000000001</v>
      </c>
      <c r="M38" s="28">
        <v>3</v>
      </c>
      <c r="N38" s="28">
        <v>746.71100000000001</v>
      </c>
      <c r="O38" s="28">
        <v>17.03</v>
      </c>
      <c r="P38" s="28">
        <v>957.96199999999999</v>
      </c>
      <c r="Q38" s="45">
        <f>xCall!C50/1000000</f>
        <v>2060.0075568337716</v>
      </c>
    </row>
    <row r="39" spans="1:24" ht="15" customHeight="1">
      <c r="A39" s="64" t="s">
        <v>361</v>
      </c>
      <c r="B39" s="45">
        <f t="shared" si="20"/>
        <v>18978.846787972754</v>
      </c>
      <c r="C39" s="45">
        <f t="shared" si="21"/>
        <v>4443.47</v>
      </c>
      <c r="D39" s="45">
        <f t="shared" si="22"/>
        <v>1267.5160000000001</v>
      </c>
      <c r="E39" s="45">
        <f t="shared" si="23"/>
        <v>13267.860787972753</v>
      </c>
      <c r="F39" s="45">
        <f>SUM(F40:F42)</f>
        <v>1013.8779999999999</v>
      </c>
      <c r="G39" s="45">
        <f t="shared" ref="G39:P39" si="25">SUM(G40:G42)</f>
        <v>736.22800000000007</v>
      </c>
      <c r="H39" s="45">
        <f t="shared" si="25"/>
        <v>2693.364</v>
      </c>
      <c r="I39" s="45">
        <f t="shared" si="25"/>
        <v>54.353999999999999</v>
      </c>
      <c r="J39" s="45">
        <f t="shared" si="25"/>
        <v>389.34200000000004</v>
      </c>
      <c r="K39" s="45">
        <f t="shared" si="25"/>
        <v>225.363</v>
      </c>
      <c r="L39" s="45">
        <f t="shared" si="25"/>
        <v>421.45699999999999</v>
      </c>
      <c r="M39" s="45">
        <f t="shared" si="25"/>
        <v>177</v>
      </c>
      <c r="N39" s="45">
        <f t="shared" si="25"/>
        <v>1006.393</v>
      </c>
      <c r="O39" s="45">
        <f t="shared" si="25"/>
        <v>1233.277</v>
      </c>
      <c r="P39" s="45">
        <f t="shared" si="25"/>
        <v>729.07600000000002</v>
      </c>
      <c r="Q39" s="45">
        <f>xCall!C51/1000000</f>
        <v>10299.114787972752</v>
      </c>
    </row>
    <row r="40" spans="1:24" ht="15" customHeight="1">
      <c r="A40" s="63" t="s">
        <v>83</v>
      </c>
      <c r="B40" s="45">
        <f t="shared" si="20"/>
        <v>7507.2820705180429</v>
      </c>
      <c r="C40" s="45">
        <f t="shared" si="21"/>
        <v>280.72800000000001</v>
      </c>
      <c r="D40" s="45">
        <f t="shared" si="22"/>
        <v>426.423</v>
      </c>
      <c r="E40" s="45">
        <f t="shared" si="23"/>
        <v>6800.1310705180431</v>
      </c>
      <c r="F40" s="28">
        <v>111.048</v>
      </c>
      <c r="G40" s="28">
        <v>54.316000000000003</v>
      </c>
      <c r="H40" s="28">
        <v>115.364</v>
      </c>
      <c r="I40" s="28">
        <v>54.353999999999999</v>
      </c>
      <c r="J40" s="28">
        <v>18.893000000000001</v>
      </c>
      <c r="K40" s="28">
        <v>0.17599999999999999</v>
      </c>
      <c r="L40" s="28">
        <v>352</v>
      </c>
      <c r="M40" s="28">
        <v>1</v>
      </c>
      <c r="N40" s="28">
        <v>721</v>
      </c>
      <c r="O40" s="28">
        <v>214.27699999999999</v>
      </c>
      <c r="P40" s="28">
        <v>243.876</v>
      </c>
      <c r="Q40" s="45">
        <f>xCall!C52/1000000</f>
        <v>5620.9780705180428</v>
      </c>
    </row>
    <row r="41" spans="1:24" ht="15" customHeight="1">
      <c r="A41" s="63" t="s">
        <v>84</v>
      </c>
      <c r="B41" s="45">
        <f t="shared" si="20"/>
        <v>2874.7501734281195</v>
      </c>
      <c r="C41" s="45">
        <f t="shared" si="21"/>
        <v>511.93299999999999</v>
      </c>
      <c r="D41" s="45">
        <f t="shared" si="22"/>
        <v>489.82</v>
      </c>
      <c r="E41" s="45">
        <f t="shared" si="23"/>
        <v>1872.9971734281198</v>
      </c>
      <c r="F41" s="28">
        <v>456</v>
      </c>
      <c r="G41" s="28">
        <v>55.933</v>
      </c>
      <c r="H41" s="28">
        <v>0</v>
      </c>
      <c r="I41" s="28">
        <v>0</v>
      </c>
      <c r="J41" s="28">
        <v>80.176000000000002</v>
      </c>
      <c r="K41" s="28">
        <v>225.18700000000001</v>
      </c>
      <c r="L41" s="28">
        <v>69.456999999999994</v>
      </c>
      <c r="M41" s="28">
        <v>115</v>
      </c>
      <c r="N41" s="28">
        <v>282</v>
      </c>
      <c r="O41" s="28">
        <v>262</v>
      </c>
      <c r="P41" s="28">
        <v>322</v>
      </c>
      <c r="Q41" s="45">
        <f>xCall!C53/1000000</f>
        <v>1006.9971734281197</v>
      </c>
    </row>
    <row r="42" spans="1:24" ht="15" customHeight="1">
      <c r="A42" s="63" t="s">
        <v>85</v>
      </c>
      <c r="B42" s="45">
        <f t="shared" si="20"/>
        <v>8596.8145440265889</v>
      </c>
      <c r="C42" s="45">
        <f t="shared" si="21"/>
        <v>3650.8090000000002</v>
      </c>
      <c r="D42" s="45">
        <f t="shared" si="22"/>
        <v>351.27300000000002</v>
      </c>
      <c r="E42" s="45">
        <f t="shared" si="23"/>
        <v>4594.7325440265886</v>
      </c>
      <c r="F42" s="28">
        <v>446.83</v>
      </c>
      <c r="G42" s="28">
        <v>625.97900000000004</v>
      </c>
      <c r="H42" s="28">
        <v>2578</v>
      </c>
      <c r="I42" s="28">
        <v>0</v>
      </c>
      <c r="J42" s="28">
        <v>290.27300000000002</v>
      </c>
      <c r="K42" s="28">
        <v>0</v>
      </c>
      <c r="L42" s="28">
        <v>0</v>
      </c>
      <c r="M42" s="28">
        <v>61</v>
      </c>
      <c r="N42" s="28">
        <v>3.3929999999999998</v>
      </c>
      <c r="O42" s="28">
        <v>757</v>
      </c>
      <c r="P42" s="28">
        <v>163.19999999999999</v>
      </c>
      <c r="Q42" s="45">
        <f>xCall!C54/1000000</f>
        <v>3671.1395440265887</v>
      </c>
    </row>
    <row r="43" spans="1:24" ht="17">
      <c r="A43" s="34" t="s">
        <v>110</v>
      </c>
      <c r="B43" s="45">
        <f>SUM(F43:Q43)</f>
        <v>11216.799073772945</v>
      </c>
      <c r="C43" s="45">
        <f t="shared" si="21"/>
        <v>2515.6877196444657</v>
      </c>
      <c r="D43" s="45">
        <f t="shared" si="22"/>
        <v>741.86007879588749</v>
      </c>
      <c r="E43" s="45">
        <f t="shared" si="23"/>
        <v>7959.2512753325918</v>
      </c>
      <c r="F43" s="28">
        <v>520.71669649488103</v>
      </c>
      <c r="G43" s="28">
        <v>365.8181527495841</v>
      </c>
      <c r="H43" s="28">
        <v>1629.1528704000004</v>
      </c>
      <c r="I43" s="28">
        <v>12.591301896603518</v>
      </c>
      <c r="J43" s="28">
        <v>319.00317350247195</v>
      </c>
      <c r="K43" s="28">
        <v>121.49086027796365</v>
      </c>
      <c r="L43" s="28">
        <v>154.88</v>
      </c>
      <c r="M43" s="28">
        <v>133.89474311884837</v>
      </c>
      <c r="N43" s="28">
        <v>399.64799999999997</v>
      </c>
      <c r="O43" s="28">
        <v>911.904</v>
      </c>
      <c r="P43" s="28">
        <v>428.35199999999998</v>
      </c>
      <c r="Q43" s="45">
        <f>xCall!C55/1000000</f>
        <v>6219.3472753325923</v>
      </c>
    </row>
    <row r="44" spans="1:24" ht="17">
      <c r="A44" s="64" t="s">
        <v>194</v>
      </c>
      <c r="B44" s="16"/>
      <c r="C44" s="16"/>
      <c r="D44" s="16"/>
      <c r="E44" s="16"/>
      <c r="F44" s="16"/>
      <c r="G44" s="16"/>
      <c r="H44" s="16"/>
      <c r="I44" s="16"/>
      <c r="J44" s="16"/>
      <c r="K44" s="16"/>
      <c r="L44" s="16"/>
      <c r="M44" s="16"/>
      <c r="N44" s="16"/>
      <c r="O44" s="16"/>
      <c r="P44" s="16"/>
      <c r="Q44" s="45"/>
      <c r="R44" s="16"/>
      <c r="S44" s="16"/>
      <c r="T44" s="16"/>
      <c r="U44" s="16"/>
      <c r="V44" s="16"/>
      <c r="W44" s="16"/>
      <c r="X44" s="16"/>
    </row>
    <row r="45" spans="1:24" ht="17">
      <c r="A45" s="63" t="s">
        <v>83</v>
      </c>
      <c r="B45" s="45">
        <f>SUM(F45:Q45)</f>
        <v>2595.3123963137014</v>
      </c>
      <c r="C45" s="45">
        <f>SUM(F45:H45)</f>
        <v>258.71892480000002</v>
      </c>
      <c r="D45" s="45">
        <f>SUM(I45:M45)</f>
        <v>127.92689999999999</v>
      </c>
      <c r="E45" s="45">
        <f>SUM(N45:Q45)</f>
        <v>2208.666571513701</v>
      </c>
      <c r="F45" s="28">
        <v>102.34183680000001</v>
      </c>
      <c r="G45" s="28">
        <v>50.057625600000001</v>
      </c>
      <c r="H45" s="28">
        <v>106.31946240000001</v>
      </c>
      <c r="I45" s="28">
        <v>16.3062</v>
      </c>
      <c r="J45" s="28">
        <v>5.6679000000000004</v>
      </c>
      <c r="K45" s="28">
        <v>5.2799999999999993E-2</v>
      </c>
      <c r="L45" s="28">
        <v>105.6</v>
      </c>
      <c r="M45" s="28">
        <v>0.3</v>
      </c>
      <c r="N45" s="28">
        <v>216.3</v>
      </c>
      <c r="O45" s="28">
        <v>64.28309999999999</v>
      </c>
      <c r="P45" s="28">
        <v>73.162800000000004</v>
      </c>
      <c r="Q45" s="45">
        <f>xCall!C57/1000000</f>
        <v>1854.9206715137011</v>
      </c>
    </row>
    <row r="46" spans="1:24" ht="17">
      <c r="A46" s="63" t="s">
        <v>84</v>
      </c>
      <c r="B46" s="45">
        <f>SUM(F46:Q46)</f>
        <v>1980.1033408881895</v>
      </c>
      <c r="C46" s="45">
        <f>SUM(F46:H46)</f>
        <v>563.99431679999998</v>
      </c>
      <c r="D46" s="45">
        <f>SUM(I46:M46)</f>
        <v>146.946</v>
      </c>
      <c r="E46" s="45">
        <f>SUM(N46:Q46)</f>
        <v>1269.1630240881891</v>
      </c>
      <c r="F46" s="28">
        <v>512.44646399999999</v>
      </c>
      <c r="G46" s="28">
        <v>51.547852800000001</v>
      </c>
      <c r="H46" s="28">
        <v>0</v>
      </c>
      <c r="I46" s="28">
        <v>0</v>
      </c>
      <c r="J46" s="28">
        <v>24.052800000000001</v>
      </c>
      <c r="K46" s="28">
        <v>67.556100000000001</v>
      </c>
      <c r="L46" s="28">
        <v>20.837099999999996</v>
      </c>
      <c r="M46" s="28">
        <v>34.5</v>
      </c>
      <c r="N46" s="28">
        <v>84.6</v>
      </c>
      <c r="O46" s="28">
        <v>78.599999999999994</v>
      </c>
      <c r="P46" s="28">
        <v>96.6</v>
      </c>
      <c r="Q46" s="45">
        <f>xCall!C58/1000000</f>
        <v>1009.3630240881893</v>
      </c>
    </row>
    <row r="47" spans="1:24" ht="17">
      <c r="A47" s="63" t="s">
        <v>85</v>
      </c>
      <c r="B47" s="45">
        <f>SUM(F47:Q47)</f>
        <v>8911.3336037468707</v>
      </c>
      <c r="C47" s="45">
        <f>SUM(F47:H47)</f>
        <v>3364.5855744</v>
      </c>
      <c r="D47" s="45">
        <f>SUM(I47:M47)</f>
        <v>105.3819</v>
      </c>
      <c r="E47" s="45">
        <f>SUM(N47:Q47)</f>
        <v>5441.3661293468704</v>
      </c>
      <c r="F47" s="28">
        <v>411.79852799999992</v>
      </c>
      <c r="G47" s="28">
        <v>576.90224639999997</v>
      </c>
      <c r="H47" s="28">
        <v>2375.8848000000003</v>
      </c>
      <c r="I47" s="28">
        <v>0</v>
      </c>
      <c r="J47" s="28">
        <v>87.081900000000005</v>
      </c>
      <c r="K47" s="28">
        <v>0</v>
      </c>
      <c r="L47" s="28">
        <v>0</v>
      </c>
      <c r="M47" s="28">
        <v>18.3</v>
      </c>
      <c r="N47" s="28">
        <v>1.0178999999999998</v>
      </c>
      <c r="O47" s="28">
        <v>227.1</v>
      </c>
      <c r="P47" s="28">
        <v>48.96</v>
      </c>
      <c r="Q47" s="45">
        <f>xCall!C59/1000000</f>
        <v>5164.2882293468701</v>
      </c>
    </row>
    <row r="48" spans="1:24">
      <c r="A48" s="34"/>
      <c r="B48" s="16"/>
      <c r="C48" s="16"/>
      <c r="D48" s="16"/>
      <c r="E48" s="16"/>
      <c r="F48" s="16"/>
      <c r="G48" s="16"/>
      <c r="H48" s="16"/>
      <c r="I48" s="16"/>
      <c r="J48" s="16"/>
      <c r="K48" s="16"/>
      <c r="L48" s="16"/>
      <c r="M48" s="16"/>
      <c r="N48" s="16"/>
      <c r="O48" s="16"/>
      <c r="P48" s="16"/>
      <c r="Q48" s="45"/>
      <c r="R48" s="16"/>
      <c r="S48" s="16"/>
      <c r="T48" s="16"/>
      <c r="U48" s="16"/>
      <c r="V48" s="16"/>
      <c r="W48" s="16"/>
    </row>
    <row r="49" spans="1:251" ht="17">
      <c r="A49" s="62" t="s">
        <v>155</v>
      </c>
      <c r="B49" s="16"/>
      <c r="C49" s="16"/>
      <c r="D49" s="16"/>
      <c r="E49" s="16"/>
      <c r="F49" s="16"/>
      <c r="G49" s="16"/>
      <c r="H49" s="16"/>
      <c r="I49" s="52"/>
      <c r="J49" s="52"/>
      <c r="K49" s="52"/>
      <c r="L49" s="52"/>
      <c r="M49" s="52"/>
      <c r="N49" s="52"/>
      <c r="O49" s="52"/>
      <c r="P49" s="16"/>
      <c r="Q49" s="45"/>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row>
    <row r="50" spans="1:251" ht="17">
      <c r="A50" s="70" t="s">
        <v>14</v>
      </c>
      <c r="B50" s="45">
        <f>B8</f>
        <v>71444.894114847557</v>
      </c>
      <c r="C50" s="45">
        <f t="shared" ref="C50:P50" si="26">C8</f>
        <v>14627.461380355533</v>
      </c>
      <c r="D50" s="45">
        <f t="shared" si="26"/>
        <v>9981.075021204113</v>
      </c>
      <c r="E50" s="45">
        <f t="shared" si="26"/>
        <v>46836.357713287915</v>
      </c>
      <c r="F50" s="45">
        <f t="shared" si="26"/>
        <v>1591.8733035051191</v>
      </c>
      <c r="G50" s="45">
        <f t="shared" si="26"/>
        <v>2315.0706472504162</v>
      </c>
      <c r="H50" s="45">
        <f t="shared" si="26"/>
        <v>10720.517429599999</v>
      </c>
      <c r="I50" s="45">
        <f t="shared" si="26"/>
        <v>304.00639810339652</v>
      </c>
      <c r="J50" s="45">
        <f t="shared" si="26"/>
        <v>1020.805726497528</v>
      </c>
      <c r="K50" s="45">
        <f t="shared" si="26"/>
        <v>3854.7102397220365</v>
      </c>
      <c r="L50" s="45">
        <f t="shared" si="26"/>
        <v>1401.8883999999998</v>
      </c>
      <c r="M50" s="45">
        <f t="shared" si="26"/>
        <v>3399.6642568811517</v>
      </c>
      <c r="N50" s="45">
        <f t="shared" si="26"/>
        <v>10937.328100000002</v>
      </c>
      <c r="O50" s="45">
        <f t="shared" si="26"/>
        <v>15622.086799999999</v>
      </c>
      <c r="P50" s="45">
        <f t="shared" si="26"/>
        <v>3111.7515000000003</v>
      </c>
      <c r="Q50" s="45">
        <f>xCall!C62/1000000</f>
        <v>17165.191313287916</v>
      </c>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row>
    <row r="51" spans="1:251" ht="17">
      <c r="A51" s="63" t="s">
        <v>148</v>
      </c>
      <c r="B51" s="45">
        <f t="shared" ref="B51:B57" si="27">SUM(F51:Q51)</f>
        <v>4112.0252306569791</v>
      </c>
      <c r="C51" s="45">
        <f t="shared" ref="C51:C57" si="28">SUM(F51:H51)</f>
        <v>815.69290000000001</v>
      </c>
      <c r="D51" s="45">
        <f t="shared" ref="D51:D57" si="29">SUM(I51:M51)</f>
        <v>335.82730000000004</v>
      </c>
      <c r="E51" s="45">
        <f t="shared" ref="E51:E57" si="30">SUM(N51:Q51)</f>
        <v>2960.5050306569792</v>
      </c>
      <c r="F51" s="28">
        <v>81.349199999999996</v>
      </c>
      <c r="G51" s="28">
        <v>25.328500000000005</v>
      </c>
      <c r="H51" s="28">
        <v>709.01520000000005</v>
      </c>
      <c r="I51" s="28">
        <v>14.737500000000001</v>
      </c>
      <c r="J51" s="28">
        <v>12.843</v>
      </c>
      <c r="K51" s="28">
        <v>72.915400000000005</v>
      </c>
      <c r="L51" s="28">
        <v>106.18379999999999</v>
      </c>
      <c r="M51" s="28">
        <v>129.14760000000001</v>
      </c>
      <c r="N51" s="28">
        <v>332.82569999999998</v>
      </c>
      <c r="O51" s="28">
        <v>469.36860000000001</v>
      </c>
      <c r="P51" s="28">
        <v>138.8612</v>
      </c>
      <c r="Q51" s="45">
        <f>xCall!C63/1000000</f>
        <v>2019.4495306569795</v>
      </c>
    </row>
    <row r="52" spans="1:251" ht="17">
      <c r="A52" s="63" t="s">
        <v>149</v>
      </c>
      <c r="B52" s="45">
        <f t="shared" si="27"/>
        <v>22273.595332708788</v>
      </c>
      <c r="C52" s="45">
        <f t="shared" si="28"/>
        <v>6161.9274999999998</v>
      </c>
      <c r="D52" s="45">
        <f t="shared" si="29"/>
        <v>3498.2055999999998</v>
      </c>
      <c r="E52" s="45">
        <f t="shared" si="30"/>
        <v>12613.462232708784</v>
      </c>
      <c r="F52" s="28">
        <v>892</v>
      </c>
      <c r="G52" s="28">
        <v>379.92750000000001</v>
      </c>
      <c r="H52" s="28">
        <v>4890</v>
      </c>
      <c r="I52" s="28">
        <v>70.739999999999995</v>
      </c>
      <c r="J52" s="28">
        <v>268</v>
      </c>
      <c r="K52" s="28">
        <v>1421.8503000000001</v>
      </c>
      <c r="L52" s="28">
        <v>543</v>
      </c>
      <c r="M52" s="28">
        <v>1194.6152999999999</v>
      </c>
      <c r="N52" s="28">
        <v>3550.1408000000001</v>
      </c>
      <c r="O52" s="28">
        <v>4850.1422000000002</v>
      </c>
      <c r="P52" s="28">
        <v>1113</v>
      </c>
      <c r="Q52" s="45">
        <f>xCall!C64/1000000</f>
        <v>3100.1792327087846</v>
      </c>
    </row>
    <row r="53" spans="1:251" ht="17">
      <c r="A53" s="63" t="s">
        <v>154</v>
      </c>
      <c r="B53" s="45">
        <f t="shared" si="27"/>
        <v>7361.0470772883546</v>
      </c>
      <c r="C53" s="45">
        <f t="shared" si="28"/>
        <v>1607.9769999999999</v>
      </c>
      <c r="D53" s="45">
        <f t="shared" si="29"/>
        <v>1008.894</v>
      </c>
      <c r="E53" s="45">
        <f t="shared" si="30"/>
        <v>4744.1760772883536</v>
      </c>
      <c r="F53" s="28">
        <v>173</v>
      </c>
      <c r="G53" s="28">
        <v>253.285</v>
      </c>
      <c r="H53" s="28">
        <v>1181.692</v>
      </c>
      <c r="I53" s="28">
        <v>29.475000000000001</v>
      </c>
      <c r="J53" s="28">
        <v>115</v>
      </c>
      <c r="K53" s="28">
        <v>364.577</v>
      </c>
      <c r="L53" s="28">
        <v>176.97299999999998</v>
      </c>
      <c r="M53" s="28">
        <v>322.86900000000003</v>
      </c>
      <c r="N53" s="28">
        <v>1109.4190000000001</v>
      </c>
      <c r="O53" s="28">
        <v>1564.5620000000001</v>
      </c>
      <c r="P53" s="28">
        <v>347.15299999999996</v>
      </c>
      <c r="Q53" s="45">
        <f>xCall!C65/1000000</f>
        <v>1723.042077288354</v>
      </c>
    </row>
    <row r="54" spans="1:251" ht="17">
      <c r="A54" s="63" t="s">
        <v>152</v>
      </c>
      <c r="B54" s="45">
        <f t="shared" si="27"/>
        <v>15379.854186308454</v>
      </c>
      <c r="C54" s="45">
        <f t="shared" si="28"/>
        <v>2828.5844999999999</v>
      </c>
      <c r="D54" s="45">
        <f t="shared" si="29"/>
        <v>2304.3442</v>
      </c>
      <c r="E54" s="45">
        <f t="shared" si="30"/>
        <v>10246.925486308453</v>
      </c>
      <c r="F54" s="28">
        <v>116</v>
      </c>
      <c r="G54" s="28">
        <v>430.58450000000005</v>
      </c>
      <c r="H54" s="28">
        <v>2282</v>
      </c>
      <c r="I54" s="28">
        <v>56.002499999999998</v>
      </c>
      <c r="J54" s="28">
        <v>321.07499999999999</v>
      </c>
      <c r="K54" s="28">
        <v>1020.8156</v>
      </c>
      <c r="L54" s="28">
        <v>293</v>
      </c>
      <c r="M54" s="28">
        <v>613.4511</v>
      </c>
      <c r="N54" s="28">
        <v>2329.7799</v>
      </c>
      <c r="O54" s="28">
        <v>3129.1240000000003</v>
      </c>
      <c r="P54" s="28">
        <v>867.88250000000005</v>
      </c>
      <c r="Q54" s="45">
        <f>xCall!C66/1000000</f>
        <v>3920.1390863084544</v>
      </c>
    </row>
    <row r="55" spans="1:251" ht="17">
      <c r="A55" s="63" t="s">
        <v>153</v>
      </c>
      <c r="B55" s="45">
        <f t="shared" si="27"/>
        <v>7711.4696726765451</v>
      </c>
      <c r="C55" s="45">
        <f t="shared" si="28"/>
        <v>1559</v>
      </c>
      <c r="D55" s="45">
        <f t="shared" si="29"/>
        <v>1186.8811000000001</v>
      </c>
      <c r="E55" s="45">
        <f t="shared" si="30"/>
        <v>4965.5885726765446</v>
      </c>
      <c r="F55" s="28">
        <v>153</v>
      </c>
      <c r="G55" s="28">
        <v>479</v>
      </c>
      <c r="H55" s="28">
        <v>927</v>
      </c>
      <c r="I55" s="28">
        <v>54</v>
      </c>
      <c r="J55" s="28">
        <v>151</v>
      </c>
      <c r="K55" s="28">
        <v>428</v>
      </c>
      <c r="L55" s="28">
        <v>123.88109999999999</v>
      </c>
      <c r="M55" s="28">
        <v>430</v>
      </c>
      <c r="N55" s="28">
        <v>1088</v>
      </c>
      <c r="O55" s="28">
        <v>1405</v>
      </c>
      <c r="P55" s="28">
        <v>392</v>
      </c>
      <c r="Q55" s="45">
        <f>xCall!C67/1000000</f>
        <v>2080.5885726765446</v>
      </c>
    </row>
    <row r="56" spans="1:251" ht="17">
      <c r="A56" s="63" t="s">
        <v>150</v>
      </c>
      <c r="B56" s="45">
        <f t="shared" si="27"/>
        <v>5810.6582919211205</v>
      </c>
      <c r="C56" s="45">
        <f t="shared" si="28"/>
        <v>762</v>
      </c>
      <c r="D56" s="45">
        <f t="shared" si="29"/>
        <v>795</v>
      </c>
      <c r="E56" s="45">
        <f t="shared" si="30"/>
        <v>4253.6582919211205</v>
      </c>
      <c r="F56" s="28">
        <v>0</v>
      </c>
      <c r="G56" s="28">
        <v>153</v>
      </c>
      <c r="H56" s="28">
        <v>609</v>
      </c>
      <c r="I56" s="28">
        <v>0</v>
      </c>
      <c r="J56" s="28">
        <v>118</v>
      </c>
      <c r="K56" s="28">
        <v>282</v>
      </c>
      <c r="L56" s="28">
        <v>114</v>
      </c>
      <c r="M56" s="28">
        <v>281</v>
      </c>
      <c r="N56" s="28">
        <v>1554</v>
      </c>
      <c r="O56" s="28">
        <v>1677</v>
      </c>
      <c r="P56" s="28">
        <v>233</v>
      </c>
      <c r="Q56" s="45">
        <f>xCall!C68/1000000</f>
        <v>789.65829192112039</v>
      </c>
    </row>
    <row r="57" spans="1:251" ht="17">
      <c r="A57" s="63" t="s">
        <v>151</v>
      </c>
      <c r="B57" s="45">
        <f t="shared" si="27"/>
        <v>8796.2443232873302</v>
      </c>
      <c r="C57" s="45">
        <f t="shared" si="28"/>
        <v>892.279480355533</v>
      </c>
      <c r="D57" s="45">
        <f t="shared" si="29"/>
        <v>851.92282120411278</v>
      </c>
      <c r="E57" s="45">
        <f t="shared" si="30"/>
        <v>7052.0420217276842</v>
      </c>
      <c r="F57" s="45">
        <f>F50-SUM(F51:F56)</f>
        <v>176.524103505119</v>
      </c>
      <c r="G57" s="45">
        <f t="shared" ref="G57:P57" si="31">G50-SUM(G51:G56)</f>
        <v>593.94514725041608</v>
      </c>
      <c r="H57" s="45">
        <f t="shared" si="31"/>
        <v>121.81022959999791</v>
      </c>
      <c r="I57" s="45">
        <f t="shared" si="31"/>
        <v>79.051398103396536</v>
      </c>
      <c r="J57" s="45">
        <f t="shared" si="31"/>
        <v>34.887726497527979</v>
      </c>
      <c r="K57" s="45">
        <f t="shared" si="31"/>
        <v>264.55193972203642</v>
      </c>
      <c r="L57" s="45">
        <f t="shared" si="31"/>
        <v>44.850499999999784</v>
      </c>
      <c r="M57" s="45">
        <f t="shared" si="31"/>
        <v>428.58125688115206</v>
      </c>
      <c r="N57" s="45">
        <f t="shared" si="31"/>
        <v>973.16270000000259</v>
      </c>
      <c r="O57" s="45">
        <f t="shared" si="31"/>
        <v>2526.8899999999994</v>
      </c>
      <c r="P57" s="45">
        <f t="shared" si="31"/>
        <v>19.854800000000068</v>
      </c>
      <c r="Q57" s="45">
        <f>xCall!C69/1000000</f>
        <v>3532.1345217276817</v>
      </c>
    </row>
    <row r="58" spans="1:251" ht="17">
      <c r="A58" s="70" t="s">
        <v>196</v>
      </c>
      <c r="B58" s="45">
        <f>B39</f>
        <v>18978.846787972754</v>
      </c>
      <c r="C58" s="45">
        <f t="shared" ref="C58:P58" si="32">C39</f>
        <v>4443.47</v>
      </c>
      <c r="D58" s="45">
        <f t="shared" si="32"/>
        <v>1267.5160000000001</v>
      </c>
      <c r="E58" s="45">
        <f t="shared" si="32"/>
        <v>13267.860787972753</v>
      </c>
      <c r="F58" s="45">
        <f t="shared" si="32"/>
        <v>1013.8779999999999</v>
      </c>
      <c r="G58" s="45">
        <f t="shared" si="32"/>
        <v>736.22800000000007</v>
      </c>
      <c r="H58" s="45">
        <f t="shared" si="32"/>
        <v>2693.364</v>
      </c>
      <c r="I58" s="45">
        <f t="shared" si="32"/>
        <v>54.353999999999999</v>
      </c>
      <c r="J58" s="45">
        <f t="shared" si="32"/>
        <v>389.34200000000004</v>
      </c>
      <c r="K58" s="45">
        <f t="shared" si="32"/>
        <v>225.363</v>
      </c>
      <c r="L58" s="45">
        <f t="shared" si="32"/>
        <v>421.45699999999999</v>
      </c>
      <c r="M58" s="45">
        <f t="shared" si="32"/>
        <v>177</v>
      </c>
      <c r="N58" s="45">
        <f t="shared" si="32"/>
        <v>1006.393</v>
      </c>
      <c r="O58" s="45">
        <f t="shared" si="32"/>
        <v>1233.277</v>
      </c>
      <c r="P58" s="45">
        <f t="shared" si="32"/>
        <v>729.07600000000002</v>
      </c>
      <c r="Q58" s="45">
        <f>xCall!C70/1000000</f>
        <v>10299.114787972752</v>
      </c>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row>
    <row r="59" spans="1:251" ht="17">
      <c r="A59" s="63" t="s">
        <v>148</v>
      </c>
      <c r="B59" s="45">
        <f t="shared" ref="B59:B65" si="33">SUM(F59:Q59)</f>
        <v>2414.7253802287082</v>
      </c>
      <c r="C59" s="45">
        <f t="shared" ref="C59:C65" si="34">SUM(F59:H59)</f>
        <v>276.15112741237118</v>
      </c>
      <c r="D59" s="45">
        <f t="shared" ref="D59:D65" si="35">SUM(I59:M59)</f>
        <v>65.470992300000006</v>
      </c>
      <c r="E59" s="45">
        <f t="shared" ref="E59:E65" si="36">SUM(N59:Q59)</f>
        <v>2073.1032605163373</v>
      </c>
      <c r="F59" s="28">
        <v>52.711283519999995</v>
      </c>
      <c r="G59" s="28">
        <v>9.2339005500000031</v>
      </c>
      <c r="H59" s="28">
        <v>214.2059433423712</v>
      </c>
      <c r="I59" s="28">
        <v>3.6461880000000004</v>
      </c>
      <c r="J59" s="28">
        <v>4.8588718499999999</v>
      </c>
      <c r="K59" s="28">
        <v>8.1848232900000006</v>
      </c>
      <c r="L59" s="28">
        <v>35.28</v>
      </c>
      <c r="M59" s="28">
        <v>13.501109159999999</v>
      </c>
      <c r="N59" s="28">
        <v>49.962941109849616</v>
      </c>
      <c r="O59" s="28">
        <v>62.839342352839942</v>
      </c>
      <c r="P59" s="28">
        <v>39.228560771740547</v>
      </c>
      <c r="Q59" s="45">
        <f>xCall!C71/1000000</f>
        <v>1921.072416281907</v>
      </c>
    </row>
    <row r="60" spans="1:251" ht="17">
      <c r="A60" s="63" t="s">
        <v>149</v>
      </c>
      <c r="B60" s="45">
        <f t="shared" si="33"/>
        <v>5942.2056615710171</v>
      </c>
      <c r="C60" s="45">
        <f t="shared" si="34"/>
        <v>1826.5650048124999</v>
      </c>
      <c r="D60" s="45">
        <f t="shared" si="35"/>
        <v>459.71404888500001</v>
      </c>
      <c r="E60" s="45">
        <f t="shared" si="36"/>
        <v>3655.9266078735154</v>
      </c>
      <c r="F60" s="28">
        <v>479</v>
      </c>
      <c r="G60" s="28">
        <v>117.56500481250002</v>
      </c>
      <c r="H60" s="28">
        <v>1230</v>
      </c>
      <c r="I60" s="28">
        <v>13.602159899999998</v>
      </c>
      <c r="J60" s="28">
        <v>116.22524130000002</v>
      </c>
      <c r="K60" s="28">
        <v>81.2245563675</v>
      </c>
      <c r="L60" s="28">
        <v>189.63</v>
      </c>
      <c r="M60" s="28">
        <v>59.032091317499976</v>
      </c>
      <c r="N60" s="28">
        <v>337.23652690506265</v>
      </c>
      <c r="O60" s="28">
        <v>381.97578220434599</v>
      </c>
      <c r="P60" s="28">
        <v>276.27107481522972</v>
      </c>
      <c r="Q60" s="45">
        <f>xCall!C72/1000000</f>
        <v>2660.4432239488774</v>
      </c>
    </row>
    <row r="61" spans="1:251" ht="17">
      <c r="A61" s="63" t="s">
        <v>154</v>
      </c>
      <c r="B61" s="45">
        <f t="shared" si="33"/>
        <v>2527.8334115056914</v>
      </c>
      <c r="C61" s="45">
        <f t="shared" si="34"/>
        <v>581.12711987061869</v>
      </c>
      <c r="D61" s="45">
        <f t="shared" si="35"/>
        <v>182.55798385</v>
      </c>
      <c r="E61" s="45">
        <f t="shared" si="36"/>
        <v>1764.1483077850726</v>
      </c>
      <c r="F61" s="28">
        <v>131.77820879999999</v>
      </c>
      <c r="G61" s="28">
        <v>92.339005500000013</v>
      </c>
      <c r="H61" s="28">
        <v>357.00990557061868</v>
      </c>
      <c r="I61" s="28">
        <v>7.2923760000000009</v>
      </c>
      <c r="J61" s="28">
        <v>48.588718500000006</v>
      </c>
      <c r="K61" s="28">
        <v>40.92411645</v>
      </c>
      <c r="L61" s="28">
        <v>52</v>
      </c>
      <c r="M61" s="28">
        <v>33.752772899999997</v>
      </c>
      <c r="N61" s="28">
        <v>166.54313703283208</v>
      </c>
      <c r="O61" s="28">
        <v>209.46447450946647</v>
      </c>
      <c r="P61" s="28">
        <v>98.071401929351325</v>
      </c>
      <c r="Q61" s="45">
        <f>xCall!C73/1000000</f>
        <v>1290.0692943134227</v>
      </c>
    </row>
    <row r="62" spans="1:251" ht="17">
      <c r="A62" s="63" t="s">
        <v>152</v>
      </c>
      <c r="B62" s="45">
        <f t="shared" si="33"/>
        <v>3273.152202417793</v>
      </c>
      <c r="C62" s="45">
        <f t="shared" si="34"/>
        <v>749.66843294829926</v>
      </c>
      <c r="D62" s="45">
        <f t="shared" si="35"/>
        <v>168.79712243500001</v>
      </c>
      <c r="E62" s="45">
        <f t="shared" si="36"/>
        <v>2354.6866470344939</v>
      </c>
      <c r="F62" s="28">
        <v>164.034503325</v>
      </c>
      <c r="G62" s="28">
        <v>109.50436822500002</v>
      </c>
      <c r="H62" s="28">
        <v>476.12956139829924</v>
      </c>
      <c r="I62" s="28">
        <v>7.6812387749999971</v>
      </c>
      <c r="J62" s="28">
        <v>86.073277500000017</v>
      </c>
      <c r="K62" s="28">
        <v>2.0426061599999961</v>
      </c>
      <c r="L62" s="28">
        <v>73</v>
      </c>
      <c r="M62" s="28">
        <v>0</v>
      </c>
      <c r="N62" s="28">
        <v>92.88235379394736</v>
      </c>
      <c r="O62" s="28">
        <v>73.943028018932893</v>
      </c>
      <c r="P62" s="28">
        <v>149.49445919837837</v>
      </c>
      <c r="Q62" s="45">
        <f>xCall!C74/1000000</f>
        <v>2038.3668060232353</v>
      </c>
    </row>
    <row r="63" spans="1:251" ht="17">
      <c r="A63" s="63" t="s">
        <v>153</v>
      </c>
      <c r="B63" s="45">
        <f t="shared" si="33"/>
        <v>1493.5690246622366</v>
      </c>
      <c r="C63" s="45">
        <f t="shared" si="34"/>
        <v>544.48885326080267</v>
      </c>
      <c r="D63" s="45">
        <f t="shared" si="35"/>
        <v>178.63169124428757</v>
      </c>
      <c r="E63" s="45">
        <f t="shared" si="36"/>
        <v>770.44848015714683</v>
      </c>
      <c r="F63" s="28">
        <v>120.80123709120679</v>
      </c>
      <c r="G63" s="28">
        <v>164.06498659119177</v>
      </c>
      <c r="H63" s="28">
        <v>259.62262957840414</v>
      </c>
      <c r="I63" s="28">
        <v>12.16937816793893</v>
      </c>
      <c r="J63" s="28">
        <v>53.798040854940432</v>
      </c>
      <c r="K63" s="28">
        <v>38.606008774003847</v>
      </c>
      <c r="L63" s="28">
        <v>38.587499999999999</v>
      </c>
      <c r="M63" s="28">
        <v>35.470763447404359</v>
      </c>
      <c r="N63" s="28">
        <v>139.33737164598887</v>
      </c>
      <c r="O63" s="28">
        <v>157.12197074024576</v>
      </c>
      <c r="P63" s="28">
        <v>102.09716720150979</v>
      </c>
      <c r="Q63" s="45">
        <f>xCall!C75/1000000</f>
        <v>371.89197056940236</v>
      </c>
    </row>
    <row r="64" spans="1:251" ht="17">
      <c r="A64" s="63" t="s">
        <v>150</v>
      </c>
      <c r="B64" s="45">
        <f t="shared" si="33"/>
        <v>793.95229880457146</v>
      </c>
      <c r="C64" s="45">
        <f t="shared" si="34"/>
        <v>138.95553633099604</v>
      </c>
      <c r="D64" s="45">
        <f t="shared" si="35"/>
        <v>55.011273698922452</v>
      </c>
      <c r="E64" s="45">
        <f t="shared" si="36"/>
        <v>599.98548877465305</v>
      </c>
      <c r="F64" s="28">
        <v>0</v>
      </c>
      <c r="G64" s="28">
        <v>35.536641332885878</v>
      </c>
      <c r="H64" s="28">
        <v>103.41889499811016</v>
      </c>
      <c r="I64" s="28">
        <v>0</v>
      </c>
      <c r="J64" s="28">
        <v>29.031353118430275</v>
      </c>
      <c r="K64" s="28">
        <v>0</v>
      </c>
      <c r="L64" s="28">
        <v>25.979920580492177</v>
      </c>
      <c r="M64" s="28">
        <v>0</v>
      </c>
      <c r="N64" s="28">
        <v>27.688297369362733</v>
      </c>
      <c r="O64" s="28">
        <v>2.6506396308840645</v>
      </c>
      <c r="P64" s="28">
        <v>34.997056015183112</v>
      </c>
      <c r="Q64" s="45">
        <f>xCall!C76/1000000</f>
        <v>534.6494957592231</v>
      </c>
    </row>
    <row r="65" spans="1:23" ht="17">
      <c r="A65" s="63" t="s">
        <v>151</v>
      </c>
      <c r="B65" s="45">
        <f t="shared" si="33"/>
        <v>2533.4088087827349</v>
      </c>
      <c r="C65" s="45">
        <f t="shared" si="34"/>
        <v>326.51392536441222</v>
      </c>
      <c r="D65" s="45">
        <f t="shared" si="35"/>
        <v>157.33288758679009</v>
      </c>
      <c r="E65" s="45">
        <f t="shared" si="36"/>
        <v>2049.5619958315324</v>
      </c>
      <c r="F65" s="45">
        <f>F58-SUM(F59:F64)</f>
        <v>65.552767263793157</v>
      </c>
      <c r="G65" s="45">
        <f t="shared" ref="G65:P65" si="37">G58-SUM(G59:G64)</f>
        <v>207.98409298842239</v>
      </c>
      <c r="H65" s="45">
        <f t="shared" si="37"/>
        <v>52.977065112196669</v>
      </c>
      <c r="I65" s="45">
        <f t="shared" si="37"/>
        <v>9.9626591570610685</v>
      </c>
      <c r="J65" s="45">
        <f t="shared" si="37"/>
        <v>50.766496876629276</v>
      </c>
      <c r="K65" s="45">
        <f t="shared" si="37"/>
        <v>54.380888958496172</v>
      </c>
      <c r="L65" s="45">
        <f t="shared" si="37"/>
        <v>6.9795794195078997</v>
      </c>
      <c r="M65" s="45">
        <f t="shared" si="37"/>
        <v>35.243263175095677</v>
      </c>
      <c r="N65" s="45">
        <f t="shared" si="37"/>
        <v>192.74237214295681</v>
      </c>
      <c r="O65" s="45">
        <f t="shared" si="37"/>
        <v>345.28176254328503</v>
      </c>
      <c r="P65" s="45">
        <f t="shared" si="37"/>
        <v>28.91628006860708</v>
      </c>
      <c r="Q65" s="45">
        <f>xCall!C77/1000000</f>
        <v>1482.6215810766835</v>
      </c>
    </row>
    <row r="66" spans="1:23">
      <c r="A66" s="34"/>
      <c r="B66" s="16"/>
      <c r="C66" s="16"/>
      <c r="D66" s="16"/>
      <c r="E66" s="16"/>
      <c r="F66" s="16"/>
      <c r="G66" s="16"/>
      <c r="H66" s="16"/>
      <c r="I66" s="16"/>
      <c r="J66" s="16"/>
      <c r="K66" s="16"/>
      <c r="L66" s="16"/>
      <c r="M66" s="16"/>
      <c r="N66" s="16"/>
      <c r="O66" s="16"/>
      <c r="P66" s="16"/>
      <c r="Q66" s="16"/>
      <c r="R66" s="16"/>
      <c r="S66" s="16"/>
      <c r="T66" s="16"/>
      <c r="U66" s="16"/>
      <c r="V66" s="16"/>
      <c r="W66" s="16"/>
    </row>
    <row r="67" spans="1:23" ht="17">
      <c r="A67" s="62" t="s">
        <v>329</v>
      </c>
      <c r="B67" s="16"/>
      <c r="C67" s="16"/>
      <c r="D67" s="16"/>
      <c r="E67" s="16"/>
      <c r="F67" s="16"/>
      <c r="G67" s="16"/>
      <c r="H67" s="16"/>
      <c r="I67" s="16"/>
      <c r="J67" s="16"/>
      <c r="K67" s="16"/>
      <c r="L67" s="16"/>
      <c r="M67" s="16"/>
      <c r="N67" s="16"/>
      <c r="O67" s="16"/>
      <c r="P67" s="16"/>
      <c r="Q67" s="16"/>
      <c r="R67" s="16"/>
      <c r="S67" s="16"/>
      <c r="T67" s="16"/>
      <c r="U67" s="16"/>
      <c r="V67" s="16"/>
      <c r="W67" s="16"/>
    </row>
    <row r="68" spans="1:23" ht="17">
      <c r="A68" s="63" t="s">
        <v>330</v>
      </c>
      <c r="B68" s="45">
        <f>SUM(F68:Q68)</f>
        <v>2218.1882004608783</v>
      </c>
      <c r="C68" s="45">
        <f>SUM(F68:H68)</f>
        <v>77.582102437847198</v>
      </c>
      <c r="D68" s="45">
        <f>SUM(I68:M68)</f>
        <v>131.90004654904789</v>
      </c>
      <c r="E68" s="45">
        <f>SUM(N68:Q68)</f>
        <v>2008.7060514739831</v>
      </c>
      <c r="F68" s="28">
        <v>17.312403446200754</v>
      </c>
      <c r="G68" s="28">
        <v>9.7615784215601025</v>
      </c>
      <c r="H68" s="28">
        <v>50.508120570086341</v>
      </c>
      <c r="I68" s="28">
        <v>4.0532423784568943</v>
      </c>
      <c r="J68" s="28">
        <v>6.6550237710655775</v>
      </c>
      <c r="K68" s="28">
        <v>39.680650949399158</v>
      </c>
      <c r="L68" s="28">
        <v>25</v>
      </c>
      <c r="M68" s="28">
        <v>56.511129450126255</v>
      </c>
      <c r="N68" s="28">
        <v>150.00788177401674</v>
      </c>
      <c r="O68" s="28">
        <v>145.19891784344546</v>
      </c>
      <c r="P68" s="28">
        <v>39.860968571072831</v>
      </c>
      <c r="Q68" s="28">
        <f>xCall!C80/1000000</f>
        <v>1673.6382832854481</v>
      </c>
    </row>
    <row r="69" spans="1:23" ht="17">
      <c r="A69" s="63" t="s">
        <v>331</v>
      </c>
      <c r="B69" s="45">
        <f>SUM(F69:Q69)</f>
        <v>1760.2688105994407</v>
      </c>
      <c r="C69" s="45">
        <f>SUM(F69:H69)</f>
        <v>67.454746077724465</v>
      </c>
      <c r="D69" s="45">
        <f>SUM(I69:M69)</f>
        <v>115.79459642630964</v>
      </c>
      <c r="E69" s="45">
        <f>SUM(N69:Q69)</f>
        <v>1577.0194680954066</v>
      </c>
      <c r="F69" s="28">
        <v>15.004082986707322</v>
      </c>
      <c r="G69" s="28">
        <v>8.6769585969423133</v>
      </c>
      <c r="H69" s="28">
        <v>43.773704494074828</v>
      </c>
      <c r="I69" s="28">
        <v>3.5128100613293092</v>
      </c>
      <c r="J69" s="28">
        <v>5.915576685391625</v>
      </c>
      <c r="K69" s="28">
        <v>34.389897489479274</v>
      </c>
      <c r="L69" s="28">
        <v>23</v>
      </c>
      <c r="M69" s="28">
        <v>48.976312190109425</v>
      </c>
      <c r="N69" s="28">
        <v>130.0068308708145</v>
      </c>
      <c r="O69" s="28">
        <v>125.83906213098606</v>
      </c>
      <c r="P69" s="28">
        <v>35.431972063175856</v>
      </c>
      <c r="Q69" s="28">
        <f>xCall!C81/1000000</f>
        <v>1285.7416030304303</v>
      </c>
    </row>
    <row r="70" spans="1:23" ht="17">
      <c r="A70" s="63" t="s">
        <v>332</v>
      </c>
      <c r="B70" s="45">
        <f>SUM(F70:Q70)</f>
        <v>1255.2340465321508</v>
      </c>
      <c r="C70" s="45">
        <f>SUM(F70:H70)</f>
        <v>52.806021449849254</v>
      </c>
      <c r="D70" s="45">
        <f>SUM(I70:M70)</f>
        <v>89.006144785039226</v>
      </c>
      <c r="E70" s="45">
        <f>SUM(N70:Q70)</f>
        <v>1113.4218802972625</v>
      </c>
      <c r="F70" s="28">
        <v>11.541602297467172</v>
      </c>
      <c r="G70" s="28">
        <v>7.592338772324525</v>
      </c>
      <c r="H70" s="28">
        <v>33.672080380057558</v>
      </c>
      <c r="I70" s="28">
        <v>2.70216158563793</v>
      </c>
      <c r="J70" s="28">
        <v>5.1761295997176724</v>
      </c>
      <c r="K70" s="28">
        <v>26.453767299599441</v>
      </c>
      <c r="L70" s="28">
        <v>17</v>
      </c>
      <c r="M70" s="28">
        <v>37.674086300084177</v>
      </c>
      <c r="N70" s="28">
        <v>100.00525451601116</v>
      </c>
      <c r="O70" s="28">
        <v>96.799278562296976</v>
      </c>
      <c r="P70" s="28">
        <v>31.002975555278876</v>
      </c>
      <c r="Q70" s="28">
        <f>xCall!C82/1000000</f>
        <v>885.61437166367546</v>
      </c>
    </row>
    <row r="71" spans="1:23" ht="17">
      <c r="A71" s="63" t="s">
        <v>333</v>
      </c>
      <c r="B71" s="45">
        <f>SUM(F71:Q71)</f>
        <v>985.44850659083454</v>
      </c>
      <c r="C71" s="45">
        <f>SUM(F71:H71)</f>
        <v>47.742343269787881</v>
      </c>
      <c r="D71" s="45">
        <f>SUM(I71:M71)</f>
        <v>79.953419723670081</v>
      </c>
      <c r="E71" s="45">
        <f>SUM(N71:Q71)</f>
        <v>857.75274359737659</v>
      </c>
      <c r="F71" s="28">
        <v>10.387442067720453</v>
      </c>
      <c r="G71" s="28">
        <v>7.0500288600156296</v>
      </c>
      <c r="H71" s="28">
        <v>30.304872342051802</v>
      </c>
      <c r="I71" s="28">
        <v>2.4319454270741367</v>
      </c>
      <c r="J71" s="28">
        <v>4.8064060568806957</v>
      </c>
      <c r="K71" s="28">
        <v>23.808390569639496</v>
      </c>
      <c r="L71" s="28">
        <v>15</v>
      </c>
      <c r="M71" s="28">
        <v>33.906677670075752</v>
      </c>
      <c r="N71" s="28">
        <v>90.004729064410043</v>
      </c>
      <c r="O71" s="28">
        <v>87.119350706067266</v>
      </c>
      <c r="P71" s="28">
        <v>28.788477301330381</v>
      </c>
      <c r="Q71" s="28">
        <f>xCall!C83/1000000</f>
        <v>651.84018652556892</v>
      </c>
    </row>
    <row r="72" spans="1:23" ht="17">
      <c r="A72" s="63" t="s">
        <v>334</v>
      </c>
      <c r="B72" s="45">
        <f>SUM(F72:Q72)</f>
        <v>411.54443221934844</v>
      </c>
      <c r="C72" s="45">
        <f>SUM(F72:H72)</f>
        <v>45.481659135911656</v>
      </c>
      <c r="D72" s="45">
        <f>SUM(I72:M72)</f>
        <v>75.611918964404012</v>
      </c>
      <c r="E72" s="45">
        <f>SUM(N72:Q72)</f>
        <v>290.45085411903278</v>
      </c>
      <c r="F72" s="28">
        <v>9.8103619528470958</v>
      </c>
      <c r="G72" s="28">
        <v>7.0500288600156296</v>
      </c>
      <c r="H72" s="28">
        <v>28.621268323048927</v>
      </c>
      <c r="I72" s="28">
        <v>2.2968373477922404</v>
      </c>
      <c r="J72" s="28">
        <v>4.8064060568806957</v>
      </c>
      <c r="K72" s="28">
        <v>22.485702204659525</v>
      </c>
      <c r="L72" s="28">
        <v>14</v>
      </c>
      <c r="M72" s="28">
        <v>32.022973355071549</v>
      </c>
      <c r="N72" s="28">
        <v>85.00446633860949</v>
      </c>
      <c r="O72" s="28">
        <v>82.279386777952425</v>
      </c>
      <c r="P72" s="28">
        <v>28.788477301330381</v>
      </c>
      <c r="Q72" s="28">
        <f>xCall!C84/1000000</f>
        <v>94.378523701140523</v>
      </c>
    </row>
    <row r="73" spans="1:23" ht="17">
      <c r="A73" s="62" t="s">
        <v>128</v>
      </c>
      <c r="B73" s="42"/>
      <c r="C73" s="42"/>
      <c r="D73" s="42"/>
      <c r="E73" s="42"/>
      <c r="F73" s="20"/>
      <c r="G73" s="20"/>
      <c r="H73" s="20"/>
      <c r="I73" s="20"/>
      <c r="J73" s="20"/>
      <c r="K73" s="20"/>
      <c r="L73" s="20"/>
      <c r="M73" s="20"/>
      <c r="N73" s="20"/>
      <c r="O73" s="20"/>
      <c r="P73" s="20"/>
      <c r="Q73" s="20"/>
    </row>
    <row r="74" spans="1:23" ht="34">
      <c r="A74" s="34" t="s">
        <v>235</v>
      </c>
      <c r="B74" s="45">
        <f>SUM(B75:B77)</f>
        <v>371584.07614071388</v>
      </c>
      <c r="C74" s="45">
        <f t="shared" ref="C74:P74" si="38">SUM(C75:C77)</f>
        <v>18918.494000000002</v>
      </c>
      <c r="D74" s="45">
        <f t="shared" si="38"/>
        <v>23678.066920000001</v>
      </c>
      <c r="E74" s="45">
        <f t="shared" si="38"/>
        <v>328987.51522071392</v>
      </c>
      <c r="F74" s="45">
        <f t="shared" si="38"/>
        <v>2728.221</v>
      </c>
      <c r="G74" s="45">
        <f t="shared" si="38"/>
        <v>8688.2780000000002</v>
      </c>
      <c r="H74" s="45">
        <f t="shared" si="38"/>
        <v>7501.9949999999999</v>
      </c>
      <c r="I74" s="45">
        <f t="shared" si="38"/>
        <v>905.36077</v>
      </c>
      <c r="J74" s="45">
        <f t="shared" si="38"/>
        <v>5338.375</v>
      </c>
      <c r="K74" s="45">
        <f t="shared" si="38"/>
        <v>6472.1180000000004</v>
      </c>
      <c r="L74" s="45">
        <f t="shared" si="38"/>
        <v>7740.8115199999993</v>
      </c>
      <c r="M74" s="45">
        <f t="shared" si="38"/>
        <v>3221.4016300000003</v>
      </c>
      <c r="N74" s="45">
        <f t="shared" si="38"/>
        <v>56135.471000000005</v>
      </c>
      <c r="O74" s="45">
        <f t="shared" si="38"/>
        <v>25283.870999999999</v>
      </c>
      <c r="P74" s="45">
        <f t="shared" si="38"/>
        <v>33629.328999999998</v>
      </c>
      <c r="Q74" s="45">
        <f>xCall!C86/1000000</f>
        <v>213938.84422071392</v>
      </c>
    </row>
    <row r="75" spans="1:23" ht="17">
      <c r="A75" s="65" t="s">
        <v>49</v>
      </c>
      <c r="B75" s="45">
        <f>SUM(F75:Q75)</f>
        <v>180086.15388452227</v>
      </c>
      <c r="C75" s="45">
        <f>SUM(F75:H75)</f>
        <v>14698.643</v>
      </c>
      <c r="D75" s="45">
        <f>SUM(I75:M75)</f>
        <v>14634.7961</v>
      </c>
      <c r="E75" s="45">
        <f>SUM(N75:Q75)</f>
        <v>150752.71478452228</v>
      </c>
      <c r="F75" s="28">
        <v>616.04999999999995</v>
      </c>
      <c r="G75" s="28">
        <v>7883.4740000000002</v>
      </c>
      <c r="H75" s="28">
        <v>6199.1189999999997</v>
      </c>
      <c r="I75" s="28">
        <v>870.36077</v>
      </c>
      <c r="J75" s="28">
        <v>5338.375</v>
      </c>
      <c r="K75" s="28">
        <v>986.85</v>
      </c>
      <c r="L75" s="28">
        <v>4758.5677699999997</v>
      </c>
      <c r="M75" s="28">
        <v>2680.6425600000002</v>
      </c>
      <c r="N75" s="28">
        <v>15228.081</v>
      </c>
      <c r="O75" s="28">
        <v>19384.088</v>
      </c>
      <c r="P75" s="28">
        <v>10452.433000000001</v>
      </c>
      <c r="Q75" s="45">
        <f>xCall!C87/1000000</f>
        <v>105688.11278452228</v>
      </c>
    </row>
    <row r="76" spans="1:23" ht="17">
      <c r="A76" s="65" t="s">
        <v>50</v>
      </c>
      <c r="B76" s="45">
        <f>SUM(F76:Q76)</f>
        <v>116313.77378888447</v>
      </c>
      <c r="C76" s="45">
        <f>SUM(F76:H76)</f>
        <v>2501.989</v>
      </c>
      <c r="D76" s="45">
        <f>SUM(I76:M76)</f>
        <v>1359.7429000000002</v>
      </c>
      <c r="E76" s="45">
        <f>SUM(N76:Q76)</f>
        <v>112452.04188888447</v>
      </c>
      <c r="F76" s="28">
        <v>704.05700000000002</v>
      </c>
      <c r="G76" s="28">
        <v>776.96199999999999</v>
      </c>
      <c r="H76" s="28">
        <v>1020.97</v>
      </c>
      <c r="I76" s="28">
        <v>35</v>
      </c>
      <c r="J76" s="28">
        <v>0</v>
      </c>
      <c r="K76" s="28">
        <v>0</v>
      </c>
      <c r="L76" s="28">
        <v>1248.0024900000001</v>
      </c>
      <c r="M76" s="28">
        <v>76.740409999999997</v>
      </c>
      <c r="N76" s="28">
        <v>14750.852999999999</v>
      </c>
      <c r="O76" s="28">
        <v>5599.7830000000004</v>
      </c>
      <c r="P76" s="28">
        <v>11443.58</v>
      </c>
      <c r="Q76" s="45">
        <f>xCall!C88/1000000</f>
        <v>80657.825888884472</v>
      </c>
    </row>
    <row r="77" spans="1:23" ht="17">
      <c r="A77" s="65" t="s">
        <v>51</v>
      </c>
      <c r="B77" s="45">
        <f>SUM(F77:Q77)</f>
        <v>75184.148467307183</v>
      </c>
      <c r="C77" s="45">
        <f>SUM(F77:H77)</f>
        <v>1717.8620000000001</v>
      </c>
      <c r="D77" s="45">
        <f>SUM(I77:M77)</f>
        <v>7683.5279199999995</v>
      </c>
      <c r="E77" s="45">
        <f>SUM(N77:Q77)</f>
        <v>65782.758547307181</v>
      </c>
      <c r="F77" s="28">
        <v>1408.114</v>
      </c>
      <c r="G77" s="28">
        <v>27.841999999999999</v>
      </c>
      <c r="H77" s="28">
        <v>281.90600000000001</v>
      </c>
      <c r="I77" s="28">
        <v>0</v>
      </c>
      <c r="J77" s="28">
        <v>0</v>
      </c>
      <c r="K77" s="28">
        <v>5485.268</v>
      </c>
      <c r="L77" s="28">
        <v>1734.24126</v>
      </c>
      <c r="M77" s="28">
        <v>464.01865999999995</v>
      </c>
      <c r="N77" s="28">
        <v>26156.537</v>
      </c>
      <c r="O77" s="28">
        <v>300</v>
      </c>
      <c r="P77" s="28">
        <v>11733.316000000001</v>
      </c>
      <c r="Q77" s="45">
        <f>xCall!C89/1000000</f>
        <v>27592.905547307178</v>
      </c>
    </row>
    <row r="78" spans="1:23" ht="34">
      <c r="A78" s="34" t="s">
        <v>236</v>
      </c>
      <c r="B78" s="45">
        <f t="shared" ref="B78:P78" si="39">SUM(B79:B81)</f>
        <v>423037.90122044215</v>
      </c>
      <c r="C78" s="45">
        <f t="shared" si="39"/>
        <v>21675.026000000002</v>
      </c>
      <c r="D78" s="45">
        <f t="shared" si="39"/>
        <v>14786.250059999998</v>
      </c>
      <c r="E78" s="45">
        <f t="shared" si="39"/>
        <v>386576.6251604422</v>
      </c>
      <c r="F78" s="45">
        <f t="shared" si="39"/>
        <v>1029.885</v>
      </c>
      <c r="G78" s="45">
        <f t="shared" si="39"/>
        <v>9920.6620000000021</v>
      </c>
      <c r="H78" s="45">
        <f t="shared" si="39"/>
        <v>10724.478999999999</v>
      </c>
      <c r="I78" s="45">
        <f t="shared" si="39"/>
        <v>1233.7863299999999</v>
      </c>
      <c r="J78" s="45">
        <f t="shared" si="39"/>
        <v>2191.904</v>
      </c>
      <c r="K78" s="45">
        <f t="shared" si="39"/>
        <v>3251.7449999999999</v>
      </c>
      <c r="L78" s="45">
        <f t="shared" si="39"/>
        <v>6721.6023299999997</v>
      </c>
      <c r="M78" s="45">
        <f t="shared" si="39"/>
        <v>1387.2123999999999</v>
      </c>
      <c r="N78" s="45">
        <f t="shared" si="39"/>
        <v>60676.218999999997</v>
      </c>
      <c r="O78" s="45">
        <f t="shared" si="39"/>
        <v>22873.326000000001</v>
      </c>
      <c r="P78" s="45">
        <f t="shared" si="39"/>
        <v>39090.485999999997</v>
      </c>
      <c r="Q78" s="45">
        <f>xCall!C90/1000000</f>
        <v>263936.59416044218</v>
      </c>
    </row>
    <row r="79" spans="1:23" ht="17">
      <c r="A79" s="65" t="s">
        <v>49</v>
      </c>
      <c r="B79" s="45">
        <f>SUM(F79:Q79)</f>
        <v>186870.8658870456</v>
      </c>
      <c r="C79" s="45">
        <f>SUM(F79:H79)</f>
        <v>19439.968000000001</v>
      </c>
      <c r="D79" s="45">
        <f>SUM(I79:M79)</f>
        <v>13640.14827</v>
      </c>
      <c r="E79" s="45">
        <f>SUM(N79:Q79)</f>
        <v>153790.7496170456</v>
      </c>
      <c r="F79" s="28">
        <v>343.29500000000002</v>
      </c>
      <c r="G79" s="28">
        <v>9879.5580000000009</v>
      </c>
      <c r="H79" s="28">
        <v>9217.1149999999998</v>
      </c>
      <c r="I79" s="28">
        <v>631.83809999999994</v>
      </c>
      <c r="J79" s="28">
        <v>2191.904</v>
      </c>
      <c r="K79" s="28">
        <v>2843.3310000000001</v>
      </c>
      <c r="L79" s="28">
        <v>6711.7402199999997</v>
      </c>
      <c r="M79" s="28">
        <v>1261.3349499999999</v>
      </c>
      <c r="N79" s="28">
        <v>20053.96</v>
      </c>
      <c r="O79" s="28">
        <v>22873.324000000001</v>
      </c>
      <c r="P79" s="28">
        <v>12938.040999999999</v>
      </c>
      <c r="Q79" s="45">
        <f>xCall!C91/1000000</f>
        <v>97925.424617045603</v>
      </c>
    </row>
    <row r="80" spans="1:23" ht="17">
      <c r="A80" s="65" t="s">
        <v>50</v>
      </c>
      <c r="B80" s="45">
        <f>SUM(F80:Q80)</f>
        <v>112570.76069896876</v>
      </c>
      <c r="C80" s="45">
        <f>SUM(F80:H80)</f>
        <v>1872.086</v>
      </c>
      <c r="D80" s="45">
        <f>SUM(I80:M80)</f>
        <v>664.92153999999994</v>
      </c>
      <c r="E80" s="45">
        <f>SUM(N80:Q80)</f>
        <v>110033.75315896876</v>
      </c>
      <c r="F80" s="28">
        <v>343.29500000000002</v>
      </c>
      <c r="G80" s="28">
        <v>33.985999999999997</v>
      </c>
      <c r="H80" s="28">
        <v>1494.8050000000001</v>
      </c>
      <c r="I80" s="28">
        <v>601.94822999999997</v>
      </c>
      <c r="J80" s="28">
        <v>0</v>
      </c>
      <c r="K80" s="28">
        <v>54.655999999999999</v>
      </c>
      <c r="L80" s="28">
        <v>8.3173099999999991</v>
      </c>
      <c r="M80" s="28">
        <v>0</v>
      </c>
      <c r="N80" s="28">
        <v>20187.081999999999</v>
      </c>
      <c r="O80" s="28">
        <v>1E-3</v>
      </c>
      <c r="P80" s="28">
        <v>13051.884</v>
      </c>
      <c r="Q80" s="45">
        <f>xCall!C92/1000000</f>
        <v>76794.786158968767</v>
      </c>
    </row>
    <row r="81" spans="1:22" ht="17">
      <c r="A81" s="65" t="s">
        <v>51</v>
      </c>
      <c r="B81" s="45">
        <f>SUM(F81:Q81)</f>
        <v>123596.27463442783</v>
      </c>
      <c r="C81" s="45">
        <f>SUM(F81:H81)</f>
        <v>362.97200000000004</v>
      </c>
      <c r="D81" s="45">
        <f>SUM(I81:M81)</f>
        <v>481.18025</v>
      </c>
      <c r="E81" s="45">
        <f>SUM(N81:Q81)</f>
        <v>122752.12238442783</v>
      </c>
      <c r="F81" s="28">
        <v>343.29500000000002</v>
      </c>
      <c r="G81" s="28">
        <v>7.1180000000000003</v>
      </c>
      <c r="H81" s="28">
        <v>12.558999999999999</v>
      </c>
      <c r="I81" s="28">
        <v>0</v>
      </c>
      <c r="J81" s="28">
        <v>0</v>
      </c>
      <c r="K81" s="28">
        <v>353.75799999999998</v>
      </c>
      <c r="L81" s="28">
        <v>1.5448</v>
      </c>
      <c r="M81" s="28">
        <v>125.87745</v>
      </c>
      <c r="N81" s="28">
        <v>20435.177</v>
      </c>
      <c r="O81" s="28">
        <v>1E-3</v>
      </c>
      <c r="P81" s="28">
        <v>13100.561</v>
      </c>
      <c r="Q81" s="45">
        <f>xCall!C93/1000000</f>
        <v>89216.383384427827</v>
      </c>
    </row>
    <row r="82" spans="1:22" ht="17">
      <c r="A82" s="34" t="s">
        <v>237</v>
      </c>
      <c r="F82" s="3"/>
      <c r="G82" s="3"/>
      <c r="I82" s="3"/>
      <c r="N82" s="3"/>
      <c r="O82" s="3"/>
      <c r="P82" s="3"/>
      <c r="Q82" s="45"/>
    </row>
    <row r="83" spans="1:22" ht="17">
      <c r="A83" s="65" t="s">
        <v>86</v>
      </c>
      <c r="B83" s="45">
        <f>SUM(F83:Q83)</f>
        <v>15848.934999999999</v>
      </c>
      <c r="C83" s="45">
        <f>SUM(F83:H83)</f>
        <v>568</v>
      </c>
      <c r="D83" s="45">
        <f>SUM(I83:M83)</f>
        <v>1021</v>
      </c>
      <c r="E83" s="45">
        <f>SUM(N83:Q83)</f>
        <v>14259.934999999999</v>
      </c>
      <c r="F83" s="45">
        <f t="shared" ref="F83:P83" si="40">F7</f>
        <v>131</v>
      </c>
      <c r="G83" s="45">
        <f t="shared" si="40"/>
        <v>85</v>
      </c>
      <c r="H83" s="45">
        <f t="shared" si="40"/>
        <v>352</v>
      </c>
      <c r="I83" s="45">
        <f t="shared" si="40"/>
        <v>16</v>
      </c>
      <c r="J83" s="45">
        <f t="shared" si="40"/>
        <v>112</v>
      </c>
      <c r="K83" s="45">
        <f t="shared" si="40"/>
        <v>407</v>
      </c>
      <c r="L83" s="45">
        <f t="shared" si="40"/>
        <v>143</v>
      </c>
      <c r="M83" s="45">
        <f t="shared" si="40"/>
        <v>343</v>
      </c>
      <c r="N83" s="45">
        <f t="shared" si="40"/>
        <v>1892</v>
      </c>
      <c r="O83" s="45">
        <f t="shared" si="40"/>
        <v>780</v>
      </c>
      <c r="P83" s="45">
        <f t="shared" si="40"/>
        <v>921</v>
      </c>
      <c r="Q83" s="45">
        <f>xCall!C95/1000000</f>
        <v>10666.934999999999</v>
      </c>
    </row>
    <row r="84" spans="1:22" ht="17">
      <c r="A84" s="78" t="s">
        <v>238</v>
      </c>
      <c r="B84" s="45">
        <f>SUM(F84:Q84)</f>
        <v>11592.079138290195</v>
      </c>
      <c r="C84" s="45">
        <f>SUM(F84:H84)</f>
        <v>404</v>
      </c>
      <c r="D84" s="45">
        <f>SUM(I84:M84)</f>
        <v>251</v>
      </c>
      <c r="E84" s="45">
        <f>SUM(N84:Q84)</f>
        <v>10937.079138290195</v>
      </c>
      <c r="F84" s="28">
        <v>21</v>
      </c>
      <c r="G84" s="28">
        <v>32</v>
      </c>
      <c r="H84" s="28">
        <v>351</v>
      </c>
      <c r="I84" s="28">
        <v>13</v>
      </c>
      <c r="J84" s="28">
        <v>5</v>
      </c>
      <c r="K84" s="28">
        <v>25</v>
      </c>
      <c r="L84" s="28">
        <v>143</v>
      </c>
      <c r="M84" s="28">
        <v>65</v>
      </c>
      <c r="N84" s="28">
        <v>299</v>
      </c>
      <c r="O84" s="28">
        <v>20</v>
      </c>
      <c r="P84" s="28">
        <v>487</v>
      </c>
      <c r="Q84" s="45">
        <f>xCall!C96/1000000</f>
        <v>10131.079138290195</v>
      </c>
    </row>
    <row r="85" spans="1:22" ht="17">
      <c r="A85" s="78" t="s">
        <v>239</v>
      </c>
      <c r="B85" s="45">
        <f>SUM(F85:Q85)</f>
        <v>4256.8558617098042</v>
      </c>
      <c r="C85" s="45">
        <f>SUM(F85:H85)</f>
        <v>164</v>
      </c>
      <c r="D85" s="45">
        <f>SUM(I85:M85)</f>
        <v>770</v>
      </c>
      <c r="E85" s="45">
        <f>SUM(N85:Q85)</f>
        <v>3322.8558617098047</v>
      </c>
      <c r="F85" s="45">
        <f>F83-F84</f>
        <v>110</v>
      </c>
      <c r="G85" s="45">
        <f t="shared" ref="G85:P85" si="41">G83-G84</f>
        <v>53</v>
      </c>
      <c r="H85" s="45">
        <f t="shared" si="41"/>
        <v>1</v>
      </c>
      <c r="I85" s="45">
        <f t="shared" si="41"/>
        <v>3</v>
      </c>
      <c r="J85" s="45">
        <f t="shared" si="41"/>
        <v>107</v>
      </c>
      <c r="K85" s="45">
        <f t="shared" si="41"/>
        <v>382</v>
      </c>
      <c r="L85" s="45">
        <f t="shared" si="41"/>
        <v>0</v>
      </c>
      <c r="M85" s="45">
        <f t="shared" si="41"/>
        <v>278</v>
      </c>
      <c r="N85" s="45">
        <f t="shared" si="41"/>
        <v>1593</v>
      </c>
      <c r="O85" s="45">
        <f t="shared" si="41"/>
        <v>760</v>
      </c>
      <c r="P85" s="45">
        <f t="shared" si="41"/>
        <v>434</v>
      </c>
      <c r="Q85" s="45">
        <f>xCall!C97/1000000</f>
        <v>535.85586170980457</v>
      </c>
    </row>
    <row r="86" spans="1:22" ht="15" customHeight="1">
      <c r="A86" s="34" t="s">
        <v>130</v>
      </c>
      <c r="B86" s="53" t="s">
        <v>96</v>
      </c>
      <c r="C86" s="53" t="s">
        <v>96</v>
      </c>
      <c r="D86" s="53" t="s">
        <v>96</v>
      </c>
      <c r="E86" s="53" t="s">
        <v>96</v>
      </c>
      <c r="F86" s="54">
        <f>(Assumptions!$H58*Data!F84+Assumptions!$H59*Data!F85)/Data!F83</f>
        <v>3.8121496882378989</v>
      </c>
      <c r="G86" s="54">
        <f>(Assumptions!$H58*Data!G84+Assumptions!$H59*Data!G85)/Data!G83</f>
        <v>3.3163954813482492</v>
      </c>
      <c r="H86" s="54">
        <f>(Assumptions!$H58*Data!H84+Assumptions!$H59*Data!H85)/Data!H83</f>
        <v>1.8929060727632658</v>
      </c>
      <c r="I86" s="54">
        <f>(Assumptions!$H58*Data!I84+Assumptions!$H59*Data!I85)/Data!I83</f>
        <v>2.3164039448451157</v>
      </c>
      <c r="J86" s="54">
        <f>(Assumptions!$H58*Data!J84+Assumptions!$H59*Data!J85)/Data!J83</f>
        <v>4.0774104810623895</v>
      </c>
      <c r="K86" s="54">
        <f>(Assumptions!$H58*Data!K84+Assumptions!$H59*Data!K85)/Data!K83</f>
        <v>4.038922108963475</v>
      </c>
      <c r="L86" s="54">
        <f>(Assumptions!$H58*Data!L84+Assumptions!$H59*Data!L85)/Data!L83</f>
        <v>1.8863907208850836</v>
      </c>
      <c r="M86" s="54">
        <f>(Assumptions!$H58*Data!M84+Assumptions!$H59*Data!M85)/Data!M83</f>
        <v>3.7451845208600325</v>
      </c>
      <c r="N86" s="54">
        <f>(Assumptions!$H58*Data!N84+Assumptions!$H59*Data!N85)/Data!N83</f>
        <v>3.817359193804974</v>
      </c>
      <c r="O86" s="54">
        <f>(Assumptions!$H58*Data!O84+Assumptions!$H59*Data!O85)/Data!O83</f>
        <v>4.1209893547970458</v>
      </c>
      <c r="P86" s="54">
        <f>(Assumptions!$H58*Data!P84+Assumptions!$H59*Data!P85)/Data!P83</f>
        <v>2.9671043753108757</v>
      </c>
      <c r="Q86" s="45">
        <f>xCall!C98</f>
        <v>2.9148288612587407</v>
      </c>
      <c r="R86" s="47"/>
    </row>
    <row r="87" spans="1:22" ht="15" customHeight="1">
      <c r="A87" s="34" t="s">
        <v>253</v>
      </c>
      <c r="B87" s="45">
        <f>SUM(F87:Q87)</f>
        <v>20869.582000000002</v>
      </c>
      <c r="C87" s="45">
        <f>SUM(F87:H87)</f>
        <v>1983</v>
      </c>
      <c r="D87" s="45">
        <f>SUM(I87:M87)</f>
        <v>2054</v>
      </c>
      <c r="E87" s="45">
        <f>SUM(N87:Q87)</f>
        <v>16832.582000000002</v>
      </c>
      <c r="F87" s="45">
        <f t="shared" ref="F87:P87" si="42">F6+F7</f>
        <v>381</v>
      </c>
      <c r="G87" s="45">
        <f t="shared" si="42"/>
        <v>263</v>
      </c>
      <c r="H87" s="45">
        <f t="shared" si="42"/>
        <v>1339</v>
      </c>
      <c r="I87" s="45">
        <f t="shared" si="42"/>
        <v>26</v>
      </c>
      <c r="J87" s="45">
        <f t="shared" si="42"/>
        <v>262</v>
      </c>
      <c r="K87" s="45">
        <f t="shared" si="42"/>
        <v>797</v>
      </c>
      <c r="L87" s="45">
        <f t="shared" si="42"/>
        <v>328</v>
      </c>
      <c r="M87" s="45">
        <f t="shared" si="42"/>
        <v>641</v>
      </c>
      <c r="N87" s="45">
        <f t="shared" si="42"/>
        <v>2992</v>
      </c>
      <c r="O87" s="45">
        <f t="shared" si="42"/>
        <v>1230</v>
      </c>
      <c r="P87" s="45">
        <f t="shared" si="42"/>
        <v>1371</v>
      </c>
      <c r="Q87" s="45">
        <f>xCall!C99/1000000</f>
        <v>11239.582</v>
      </c>
      <c r="R87" s="53"/>
      <c r="S87" s="53"/>
    </row>
    <row r="88" spans="1:22" ht="15" customHeight="1">
      <c r="A88" s="34" t="s">
        <v>259</v>
      </c>
      <c r="B88" s="45">
        <f>SUM(F88:Q88)</f>
        <v>29575</v>
      </c>
      <c r="C88" s="45">
        <f>SUM(F88:H88)</f>
        <v>8027</v>
      </c>
      <c r="D88" s="45">
        <f>SUM(I88:M88)</f>
        <v>5366</v>
      </c>
      <c r="E88" s="45">
        <f>SUM(N88:Q88)</f>
        <v>16182</v>
      </c>
      <c r="F88" s="45">
        <f t="shared" ref="F88:P88" si="43">F12</f>
        <v>1124</v>
      </c>
      <c r="G88" s="45">
        <f t="shared" si="43"/>
        <v>982</v>
      </c>
      <c r="H88" s="45">
        <f t="shared" si="43"/>
        <v>5921</v>
      </c>
      <c r="I88" s="45">
        <f t="shared" si="43"/>
        <v>137</v>
      </c>
      <c r="J88" s="45">
        <f t="shared" si="43"/>
        <v>638</v>
      </c>
      <c r="K88" s="45">
        <f t="shared" si="43"/>
        <v>2211</v>
      </c>
      <c r="L88" s="45">
        <f t="shared" si="43"/>
        <v>782</v>
      </c>
      <c r="M88" s="45">
        <f t="shared" si="43"/>
        <v>1598</v>
      </c>
      <c r="N88" s="45">
        <f t="shared" si="43"/>
        <v>6801</v>
      </c>
      <c r="O88" s="45">
        <f t="shared" si="43"/>
        <v>7290</v>
      </c>
      <c r="P88" s="45">
        <f t="shared" si="43"/>
        <v>2091</v>
      </c>
      <c r="Q88" s="45">
        <f>xCall!C100/1000000</f>
        <v>0</v>
      </c>
      <c r="R88" s="53"/>
      <c r="S88" s="53"/>
    </row>
    <row r="89" spans="1:22" ht="15" customHeight="1">
      <c r="A89" s="65" t="s">
        <v>404</v>
      </c>
      <c r="B89" s="45">
        <f>SUM(F89:Q89)</f>
        <v>29575</v>
      </c>
      <c r="C89" s="45">
        <f>SUM(F89:H89)</f>
        <v>8027</v>
      </c>
      <c r="D89" s="45">
        <f>SUM(I89:M89)</f>
        <v>5366</v>
      </c>
      <c r="E89" s="45">
        <f>SUM(N89:Q89)</f>
        <v>16182</v>
      </c>
      <c r="F89" s="45">
        <f t="shared" ref="F89:P89" si="44">F12</f>
        <v>1124</v>
      </c>
      <c r="G89" s="45">
        <f t="shared" si="44"/>
        <v>982</v>
      </c>
      <c r="H89" s="45">
        <f t="shared" si="44"/>
        <v>5921</v>
      </c>
      <c r="I89" s="45">
        <f t="shared" si="44"/>
        <v>137</v>
      </c>
      <c r="J89" s="45">
        <f t="shared" si="44"/>
        <v>638</v>
      </c>
      <c r="K89" s="45">
        <f t="shared" si="44"/>
        <v>2211</v>
      </c>
      <c r="L89" s="45">
        <f t="shared" si="44"/>
        <v>782</v>
      </c>
      <c r="M89" s="45">
        <f t="shared" si="44"/>
        <v>1598</v>
      </c>
      <c r="N89" s="45">
        <f t="shared" si="44"/>
        <v>6801</v>
      </c>
      <c r="O89" s="45">
        <f t="shared" si="44"/>
        <v>7290</v>
      </c>
      <c r="P89" s="45">
        <f t="shared" si="44"/>
        <v>2091</v>
      </c>
      <c r="Q89" s="45">
        <f>xCall!C101/1000000</f>
        <v>0</v>
      </c>
      <c r="R89" s="53"/>
      <c r="S89" s="53"/>
    </row>
    <row r="90" spans="1:22" ht="15" customHeight="1">
      <c r="A90" s="65" t="s">
        <v>405</v>
      </c>
      <c r="B90" s="45">
        <f>SUM(F90:Q90)</f>
        <v>0</v>
      </c>
      <c r="C90" s="45">
        <f>SUM(F90:H90)</f>
        <v>0</v>
      </c>
      <c r="D90" s="45">
        <f>SUM(I90:M90)</f>
        <v>0</v>
      </c>
      <c r="E90" s="45">
        <f>SUM(N90:Q90)</f>
        <v>0</v>
      </c>
      <c r="F90" s="28">
        <v>0</v>
      </c>
      <c r="G90" s="28">
        <v>0</v>
      </c>
      <c r="H90" s="28">
        <v>0</v>
      </c>
      <c r="I90" s="28">
        <v>0</v>
      </c>
      <c r="J90" s="28">
        <v>0</v>
      </c>
      <c r="K90" s="28">
        <v>0</v>
      </c>
      <c r="L90" s="28">
        <v>0</v>
      </c>
      <c r="M90" s="28">
        <v>0</v>
      </c>
      <c r="N90" s="28">
        <v>0</v>
      </c>
      <c r="O90" s="28">
        <v>0</v>
      </c>
      <c r="P90" s="28">
        <v>0</v>
      </c>
      <c r="Q90" s="28">
        <v>0</v>
      </c>
      <c r="R90" s="53"/>
      <c r="S90" s="53"/>
    </row>
    <row r="91" spans="1:22" ht="15" customHeight="1">
      <c r="A91" s="34"/>
      <c r="B91" s="53"/>
      <c r="C91" s="53"/>
      <c r="D91" s="53"/>
      <c r="E91" s="53"/>
      <c r="F91" s="53"/>
      <c r="G91" s="53"/>
      <c r="H91" s="53"/>
      <c r="I91" s="53"/>
      <c r="J91" s="53"/>
      <c r="K91" s="53"/>
      <c r="L91" s="53"/>
      <c r="M91" s="53"/>
      <c r="N91" s="53"/>
      <c r="O91" s="53"/>
      <c r="P91" s="53"/>
      <c r="Q91" s="53"/>
      <c r="R91" s="53"/>
      <c r="S91" s="53"/>
    </row>
    <row r="92" spans="1:22" ht="17">
      <c r="A92" s="62" t="s">
        <v>129</v>
      </c>
      <c r="B92" s="18"/>
      <c r="C92" s="18"/>
      <c r="D92" s="18"/>
      <c r="E92" s="18"/>
      <c r="F92" s="69"/>
      <c r="G92" s="69"/>
      <c r="H92" s="69"/>
      <c r="I92" s="69"/>
      <c r="J92" s="69"/>
      <c r="K92" s="69"/>
      <c r="L92" s="69"/>
      <c r="M92" s="69"/>
      <c r="N92" s="69"/>
      <c r="O92" s="69"/>
      <c r="P92" s="69"/>
      <c r="Q92" s="69"/>
      <c r="R92" s="18"/>
      <c r="S92" s="18"/>
      <c r="T92" s="18"/>
      <c r="U92" s="18"/>
      <c r="V92" s="18"/>
    </row>
    <row r="93" spans="1:22" ht="17">
      <c r="A93" s="34" t="s">
        <v>54</v>
      </c>
      <c r="B93" s="45">
        <f t="shared" ref="B93:B98" si="45">SUM(F93:Q93)</f>
        <v>474.11500092135333</v>
      </c>
      <c r="C93" s="45">
        <f t="shared" ref="C93:C98" si="46">SUM(F93:H93)</f>
        <v>-89.606000000000009</v>
      </c>
      <c r="D93" s="45">
        <f t="shared" ref="D93:D98" si="47">SUM(I93:M93)</f>
        <v>53.349999999999994</v>
      </c>
      <c r="E93" s="45">
        <f t="shared" ref="E93:E98" si="48">SUM(N93:Q93)</f>
        <v>510.37100092135336</v>
      </c>
      <c r="F93" s="45">
        <f>SUM(F94:F97)</f>
        <v>11.476000000000001</v>
      </c>
      <c r="G93" s="45">
        <f t="shared" ref="G93:P93" si="49">SUM(G94:G97)</f>
        <v>-8.1450000000000031</v>
      </c>
      <c r="H93" s="45">
        <f t="shared" si="49"/>
        <v>-92.937000000000012</v>
      </c>
      <c r="I93" s="45">
        <f t="shared" si="49"/>
        <v>0</v>
      </c>
      <c r="J93" s="45">
        <f t="shared" si="49"/>
        <v>12.047999999999998</v>
      </c>
      <c r="K93" s="45">
        <f t="shared" si="49"/>
        <v>13.811999999999999</v>
      </c>
      <c r="L93" s="45">
        <f t="shared" si="49"/>
        <v>4.8020000000000005</v>
      </c>
      <c r="M93" s="45">
        <f t="shared" si="49"/>
        <v>22.687999999999999</v>
      </c>
      <c r="N93" s="45">
        <f t="shared" si="49"/>
        <v>85.326000000000008</v>
      </c>
      <c r="O93" s="45">
        <f t="shared" si="49"/>
        <v>61.085999999999999</v>
      </c>
      <c r="P93" s="45">
        <f t="shared" si="49"/>
        <v>88.117999999999995</v>
      </c>
      <c r="Q93" s="45">
        <f>xCall!C105/1000000</f>
        <v>275.84100092135333</v>
      </c>
    </row>
    <row r="94" spans="1:22" ht="17">
      <c r="A94" s="65" t="s">
        <v>52</v>
      </c>
      <c r="B94" s="45">
        <f t="shared" si="45"/>
        <v>53.701494620128059</v>
      </c>
      <c r="C94" s="45">
        <f t="shared" si="46"/>
        <v>-153.45500000000001</v>
      </c>
      <c r="D94" s="45">
        <f t="shared" si="47"/>
        <v>-3.1189999999999998</v>
      </c>
      <c r="E94" s="45">
        <f t="shared" si="48"/>
        <v>210.27549462012809</v>
      </c>
      <c r="F94" s="28">
        <v>2.161</v>
      </c>
      <c r="G94" s="28">
        <v>-47.603000000000002</v>
      </c>
      <c r="H94" s="28">
        <v>-108.01300000000001</v>
      </c>
      <c r="I94" s="28">
        <v>0</v>
      </c>
      <c r="J94" s="28">
        <v>-3.589</v>
      </c>
      <c r="K94" s="28">
        <v>7.3209999999999997</v>
      </c>
      <c r="L94" s="28">
        <v>-6.2859999999999996</v>
      </c>
      <c r="M94" s="28">
        <v>-0.56499999999999995</v>
      </c>
      <c r="N94" s="28">
        <v>88.414000000000001</v>
      </c>
      <c r="O94" s="28">
        <v>48.3</v>
      </c>
      <c r="P94" s="28">
        <v>42.982999999999997</v>
      </c>
      <c r="Q94" s="45">
        <f>xCall!C106/1000000</f>
        <v>30.578494620128076</v>
      </c>
    </row>
    <row r="95" spans="1:22" ht="17">
      <c r="A95" s="65" t="s">
        <v>79</v>
      </c>
      <c r="B95" s="45">
        <f t="shared" si="45"/>
        <v>64.211326214176353</v>
      </c>
      <c r="C95" s="45">
        <f t="shared" si="46"/>
        <v>53.731999999999999</v>
      </c>
      <c r="D95" s="45">
        <f t="shared" si="47"/>
        <v>3.7199999999999998</v>
      </c>
      <c r="E95" s="45">
        <f t="shared" si="48"/>
        <v>6.7593262141763475</v>
      </c>
      <c r="F95" s="28">
        <v>7.0720000000000001</v>
      </c>
      <c r="G95" s="28">
        <v>11.180999999999999</v>
      </c>
      <c r="H95" s="28">
        <v>35.478999999999999</v>
      </c>
      <c r="I95" s="28">
        <v>0</v>
      </c>
      <c r="J95" s="28">
        <v>-5.1310000000000002</v>
      </c>
      <c r="K95" s="28">
        <v>0.83699999999999997</v>
      </c>
      <c r="L95" s="28">
        <v>2.431</v>
      </c>
      <c r="M95" s="28">
        <v>5.5830000000000002</v>
      </c>
      <c r="N95" s="28">
        <v>-3.601</v>
      </c>
      <c r="O95" s="28">
        <v>-2.145</v>
      </c>
      <c r="P95" s="28">
        <v>-0.41599999999999998</v>
      </c>
      <c r="Q95" s="45">
        <f>xCall!C107/1000000</f>
        <v>12.921326214176348</v>
      </c>
    </row>
    <row r="96" spans="1:22" ht="17">
      <c r="A96" s="65" t="s">
        <v>53</v>
      </c>
      <c r="B96" s="45">
        <f t="shared" si="45"/>
        <v>203.20410799207431</v>
      </c>
      <c r="C96" s="45">
        <f t="shared" si="46"/>
        <v>2.4399999999999995</v>
      </c>
      <c r="D96" s="45">
        <f t="shared" si="47"/>
        <v>12.805000000000001</v>
      </c>
      <c r="E96" s="45">
        <f t="shared" si="48"/>
        <v>187.95910799207431</v>
      </c>
      <c r="F96" s="28">
        <v>2.1789999999999998</v>
      </c>
      <c r="G96" s="28">
        <v>6.5140000000000002</v>
      </c>
      <c r="H96" s="28">
        <v>-6.2530000000000001</v>
      </c>
      <c r="I96" s="28">
        <v>0</v>
      </c>
      <c r="J96" s="28">
        <v>7.7809999999999997</v>
      </c>
      <c r="K96" s="28">
        <v>3.847</v>
      </c>
      <c r="L96" s="28">
        <v>1.0469999999999999</v>
      </c>
      <c r="M96" s="28">
        <v>0.13</v>
      </c>
      <c r="N96" s="28">
        <v>-8.4009999999999998</v>
      </c>
      <c r="O96" s="28">
        <v>8.1720000000000006</v>
      </c>
      <c r="P96" s="28">
        <v>1.492</v>
      </c>
      <c r="Q96" s="45">
        <f>xCall!C108/1000000</f>
        <v>186.6961079920743</v>
      </c>
    </row>
    <row r="97" spans="1:32" ht="17">
      <c r="A97" s="65" t="s">
        <v>146</v>
      </c>
      <c r="B97" s="45">
        <f t="shared" si="45"/>
        <v>152.99807209497462</v>
      </c>
      <c r="C97" s="45">
        <f t="shared" si="46"/>
        <v>7.6770000000000014</v>
      </c>
      <c r="D97" s="45">
        <f t="shared" si="47"/>
        <v>39.944000000000003</v>
      </c>
      <c r="E97" s="45">
        <f t="shared" si="48"/>
        <v>105.37707209497461</v>
      </c>
      <c r="F97" s="28">
        <v>6.4000000000000001E-2</v>
      </c>
      <c r="G97" s="28">
        <v>21.763000000000002</v>
      </c>
      <c r="H97" s="28">
        <v>-14.15</v>
      </c>
      <c r="I97" s="28">
        <v>0</v>
      </c>
      <c r="J97" s="28">
        <v>12.987</v>
      </c>
      <c r="K97" s="28">
        <v>1.8069999999999999</v>
      </c>
      <c r="L97" s="28">
        <v>7.61</v>
      </c>
      <c r="M97" s="28">
        <v>17.54</v>
      </c>
      <c r="N97" s="28">
        <v>8.9139999999999997</v>
      </c>
      <c r="O97" s="28">
        <v>6.7590000000000003</v>
      </c>
      <c r="P97" s="28">
        <v>44.058999999999997</v>
      </c>
      <c r="Q97" s="45">
        <f>xCall!C109/1000000</f>
        <v>45.645072094974616</v>
      </c>
    </row>
    <row r="98" spans="1:32" ht="17">
      <c r="A98" s="34" t="s">
        <v>62</v>
      </c>
      <c r="B98" s="45">
        <f t="shared" si="45"/>
        <v>31475.809911245502</v>
      </c>
      <c r="C98" s="45">
        <f t="shared" si="46"/>
        <v>3478</v>
      </c>
      <c r="D98" s="45">
        <f t="shared" si="47"/>
        <v>4178</v>
      </c>
      <c r="E98" s="45">
        <f t="shared" si="48"/>
        <v>23819.809911245502</v>
      </c>
      <c r="F98" s="28">
        <v>357</v>
      </c>
      <c r="G98" s="28">
        <v>557</v>
      </c>
      <c r="H98" s="28">
        <v>2564</v>
      </c>
      <c r="I98" s="28">
        <v>137</v>
      </c>
      <c r="J98" s="28">
        <v>487</v>
      </c>
      <c r="K98" s="28">
        <v>1587</v>
      </c>
      <c r="L98" s="28">
        <v>722</v>
      </c>
      <c r="M98" s="28">
        <v>1245</v>
      </c>
      <c r="N98" s="28">
        <v>6245</v>
      </c>
      <c r="O98" s="28">
        <v>1987</v>
      </c>
      <c r="P98" s="28">
        <v>2245</v>
      </c>
      <c r="Q98" s="45">
        <f>xCall!C110/1000000</f>
        <v>13342.809911245504</v>
      </c>
    </row>
    <row r="100" spans="1:32" ht="17">
      <c r="A100" s="66" t="s">
        <v>354</v>
      </c>
      <c r="B100" s="19"/>
      <c r="C100" s="19"/>
      <c r="D100" s="19"/>
      <c r="E100" s="19"/>
      <c r="G100" s="19"/>
      <c r="H100" s="19"/>
      <c r="J100" s="19"/>
      <c r="K100" s="19"/>
      <c r="L100" s="19"/>
      <c r="M100" s="19"/>
      <c r="Q100" s="19"/>
    </row>
    <row r="101" spans="1:32" ht="15" customHeight="1">
      <c r="A101" s="34" t="s">
        <v>274</v>
      </c>
      <c r="B101" s="45">
        <f>SUM(F101:Q101)</f>
        <v>1160.4966512326891</v>
      </c>
      <c r="C101" s="45">
        <f>SUM(F101:H101)</f>
        <v>17</v>
      </c>
      <c r="D101" s="45">
        <f>SUM(I101:M101)</f>
        <v>183</v>
      </c>
      <c r="E101" s="45">
        <f>SUM(N101:Q101)</f>
        <v>960.49665123268915</v>
      </c>
      <c r="F101" s="28">
        <v>-10</v>
      </c>
      <c r="G101" s="28">
        <v>5</v>
      </c>
      <c r="H101" s="28">
        <v>22</v>
      </c>
      <c r="I101" s="28">
        <v>8</v>
      </c>
      <c r="J101" s="28">
        <v>31</v>
      </c>
      <c r="K101" s="28">
        <v>41</v>
      </c>
      <c r="L101" s="28">
        <v>40</v>
      </c>
      <c r="M101" s="28">
        <v>63</v>
      </c>
      <c r="N101" s="28">
        <v>180</v>
      </c>
      <c r="O101" s="28">
        <v>420</v>
      </c>
      <c r="P101" s="28">
        <v>99</v>
      </c>
      <c r="Q101" s="28">
        <f>xCall!C113/1000000</f>
        <v>261.4966512326892</v>
      </c>
    </row>
    <row r="102" spans="1:32" ht="17">
      <c r="A102" s="34" t="s">
        <v>275</v>
      </c>
      <c r="B102" s="45">
        <f>SUM(F102:Q102)</f>
        <v>1205.493892530704</v>
      </c>
      <c r="C102" s="45">
        <f>SUM(F102:H102)</f>
        <v>89.6</v>
      </c>
      <c r="D102" s="45">
        <f>SUM(I102:M102)</f>
        <v>213.8</v>
      </c>
      <c r="E102" s="45">
        <f>SUM(N102:Q102)</f>
        <v>902.09389253070424</v>
      </c>
      <c r="F102" s="28">
        <v>22</v>
      </c>
      <c r="G102" s="28">
        <v>45</v>
      </c>
      <c r="H102" s="28">
        <v>22.6</v>
      </c>
      <c r="I102" s="28">
        <v>7.8</v>
      </c>
      <c r="J102" s="28">
        <v>66.2</v>
      </c>
      <c r="K102" s="28">
        <v>29.6</v>
      </c>
      <c r="L102" s="28">
        <v>66.2</v>
      </c>
      <c r="M102" s="28">
        <v>44</v>
      </c>
      <c r="N102" s="28">
        <v>52.2</v>
      </c>
      <c r="O102" s="28">
        <v>780</v>
      </c>
      <c r="P102" s="28">
        <v>56</v>
      </c>
      <c r="Q102" s="28">
        <f>xCall!C114/1000000</f>
        <v>13.893892530704177</v>
      </c>
    </row>
    <row r="103" spans="1:32" ht="17">
      <c r="A103" s="34" t="s">
        <v>342</v>
      </c>
      <c r="B103" s="54">
        <v>2.265547024880163</v>
      </c>
      <c r="C103" s="54">
        <v>1.8441175857603114</v>
      </c>
      <c r="D103" s="54">
        <v>2.0170008835863689</v>
      </c>
      <c r="E103" s="54">
        <v>2.8923017808372951</v>
      </c>
      <c r="F103" s="54">
        <v>2.7332248325899791</v>
      </c>
      <c r="G103" s="54">
        <v>2.5752454530822466</v>
      </c>
      <c r="H103" s="54">
        <v>0.2238824716087095</v>
      </c>
      <c r="I103" s="54">
        <v>1.2159002338269678</v>
      </c>
      <c r="J103" s="54">
        <v>3.4525704439108553</v>
      </c>
      <c r="K103" s="54">
        <v>0.52000078834578978</v>
      </c>
      <c r="L103" s="54">
        <v>3.9580221068590897</v>
      </c>
      <c r="M103" s="54">
        <v>0.93851084498914161</v>
      </c>
      <c r="N103" s="54">
        <v>0.45899322433265977</v>
      </c>
      <c r="O103" s="54">
        <v>5.5233746449360419</v>
      </c>
      <c r="P103" s="54">
        <v>0.95416258935208176</v>
      </c>
      <c r="Q103" s="28">
        <f>xCall!C115</f>
        <v>2.5124788126169424</v>
      </c>
    </row>
    <row r="105" spans="1:32">
      <c r="A105" s="44" t="s">
        <v>210</v>
      </c>
      <c r="B105" s="19"/>
      <c r="C105" s="19"/>
      <c r="D105" s="19"/>
      <c r="E105" s="19"/>
      <c r="G105" s="19"/>
      <c r="H105" s="19"/>
      <c r="J105" s="19"/>
      <c r="K105" s="19"/>
      <c r="L105" s="19"/>
      <c r="M105" s="19"/>
      <c r="Q105" s="19"/>
    </row>
    <row r="106" spans="1:32" ht="17">
      <c r="A106" s="34" t="s">
        <v>26</v>
      </c>
      <c r="B106" s="19"/>
      <c r="C106" s="19"/>
      <c r="D106" s="19"/>
      <c r="E106" s="19"/>
      <c r="F106" s="67" t="s">
        <v>96</v>
      </c>
      <c r="G106" s="67">
        <v>0</v>
      </c>
      <c r="H106" s="67">
        <v>32</v>
      </c>
      <c r="I106" s="67">
        <v>21</v>
      </c>
      <c r="J106" s="67">
        <v>33</v>
      </c>
      <c r="K106" s="67">
        <v>12</v>
      </c>
      <c r="L106" s="67">
        <v>23</v>
      </c>
      <c r="M106" s="67">
        <v>12</v>
      </c>
      <c r="N106" s="67">
        <v>0</v>
      </c>
      <c r="O106" s="67">
        <v>18</v>
      </c>
      <c r="P106" s="67">
        <v>0</v>
      </c>
      <c r="Q106" s="67">
        <f>xCall!C118/1000000</f>
        <v>559.7393275821056</v>
      </c>
      <c r="S106" s="19"/>
      <c r="T106" s="19"/>
      <c r="U106" s="19"/>
      <c r="V106" s="19"/>
      <c r="W106" s="19"/>
      <c r="X106" s="19"/>
      <c r="Y106" s="19"/>
      <c r="Z106" s="19"/>
      <c r="AA106" s="19"/>
      <c r="AB106" s="19"/>
      <c r="AC106" s="19"/>
      <c r="AD106" s="19"/>
      <c r="AE106" s="19"/>
      <c r="AF106" s="19"/>
    </row>
    <row r="107" spans="1:32" ht="17">
      <c r="A107" s="34" t="s">
        <v>29</v>
      </c>
      <c r="B107" s="19"/>
      <c r="C107" s="19"/>
      <c r="D107" s="19"/>
      <c r="E107" s="19"/>
      <c r="F107" s="67">
        <v>45</v>
      </c>
      <c r="G107" s="67" t="s">
        <v>96</v>
      </c>
      <c r="H107" s="67">
        <v>35</v>
      </c>
      <c r="I107" s="67">
        <v>70</v>
      </c>
      <c r="J107" s="67">
        <v>55</v>
      </c>
      <c r="K107" s="67">
        <v>60</v>
      </c>
      <c r="L107" s="67">
        <v>28</v>
      </c>
      <c r="M107" s="67">
        <v>20</v>
      </c>
      <c r="N107" s="67">
        <v>31</v>
      </c>
      <c r="O107" s="67">
        <v>48</v>
      </c>
      <c r="P107" s="67">
        <v>0</v>
      </c>
      <c r="Q107" s="67">
        <f>xCall!C119/1000000</f>
        <v>0</v>
      </c>
      <c r="S107" s="19"/>
      <c r="T107" s="19"/>
      <c r="U107" s="19"/>
      <c r="V107" s="19"/>
      <c r="W107" s="19"/>
      <c r="X107" s="19"/>
      <c r="Y107" s="19"/>
      <c r="Z107" s="19"/>
      <c r="AA107" s="19"/>
      <c r="AB107" s="19"/>
      <c r="AC107" s="19"/>
      <c r="AD107" s="19"/>
      <c r="AE107" s="19"/>
      <c r="AF107" s="19"/>
    </row>
    <row r="108" spans="1:32" ht="17">
      <c r="A108" s="34" t="s">
        <v>30</v>
      </c>
      <c r="B108" s="19"/>
      <c r="C108" s="19"/>
      <c r="D108" s="19"/>
      <c r="E108" s="19"/>
      <c r="F108" s="67">
        <v>0</v>
      </c>
      <c r="G108" s="67">
        <v>5</v>
      </c>
      <c r="H108" s="67" t="s">
        <v>96</v>
      </c>
      <c r="I108" s="67">
        <v>7</v>
      </c>
      <c r="J108" s="67">
        <v>0</v>
      </c>
      <c r="K108" s="67">
        <v>15</v>
      </c>
      <c r="L108" s="67">
        <v>13</v>
      </c>
      <c r="M108" s="67">
        <v>31</v>
      </c>
      <c r="N108" s="67">
        <v>15</v>
      </c>
      <c r="O108" s="67">
        <v>0</v>
      </c>
      <c r="P108" s="67">
        <v>0</v>
      </c>
      <c r="Q108" s="67">
        <f>xCall!C120/1000000</f>
        <v>0</v>
      </c>
      <c r="S108" s="19"/>
      <c r="T108" s="19"/>
      <c r="U108" s="19"/>
      <c r="V108" s="19"/>
      <c r="W108" s="19"/>
      <c r="X108" s="19"/>
      <c r="Y108" s="19"/>
      <c r="Z108" s="19"/>
      <c r="AA108" s="19"/>
      <c r="AB108" s="19"/>
      <c r="AC108" s="19"/>
      <c r="AD108" s="19"/>
      <c r="AE108" s="19"/>
      <c r="AF108" s="19"/>
    </row>
    <row r="109" spans="1:32" ht="17">
      <c r="A109" s="34" t="s">
        <v>33</v>
      </c>
      <c r="B109" s="19"/>
      <c r="C109" s="19"/>
      <c r="D109" s="19"/>
      <c r="E109" s="19"/>
      <c r="F109" s="67">
        <v>25</v>
      </c>
      <c r="G109" s="67">
        <v>0</v>
      </c>
      <c r="H109" s="67">
        <v>33</v>
      </c>
      <c r="I109" s="67" t="s">
        <v>96</v>
      </c>
      <c r="J109" s="67">
        <v>15</v>
      </c>
      <c r="K109" s="67">
        <v>18</v>
      </c>
      <c r="L109" s="67">
        <v>26</v>
      </c>
      <c r="M109" s="67">
        <v>32</v>
      </c>
      <c r="N109" s="67">
        <v>33</v>
      </c>
      <c r="O109" s="67">
        <v>20</v>
      </c>
      <c r="P109" s="67">
        <v>0</v>
      </c>
      <c r="Q109" s="67">
        <f>xCall!C121/1000000</f>
        <v>0</v>
      </c>
      <c r="S109" s="19"/>
      <c r="T109" s="19"/>
      <c r="U109" s="19"/>
      <c r="V109" s="19"/>
      <c r="W109" s="19"/>
      <c r="X109" s="19"/>
      <c r="Y109" s="19"/>
      <c r="Z109" s="19"/>
      <c r="AA109" s="19"/>
      <c r="AB109" s="19"/>
      <c r="AC109" s="19"/>
      <c r="AD109" s="19"/>
      <c r="AE109" s="19"/>
      <c r="AF109" s="19"/>
    </row>
    <row r="110" spans="1:32" ht="17">
      <c r="A110" s="34" t="s">
        <v>34</v>
      </c>
      <c r="B110" s="19"/>
      <c r="C110" s="19"/>
      <c r="D110" s="19"/>
      <c r="E110" s="19"/>
      <c r="F110" s="67">
        <v>23</v>
      </c>
      <c r="G110" s="67">
        <v>0</v>
      </c>
      <c r="H110" s="67">
        <v>40</v>
      </c>
      <c r="I110" s="67">
        <v>20</v>
      </c>
      <c r="J110" s="67" t="s">
        <v>96</v>
      </c>
      <c r="K110" s="67">
        <v>20</v>
      </c>
      <c r="L110" s="67">
        <v>23</v>
      </c>
      <c r="M110" s="67">
        <v>26</v>
      </c>
      <c r="N110" s="67">
        <v>0</v>
      </c>
      <c r="O110" s="67">
        <v>20</v>
      </c>
      <c r="P110" s="67">
        <v>0</v>
      </c>
      <c r="Q110" s="67">
        <f>xCall!C122/1000000</f>
        <v>0</v>
      </c>
      <c r="S110" s="19"/>
      <c r="T110" s="19"/>
      <c r="U110" s="19"/>
      <c r="V110" s="19"/>
      <c r="W110" s="19"/>
      <c r="X110" s="19"/>
      <c r="Y110" s="19"/>
      <c r="Z110" s="19"/>
      <c r="AA110" s="19"/>
      <c r="AB110" s="19"/>
      <c r="AC110" s="19"/>
      <c r="AD110" s="19"/>
      <c r="AE110" s="19"/>
      <c r="AF110" s="19"/>
    </row>
    <row r="111" spans="1:32" ht="17">
      <c r="A111" s="34" t="s">
        <v>35</v>
      </c>
      <c r="B111" s="19"/>
      <c r="C111" s="19"/>
      <c r="D111" s="19"/>
      <c r="E111" s="19"/>
      <c r="F111" s="67">
        <v>25</v>
      </c>
      <c r="G111" s="67">
        <v>0</v>
      </c>
      <c r="H111" s="67">
        <v>25</v>
      </c>
      <c r="I111" s="67">
        <v>16</v>
      </c>
      <c r="J111" s="67">
        <v>18</v>
      </c>
      <c r="K111" s="67" t="s">
        <v>96</v>
      </c>
      <c r="L111" s="67">
        <v>20</v>
      </c>
      <c r="M111" s="67">
        <v>29</v>
      </c>
      <c r="N111" s="67">
        <v>20</v>
      </c>
      <c r="O111" s="67">
        <v>18</v>
      </c>
      <c r="P111" s="67">
        <v>17</v>
      </c>
      <c r="Q111" s="67">
        <f>xCall!C123/1000000</f>
        <v>1006.6258796935198</v>
      </c>
      <c r="S111" s="19"/>
      <c r="T111" s="19"/>
      <c r="U111" s="19"/>
      <c r="V111" s="19"/>
      <c r="W111" s="19"/>
      <c r="X111" s="19"/>
      <c r="Y111" s="19"/>
      <c r="Z111" s="19"/>
      <c r="AA111" s="19"/>
      <c r="AB111" s="19"/>
      <c r="AC111" s="19"/>
      <c r="AD111" s="19"/>
      <c r="AE111" s="19"/>
      <c r="AF111" s="19"/>
    </row>
    <row r="112" spans="1:32" ht="17">
      <c r="A112" s="34" t="s">
        <v>36</v>
      </c>
      <c r="B112" s="19"/>
      <c r="C112" s="19"/>
      <c r="D112" s="19"/>
      <c r="E112" s="19"/>
      <c r="F112" s="67">
        <v>32</v>
      </c>
      <c r="G112" s="67">
        <v>12</v>
      </c>
      <c r="H112" s="67">
        <v>27</v>
      </c>
      <c r="I112" s="67">
        <v>19</v>
      </c>
      <c r="J112" s="67">
        <v>20</v>
      </c>
      <c r="K112" s="67">
        <v>23</v>
      </c>
      <c r="L112" s="67" t="s">
        <v>96</v>
      </c>
      <c r="M112" s="67">
        <v>20</v>
      </c>
      <c r="N112" s="67">
        <v>20</v>
      </c>
      <c r="O112" s="67">
        <v>5</v>
      </c>
      <c r="P112" s="67">
        <v>16</v>
      </c>
      <c r="Q112" s="67">
        <f>xCall!C124/1000000</f>
        <v>635.82206128053576</v>
      </c>
      <c r="S112" s="19"/>
      <c r="T112" s="19"/>
      <c r="U112" s="19"/>
      <c r="V112" s="19"/>
      <c r="W112" s="19"/>
      <c r="X112" s="19"/>
      <c r="Y112" s="19"/>
      <c r="Z112" s="19"/>
      <c r="AA112" s="19"/>
      <c r="AB112" s="19"/>
      <c r="AC112" s="19"/>
      <c r="AD112" s="19"/>
      <c r="AE112" s="19"/>
      <c r="AF112" s="19"/>
    </row>
    <row r="113" spans="1:32" ht="17">
      <c r="A113" s="34" t="s">
        <v>37</v>
      </c>
      <c r="B113" s="19"/>
      <c r="C113" s="19"/>
      <c r="D113" s="19"/>
      <c r="E113" s="19"/>
      <c r="F113" s="67">
        <v>0</v>
      </c>
      <c r="G113" s="67">
        <v>0</v>
      </c>
      <c r="H113" s="67">
        <v>0</v>
      </c>
      <c r="I113" s="67">
        <v>0</v>
      </c>
      <c r="J113" s="67">
        <v>0</v>
      </c>
      <c r="K113" s="67">
        <v>0</v>
      </c>
      <c r="L113" s="67">
        <v>0</v>
      </c>
      <c r="M113" s="67" t="s">
        <v>96</v>
      </c>
      <c r="N113" s="67">
        <v>0</v>
      </c>
      <c r="O113" s="67">
        <v>0</v>
      </c>
      <c r="P113" s="67">
        <v>0</v>
      </c>
      <c r="Q113" s="67">
        <f>xCall!C125/1000000</f>
        <v>0</v>
      </c>
      <c r="S113" s="19"/>
      <c r="T113" s="19"/>
      <c r="U113" s="19"/>
      <c r="V113" s="19"/>
      <c r="W113" s="19"/>
      <c r="X113" s="19"/>
      <c r="Y113" s="19"/>
      <c r="Z113" s="19"/>
      <c r="AA113" s="19"/>
      <c r="AB113" s="19"/>
      <c r="AC113" s="19"/>
      <c r="AD113" s="19"/>
      <c r="AE113" s="19"/>
      <c r="AF113" s="19"/>
    </row>
    <row r="114" spans="1:32" ht="17">
      <c r="A114" s="34" t="s">
        <v>27</v>
      </c>
      <c r="B114" s="19"/>
      <c r="C114" s="19"/>
      <c r="D114" s="19"/>
      <c r="E114" s="19"/>
      <c r="F114" s="67">
        <v>45</v>
      </c>
      <c r="G114" s="67">
        <v>9</v>
      </c>
      <c r="H114" s="67">
        <v>25</v>
      </c>
      <c r="I114" s="67">
        <v>37</v>
      </c>
      <c r="J114" s="67">
        <v>43</v>
      </c>
      <c r="K114" s="67">
        <v>0</v>
      </c>
      <c r="L114" s="67">
        <v>1</v>
      </c>
      <c r="M114" s="67">
        <v>0</v>
      </c>
      <c r="N114" s="67" t="s">
        <v>96</v>
      </c>
      <c r="O114" s="67">
        <v>0</v>
      </c>
      <c r="P114" s="67">
        <v>0</v>
      </c>
      <c r="Q114" s="67">
        <f>xCall!C126/1000000</f>
        <v>0</v>
      </c>
      <c r="S114" s="19"/>
      <c r="T114" s="19"/>
      <c r="U114" s="19"/>
      <c r="V114" s="19"/>
      <c r="W114" s="19"/>
      <c r="X114" s="19"/>
      <c r="Y114" s="19"/>
      <c r="Z114" s="19"/>
      <c r="AA114" s="19"/>
      <c r="AB114" s="19"/>
      <c r="AC114" s="19"/>
      <c r="AD114" s="19"/>
      <c r="AE114" s="19"/>
      <c r="AF114" s="19"/>
    </row>
    <row r="115" spans="1:32" ht="17">
      <c r="A115" s="34" t="s">
        <v>32</v>
      </c>
      <c r="B115" s="19"/>
      <c r="C115" s="19"/>
      <c r="D115" s="19"/>
      <c r="E115" s="19"/>
      <c r="F115" s="67">
        <v>22</v>
      </c>
      <c r="G115" s="67">
        <v>0</v>
      </c>
      <c r="H115" s="67">
        <v>82</v>
      </c>
      <c r="I115" s="67">
        <v>20</v>
      </c>
      <c r="J115" s="67">
        <v>20</v>
      </c>
      <c r="K115" s="67">
        <v>22</v>
      </c>
      <c r="L115" s="67">
        <v>35</v>
      </c>
      <c r="M115" s="67">
        <v>20</v>
      </c>
      <c r="N115" s="67">
        <v>20</v>
      </c>
      <c r="O115" s="67" t="s">
        <v>96</v>
      </c>
      <c r="P115" s="67">
        <v>20</v>
      </c>
      <c r="Q115" s="67">
        <f>xCall!C127/1000000</f>
        <v>963.449861156559</v>
      </c>
      <c r="S115" s="19"/>
      <c r="T115" s="19"/>
      <c r="U115" s="19"/>
      <c r="V115" s="19"/>
      <c r="W115" s="19"/>
      <c r="X115" s="19"/>
      <c r="Y115" s="19"/>
      <c r="Z115" s="19"/>
      <c r="AA115" s="19"/>
      <c r="AB115" s="19"/>
      <c r="AC115" s="19"/>
      <c r="AD115" s="19"/>
      <c r="AE115" s="19"/>
      <c r="AF115" s="19"/>
    </row>
    <row r="116" spans="1:32" ht="17">
      <c r="A116" s="34" t="s">
        <v>28</v>
      </c>
      <c r="B116" s="19"/>
      <c r="C116" s="19"/>
      <c r="D116" s="19"/>
      <c r="E116" s="19"/>
      <c r="F116" s="67">
        <v>43</v>
      </c>
      <c r="G116" s="67">
        <v>0</v>
      </c>
      <c r="H116" s="67">
        <v>97</v>
      </c>
      <c r="I116" s="67">
        <v>45</v>
      </c>
      <c r="J116" s="67">
        <v>43</v>
      </c>
      <c r="K116" s="67">
        <v>23</v>
      </c>
      <c r="L116" s="67">
        <v>24</v>
      </c>
      <c r="M116" s="67">
        <v>23</v>
      </c>
      <c r="N116" s="67">
        <v>20</v>
      </c>
      <c r="O116" s="67">
        <v>20</v>
      </c>
      <c r="P116" s="67" t="s">
        <v>96</v>
      </c>
      <c r="Q116" s="67">
        <f>xCall!C128/1000000</f>
        <v>530.26419635802586</v>
      </c>
      <c r="S116" s="19"/>
      <c r="T116" s="19"/>
      <c r="U116" s="19"/>
      <c r="V116" s="19"/>
      <c r="W116" s="19"/>
      <c r="X116" s="19"/>
      <c r="Y116" s="19"/>
      <c r="Z116" s="19"/>
      <c r="AA116" s="19"/>
      <c r="AB116" s="19"/>
      <c r="AC116" s="19"/>
      <c r="AD116" s="19"/>
      <c r="AE116" s="19"/>
      <c r="AF116" s="19"/>
    </row>
    <row r="117" spans="1:32" ht="17">
      <c r="A117" s="34" t="s">
        <v>31</v>
      </c>
      <c r="B117" s="19"/>
      <c r="C117" s="19"/>
      <c r="D117" s="19"/>
      <c r="E117" s="19"/>
      <c r="F117" s="67">
        <v>21</v>
      </c>
      <c r="G117" s="67">
        <v>16</v>
      </c>
      <c r="H117" s="67">
        <v>22</v>
      </c>
      <c r="I117" s="67">
        <v>20</v>
      </c>
      <c r="J117" s="67">
        <v>20</v>
      </c>
      <c r="K117" s="67">
        <v>20</v>
      </c>
      <c r="L117" s="67">
        <v>20</v>
      </c>
      <c r="M117" s="67">
        <v>20</v>
      </c>
      <c r="N117" s="67">
        <v>20</v>
      </c>
      <c r="O117" s="67">
        <v>20</v>
      </c>
      <c r="P117" s="67">
        <v>20</v>
      </c>
      <c r="Q117" s="67" t="s">
        <v>623</v>
      </c>
      <c r="S117" s="19"/>
      <c r="T117" s="19"/>
      <c r="U117" s="19"/>
      <c r="V117" s="19"/>
      <c r="W117" s="19"/>
      <c r="X117" s="19"/>
      <c r="Y117" s="19"/>
      <c r="Z117" s="19"/>
      <c r="AA117" s="19"/>
      <c r="AB117" s="19"/>
      <c r="AC117" s="19"/>
      <c r="AD117" s="19"/>
      <c r="AE117" s="19"/>
      <c r="AF117" s="19"/>
    </row>
    <row r="118" spans="1:32" ht="17">
      <c r="A118" s="62" t="s">
        <v>172</v>
      </c>
      <c r="B118" s="19"/>
      <c r="C118" s="19"/>
      <c r="D118" s="19"/>
      <c r="E118" s="19"/>
      <c r="F118" s="50"/>
      <c r="G118" s="50"/>
      <c r="H118" s="50"/>
      <c r="I118" s="50"/>
      <c r="J118" s="50"/>
      <c r="K118" s="50"/>
      <c r="L118" s="50"/>
      <c r="M118" s="50"/>
      <c r="N118" s="50"/>
      <c r="O118" s="50"/>
      <c r="P118" s="50"/>
      <c r="Q118" s="50"/>
    </row>
    <row r="119" spans="1:32" ht="17">
      <c r="A119" s="70" t="s">
        <v>173</v>
      </c>
      <c r="B119" s="71">
        <v>100000</v>
      </c>
      <c r="C119" s="19"/>
      <c r="D119" s="19"/>
      <c r="E119" s="19"/>
      <c r="F119" s="50"/>
      <c r="G119" s="50"/>
      <c r="H119" s="50"/>
      <c r="I119" s="50"/>
      <c r="J119" s="50"/>
      <c r="K119" s="50"/>
      <c r="L119" s="50"/>
      <c r="M119" s="50"/>
      <c r="N119" s="50"/>
      <c r="O119" s="50"/>
      <c r="P119" s="50"/>
      <c r="Q119" s="50"/>
    </row>
    <row r="120" spans="1:32">
      <c r="A120" s="18"/>
      <c r="B120" s="19"/>
      <c r="C120" s="19"/>
      <c r="D120" s="19"/>
      <c r="E120" s="19"/>
      <c r="F120" s="50"/>
      <c r="G120" s="50"/>
      <c r="H120" s="50"/>
      <c r="I120" s="50"/>
      <c r="J120" s="50"/>
      <c r="K120" s="50"/>
      <c r="L120" s="50"/>
      <c r="M120" s="50"/>
      <c r="N120" s="50"/>
      <c r="O120" s="50"/>
      <c r="P120" s="50"/>
      <c r="Q120" s="50"/>
    </row>
    <row r="121" spans="1:32">
      <c r="A121" s="43" t="s">
        <v>413</v>
      </c>
      <c r="B121" s="19"/>
      <c r="C121" s="19"/>
      <c r="D121" s="19"/>
      <c r="E121" s="19"/>
      <c r="F121" s="50"/>
      <c r="G121" s="50"/>
      <c r="H121" s="50"/>
      <c r="I121" s="50"/>
      <c r="J121" s="50"/>
      <c r="K121" s="50"/>
      <c r="L121" s="50"/>
      <c r="M121" s="50"/>
      <c r="N121" s="50"/>
      <c r="O121" s="50"/>
      <c r="P121" s="50"/>
      <c r="Q121" s="50"/>
    </row>
    <row r="122" spans="1:32">
      <c r="A122" s="44" t="s">
        <v>74</v>
      </c>
      <c r="B122" s="47"/>
      <c r="C122" s="47"/>
      <c r="D122" s="47"/>
      <c r="E122" s="47"/>
      <c r="F122" s="50"/>
      <c r="G122" s="50"/>
      <c r="H122" s="50"/>
      <c r="I122" s="50"/>
      <c r="J122" s="50"/>
      <c r="K122" s="50"/>
      <c r="L122" s="50"/>
      <c r="M122" s="50"/>
      <c r="N122" s="50"/>
      <c r="O122" s="50"/>
      <c r="P122" s="50"/>
      <c r="Q122" s="50"/>
    </row>
    <row r="123" spans="1:32" ht="17">
      <c r="A123" s="34" t="s">
        <v>122</v>
      </c>
      <c r="B123" s="48">
        <f t="shared" ref="B123:Q123" si="50">100*B18/B34</f>
        <v>11.762867885692444</v>
      </c>
      <c r="C123" s="48">
        <f t="shared" si="50"/>
        <v>4.9536604973151626</v>
      </c>
      <c r="D123" s="48">
        <f t="shared" si="50"/>
        <v>18.224238204790488</v>
      </c>
      <c r="E123" s="48">
        <f t="shared" si="50"/>
        <v>12.684909044578768</v>
      </c>
      <c r="F123" s="49">
        <f t="shared" si="50"/>
        <v>7.8999999999999977</v>
      </c>
      <c r="G123" s="49">
        <f t="shared" si="50"/>
        <v>8.1000000000000085</v>
      </c>
      <c r="H123" s="49">
        <f t="shared" si="50"/>
        <v>4.289627746729507</v>
      </c>
      <c r="I123" s="49">
        <f t="shared" si="50"/>
        <v>23.876427373511582</v>
      </c>
      <c r="J123" s="49">
        <f t="shared" si="50"/>
        <v>0.43159723245679266</v>
      </c>
      <c r="K123" s="49">
        <f t="shared" si="50"/>
        <v>16.732397098703455</v>
      </c>
      <c r="L123" s="49">
        <f t="shared" si="50"/>
        <v>8.2999999999999989</v>
      </c>
      <c r="M123" s="49">
        <f t="shared" si="50"/>
        <v>27.913237383939766</v>
      </c>
      <c r="N123" s="49">
        <f t="shared" si="50"/>
        <v>21.444402219444481</v>
      </c>
      <c r="O123" s="49">
        <f t="shared" si="50"/>
        <v>19.034078146894551</v>
      </c>
      <c r="P123" s="49">
        <f t="shared" si="50"/>
        <v>12.168478051305209</v>
      </c>
      <c r="Q123" s="49">
        <f t="shared" si="50"/>
        <v>7.7439645354870487E-3</v>
      </c>
    </row>
    <row r="124" spans="1:32">
      <c r="A124" s="44" t="s">
        <v>75</v>
      </c>
      <c r="B124" s="48"/>
      <c r="C124" s="48"/>
      <c r="D124" s="48"/>
      <c r="E124" s="48"/>
      <c r="F124" s="49"/>
      <c r="G124" s="49"/>
      <c r="H124" s="49"/>
      <c r="I124" s="49"/>
      <c r="J124" s="49"/>
      <c r="K124" s="49"/>
      <c r="L124" s="49"/>
      <c r="M124" s="49"/>
      <c r="N124" s="49"/>
      <c r="O124" s="49"/>
      <c r="P124" s="49"/>
      <c r="Q124" s="49"/>
    </row>
    <row r="125" spans="1:32" ht="15" customHeight="1">
      <c r="A125" s="60" t="s">
        <v>193</v>
      </c>
      <c r="B125" s="48">
        <f t="shared" ref="B125:Q125" si="51">100*B39/B8</f>
        <v>26.564315089423026</v>
      </c>
      <c r="C125" s="48">
        <f t="shared" si="51"/>
        <v>30.377588321426131</v>
      </c>
      <c r="D125" s="48">
        <f t="shared" si="51"/>
        <v>12.699193196196289</v>
      </c>
      <c r="E125" s="48">
        <f t="shared" si="51"/>
        <v>28.328122500884685</v>
      </c>
      <c r="F125" s="49">
        <f t="shared" si="51"/>
        <v>63.69087274518386</v>
      </c>
      <c r="G125" s="49">
        <f t="shared" si="51"/>
        <v>31.801534906695391</v>
      </c>
      <c r="H125" s="49">
        <f t="shared" si="51"/>
        <v>25.123451528220635</v>
      </c>
      <c r="I125" s="49">
        <f t="shared" si="51"/>
        <v>17.879228969882895</v>
      </c>
      <c r="J125" s="49">
        <f t="shared" si="51"/>
        <v>38.140655943992975</v>
      </c>
      <c r="K125" s="49">
        <f t="shared" si="51"/>
        <v>5.8464316637260634</v>
      </c>
      <c r="L125" s="49">
        <f t="shared" si="51"/>
        <v>30.063520034833019</v>
      </c>
      <c r="M125" s="49">
        <f t="shared" si="51"/>
        <v>5.2063964740559294</v>
      </c>
      <c r="N125" s="49">
        <f t="shared" si="51"/>
        <v>9.20145204384972</v>
      </c>
      <c r="O125" s="49">
        <f t="shared" si="51"/>
        <v>7.8944446781591315</v>
      </c>
      <c r="P125" s="49">
        <f t="shared" si="51"/>
        <v>23.429762948615917</v>
      </c>
      <c r="Q125" s="49">
        <f t="shared" si="51"/>
        <v>60.000000000000014</v>
      </c>
    </row>
    <row r="126" spans="1:32" ht="15" customHeight="1">
      <c r="A126" s="60" t="s">
        <v>117</v>
      </c>
      <c r="B126" s="48">
        <f t="shared" ref="B126:Q126" si="52">100*B43/B39</f>
        <v>59.101583984972351</v>
      </c>
      <c r="C126" s="48">
        <f t="shared" si="52"/>
        <v>56.615386615515931</v>
      </c>
      <c r="D126" s="48">
        <f t="shared" si="52"/>
        <v>58.528655953525437</v>
      </c>
      <c r="E126" s="48">
        <f t="shared" si="52"/>
        <v>59.988956792097277</v>
      </c>
      <c r="F126" s="48">
        <f t="shared" si="52"/>
        <v>51.358910686974276</v>
      </c>
      <c r="G126" s="48">
        <f t="shared" si="52"/>
        <v>49.688160834630587</v>
      </c>
      <c r="H126" s="48">
        <f t="shared" si="52"/>
        <v>60.487660427628811</v>
      </c>
      <c r="I126" s="48">
        <f t="shared" si="52"/>
        <v>23.165363904410931</v>
      </c>
      <c r="J126" s="48">
        <f t="shared" si="52"/>
        <v>81.933922747217593</v>
      </c>
      <c r="K126" s="48">
        <f t="shared" si="52"/>
        <v>53.908964771485849</v>
      </c>
      <c r="L126" s="48">
        <f t="shared" si="52"/>
        <v>36.748707460073035</v>
      </c>
      <c r="M126" s="48">
        <f t="shared" si="52"/>
        <v>75.64674752477309</v>
      </c>
      <c r="N126" s="48">
        <f t="shared" si="52"/>
        <v>39.710928037059077</v>
      </c>
      <c r="O126" s="48">
        <f t="shared" si="52"/>
        <v>73.941539491938954</v>
      </c>
      <c r="P126" s="48">
        <f t="shared" si="52"/>
        <v>58.75272262425316</v>
      </c>
      <c r="Q126" s="48">
        <f t="shared" si="52"/>
        <v>60.387202234074628</v>
      </c>
    </row>
    <row r="127" spans="1:32" ht="15" customHeight="1">
      <c r="A127" s="37" t="s">
        <v>123</v>
      </c>
      <c r="B127" s="47">
        <f t="shared" ref="B127:Q127" si="53">100*(B39-B43)/B18</f>
        <v>144.10968955070115</v>
      </c>
      <c r="C127" s="47">
        <f t="shared" si="53"/>
        <v>379.83332096305963</v>
      </c>
      <c r="D127" s="47">
        <f t="shared" si="53"/>
        <v>43.192614836516654</v>
      </c>
      <c r="E127" s="47">
        <f t="shared" si="53"/>
        <v>144.9778187095788</v>
      </c>
      <c r="F127" s="47">
        <f t="shared" si="53"/>
        <v>605.91464730206667</v>
      </c>
      <c r="G127" s="47">
        <f t="shared" si="53"/>
        <v>565.04283232426815</v>
      </c>
      <c r="H127" s="47">
        <f t="shared" si="53"/>
        <v>295.13196245030434</v>
      </c>
      <c r="I127" s="47">
        <f t="shared" si="53"/>
        <v>112.0303730463212</v>
      </c>
      <c r="J127" s="47">
        <f t="shared" si="53"/>
        <v>2870.4627804421571</v>
      </c>
      <c r="K127" s="47">
        <f t="shared" si="53"/>
        <v>19.717333479113659</v>
      </c>
      <c r="L127" s="47">
        <f t="shared" si="53"/>
        <v>474.79840269360875</v>
      </c>
      <c r="M127" s="47">
        <f t="shared" si="53"/>
        <v>7.2528188512250269</v>
      </c>
      <c r="N127" s="47">
        <f t="shared" si="53"/>
        <v>36.484115920205575</v>
      </c>
      <c r="O127" s="47">
        <f t="shared" si="53"/>
        <v>18.742903598491825</v>
      </c>
      <c r="P127" s="47">
        <f t="shared" si="53"/>
        <v>106.17432645702718</v>
      </c>
      <c r="Q127" s="47">
        <f t="shared" si="53"/>
        <v>538938.90523648087</v>
      </c>
    </row>
    <row r="128" spans="1:32" ht="15" customHeight="1">
      <c r="A128" s="60" t="s">
        <v>94</v>
      </c>
      <c r="B128" s="48">
        <f t="shared" ref="B128:Q128" si="54">100*B98/B8</f>
        <v>44.056066288863398</v>
      </c>
      <c r="C128" s="48">
        <f t="shared" si="54"/>
        <v>23.777194890911851</v>
      </c>
      <c r="D128" s="48">
        <f t="shared" si="54"/>
        <v>41.859218482218836</v>
      </c>
      <c r="E128" s="48">
        <f t="shared" si="54"/>
        <v>50.857519829061346</v>
      </c>
      <c r="F128" s="48">
        <f t="shared" si="54"/>
        <v>22.426407881451851</v>
      </c>
      <c r="G128" s="48">
        <f t="shared" si="54"/>
        <v>24.059740926763627</v>
      </c>
      <c r="H128" s="48">
        <f t="shared" si="54"/>
        <v>23.916756041276894</v>
      </c>
      <c r="I128" s="48">
        <f t="shared" si="54"/>
        <v>45.064841021340783</v>
      </c>
      <c r="J128" s="48">
        <f t="shared" si="54"/>
        <v>47.707412621100666</v>
      </c>
      <c r="K128" s="48">
        <f t="shared" si="54"/>
        <v>41.170409740433271</v>
      </c>
      <c r="L128" s="48">
        <f t="shared" si="54"/>
        <v>51.501959785101306</v>
      </c>
      <c r="M128" s="48">
        <f t="shared" si="54"/>
        <v>36.621263334461197</v>
      </c>
      <c r="N128" s="48">
        <f t="shared" si="54"/>
        <v>57.098040242570747</v>
      </c>
      <c r="O128" s="48">
        <f t="shared" si="54"/>
        <v>12.719171423372197</v>
      </c>
      <c r="P128" s="48">
        <f t="shared" si="54"/>
        <v>72.145863832635726</v>
      </c>
      <c r="Q128" s="48">
        <f t="shared" si="54"/>
        <v>77.731786775464414</v>
      </c>
    </row>
    <row r="129" spans="1:17" ht="15" customHeight="1">
      <c r="A129" s="60" t="s">
        <v>95</v>
      </c>
      <c r="B129" s="48">
        <f t="shared" ref="B129:Q129" si="55">100*B34/B5</f>
        <v>44.251701270766091</v>
      </c>
      <c r="C129" s="48">
        <f t="shared" si="55"/>
        <v>56.903840807548576</v>
      </c>
      <c r="D129" s="48">
        <f t="shared" si="55"/>
        <v>52.918470415730987</v>
      </c>
      <c r="E129" s="48">
        <f t="shared" si="55"/>
        <v>39.623492172658374</v>
      </c>
      <c r="F129" s="48">
        <f t="shared" si="55"/>
        <v>43.275772587944893</v>
      </c>
      <c r="G129" s="48">
        <f t="shared" si="55"/>
        <v>29.398083813249524</v>
      </c>
      <c r="H129" s="48">
        <f t="shared" si="55"/>
        <v>65.30737020183561</v>
      </c>
      <c r="I129" s="48">
        <f t="shared" si="55"/>
        <v>47.167953564588572</v>
      </c>
      <c r="J129" s="48">
        <f t="shared" si="55"/>
        <v>38.497252185575363</v>
      </c>
      <c r="K129" s="48">
        <f t="shared" si="55"/>
        <v>66.915934494470193</v>
      </c>
      <c r="L129" s="48">
        <f t="shared" si="55"/>
        <v>33.468046972111658</v>
      </c>
      <c r="M129" s="48">
        <f t="shared" si="55"/>
        <v>52.093017761612835</v>
      </c>
      <c r="N129" s="48">
        <f t="shared" si="55"/>
        <v>54.920207588453906</v>
      </c>
      <c r="O129" s="48">
        <f t="shared" si="55"/>
        <v>52.614591239865412</v>
      </c>
      <c r="P129" s="48">
        <f t="shared" si="55"/>
        <v>50.78838508311101</v>
      </c>
      <c r="Q129" s="48">
        <f t="shared" si="55"/>
        <v>26.400817562963709</v>
      </c>
    </row>
    <row r="130" spans="1:17" ht="15" customHeight="1">
      <c r="A130" s="44" t="s">
        <v>76</v>
      </c>
      <c r="B130" s="48"/>
      <c r="C130" s="48"/>
      <c r="D130" s="48"/>
      <c r="E130" s="48"/>
      <c r="F130" s="49"/>
      <c r="G130" s="49"/>
      <c r="H130" s="49"/>
      <c r="I130" s="49"/>
      <c r="J130" s="49"/>
      <c r="K130" s="49"/>
      <c r="L130" s="49"/>
      <c r="M130" s="49"/>
      <c r="N130" s="49"/>
      <c r="O130" s="49"/>
      <c r="P130" s="49"/>
      <c r="Q130" s="49"/>
    </row>
    <row r="131" spans="1:17" ht="15" customHeight="1">
      <c r="A131" s="34" t="s">
        <v>124</v>
      </c>
      <c r="B131" s="48">
        <f t="shared" ref="B131:Q131" si="56">100*B20/B5</f>
        <v>1.1235690886860907</v>
      </c>
      <c r="C131" s="48">
        <f t="shared" si="56"/>
        <v>-0.27649362046833481</v>
      </c>
      <c r="D131" s="48">
        <f t="shared" si="56"/>
        <v>1.1692711869304224</v>
      </c>
      <c r="E131" s="48">
        <f t="shared" si="56"/>
        <v>1.4616760110117597</v>
      </c>
      <c r="F131" s="48">
        <f t="shared" si="56"/>
        <v>-1.2606287292637106</v>
      </c>
      <c r="G131" s="48">
        <f t="shared" si="56"/>
        <v>-1.7527376058421729</v>
      </c>
      <c r="H131" s="48">
        <f t="shared" si="56"/>
        <v>0.22126821152779672</v>
      </c>
      <c r="I131" s="48">
        <f t="shared" si="56"/>
        <v>-1.3217295468645931</v>
      </c>
      <c r="J131" s="48">
        <f t="shared" si="56"/>
        <v>1.6702191956627932</v>
      </c>
      <c r="K131" s="48">
        <f t="shared" si="56"/>
        <v>0.68435507296539044</v>
      </c>
      <c r="L131" s="48">
        <f t="shared" si="56"/>
        <v>2.1387282645416286</v>
      </c>
      <c r="M131" s="48">
        <f t="shared" si="56"/>
        <v>1.2690536172089046</v>
      </c>
      <c r="N131" s="48">
        <f t="shared" si="56"/>
        <v>1.5078940578492488</v>
      </c>
      <c r="O131" s="48">
        <f t="shared" si="56"/>
        <v>2.843225870686056</v>
      </c>
      <c r="P131" s="48">
        <f t="shared" si="56"/>
        <v>1.7491570108965404</v>
      </c>
      <c r="Q131" s="48">
        <f t="shared" si="56"/>
        <v>0.7696362561169352</v>
      </c>
    </row>
    <row r="132" spans="1:17" ht="15" customHeight="1">
      <c r="A132" s="34" t="s">
        <v>125</v>
      </c>
      <c r="B132" s="48">
        <f t="shared" ref="B132:Q132" si="57">100*B20/B18</f>
        <v>21.585225560036548</v>
      </c>
      <c r="C132" s="48">
        <f t="shared" si="57"/>
        <v>-9.8088319938559465</v>
      </c>
      <c r="D132" s="48">
        <f t="shared" si="57"/>
        <v>12.124353270194261</v>
      </c>
      <c r="E132" s="48">
        <f t="shared" si="57"/>
        <v>29.081112262178667</v>
      </c>
      <c r="F132" s="48">
        <f t="shared" si="57"/>
        <v>-36.873577830306765</v>
      </c>
      <c r="G132" s="48">
        <f t="shared" si="57"/>
        <v>-73.605939802247477</v>
      </c>
      <c r="H132" s="48">
        <f t="shared" si="57"/>
        <v>7.8983654414828619</v>
      </c>
      <c r="I132" s="48">
        <f t="shared" si="57"/>
        <v>-11.736165372075929</v>
      </c>
      <c r="J132" s="48">
        <f t="shared" si="57"/>
        <v>1005.229181352187</v>
      </c>
      <c r="K132" s="48">
        <f t="shared" si="57"/>
        <v>6.112146859972527</v>
      </c>
      <c r="L132" s="48">
        <f t="shared" si="57"/>
        <v>76.992273966975333</v>
      </c>
      <c r="M132" s="48">
        <f t="shared" si="57"/>
        <v>8.7275077950804985</v>
      </c>
      <c r="N132" s="48">
        <f t="shared" si="57"/>
        <v>12.803382354027953</v>
      </c>
      <c r="O132" s="48">
        <f t="shared" si="57"/>
        <v>28.390517794318292</v>
      </c>
      <c r="P132" s="48">
        <f t="shared" si="57"/>
        <v>28.302716959583993</v>
      </c>
      <c r="Q132" s="48">
        <f t="shared" si="57"/>
        <v>37644.782034346099</v>
      </c>
    </row>
    <row r="133" spans="1:17" ht="15" customHeight="1">
      <c r="A133" s="44" t="s">
        <v>257</v>
      </c>
      <c r="B133" s="48"/>
      <c r="C133" s="48"/>
      <c r="D133" s="48"/>
      <c r="E133" s="48"/>
      <c r="F133" s="49"/>
      <c r="G133" s="49"/>
      <c r="H133" s="49"/>
      <c r="I133" s="49"/>
      <c r="J133" s="49"/>
      <c r="K133" s="49"/>
      <c r="L133" s="49"/>
      <c r="M133" s="49"/>
      <c r="N133" s="49"/>
      <c r="O133" s="49"/>
      <c r="P133" s="49"/>
      <c r="Q133" s="49"/>
    </row>
    <row r="134" spans="1:17" ht="15" customHeight="1">
      <c r="A134" s="34" t="s">
        <v>258</v>
      </c>
      <c r="B134" s="47">
        <f t="shared" ref="B134:Q134" si="58">100*B87/B5</f>
        <v>20.168510072812744</v>
      </c>
      <c r="C134" s="47">
        <f t="shared" si="58"/>
        <v>11.013506441207593</v>
      </c>
      <c r="D134" s="47">
        <f t="shared" si="58"/>
        <v>16.276650602696908</v>
      </c>
      <c r="E134" s="47">
        <f t="shared" si="58"/>
        <v>23.105300731614712</v>
      </c>
      <c r="F134" s="47">
        <f t="shared" si="58"/>
        <v>16.003661478403696</v>
      </c>
      <c r="G134" s="47">
        <f t="shared" si="58"/>
        <v>9.5534148596988739</v>
      </c>
      <c r="H134" s="47">
        <f t="shared" si="58"/>
        <v>10.402813866535793</v>
      </c>
      <c r="I134" s="47">
        <f t="shared" si="58"/>
        <v>7.8548330633410828</v>
      </c>
      <c r="J134" s="47">
        <f t="shared" si="58"/>
        <v>17.765051714452991</v>
      </c>
      <c r="K134" s="47">
        <f t="shared" si="58"/>
        <v>16.939287352854631</v>
      </c>
      <c r="L134" s="47">
        <f t="shared" si="58"/>
        <v>16.228144979974736</v>
      </c>
      <c r="M134" s="47">
        <f t="shared" si="58"/>
        <v>15.682826880802796</v>
      </c>
      <c r="N134" s="47">
        <f t="shared" si="58"/>
        <v>21.188749397693243</v>
      </c>
      <c r="O134" s="47">
        <f t="shared" si="58"/>
        <v>7.1840714788198179</v>
      </c>
      <c r="P134" s="47">
        <f t="shared" si="58"/>
        <v>29.915037177008458</v>
      </c>
      <c r="Q134" s="47">
        <f t="shared" si="58"/>
        <v>30.35533373851829</v>
      </c>
    </row>
    <row r="135" spans="1:17" ht="15" customHeight="1">
      <c r="A135" s="34" t="s">
        <v>261</v>
      </c>
      <c r="B135" s="47">
        <f>100*B87/B88</f>
        <v>70.564943364327988</v>
      </c>
      <c r="C135" s="47">
        <f t="shared" ref="C135:Q135" si="59">100*C87/C88</f>
        <v>24.704123582907688</v>
      </c>
      <c r="D135" s="47">
        <f t="shared" si="59"/>
        <v>38.278046962355575</v>
      </c>
      <c r="E135" s="47">
        <f t="shared" si="59"/>
        <v>104.02040538870351</v>
      </c>
      <c r="F135" s="47">
        <f t="shared" si="59"/>
        <v>33.896797153024913</v>
      </c>
      <c r="G135" s="47">
        <f t="shared" si="59"/>
        <v>26.782077393075358</v>
      </c>
      <c r="H135" s="47">
        <f t="shared" si="59"/>
        <v>22.614423239317684</v>
      </c>
      <c r="I135" s="47">
        <f t="shared" si="59"/>
        <v>18.978102189781023</v>
      </c>
      <c r="J135" s="47">
        <f t="shared" si="59"/>
        <v>41.065830721003138</v>
      </c>
      <c r="K135" s="47">
        <f t="shared" si="59"/>
        <v>36.047037539574852</v>
      </c>
      <c r="L135" s="47">
        <f t="shared" si="59"/>
        <v>41.943734015345271</v>
      </c>
      <c r="M135" s="47">
        <f t="shared" si="59"/>
        <v>40.112640801001248</v>
      </c>
      <c r="N135" s="47">
        <f t="shared" si="59"/>
        <v>43.993530363181883</v>
      </c>
      <c r="O135" s="47">
        <f t="shared" si="59"/>
        <v>16.872427983539094</v>
      </c>
      <c r="P135" s="47">
        <f t="shared" si="59"/>
        <v>65.566714490674315</v>
      </c>
      <c r="Q135" s="47" t="e">
        <f t="shared" si="59"/>
        <v>#DIV/0!</v>
      </c>
    </row>
    <row r="136" spans="1:17" ht="15" customHeight="1">
      <c r="A136" s="44" t="s">
        <v>77</v>
      </c>
      <c r="B136" s="48"/>
      <c r="C136" s="48"/>
      <c r="D136" s="48"/>
      <c r="E136" s="48"/>
      <c r="F136" s="49"/>
      <c r="G136" s="49"/>
      <c r="H136" s="49"/>
      <c r="I136" s="49"/>
      <c r="J136" s="49"/>
      <c r="K136" s="49"/>
      <c r="L136" s="49"/>
      <c r="M136" s="49"/>
      <c r="N136" s="49"/>
      <c r="O136" s="49"/>
      <c r="P136" s="49"/>
      <c r="Q136" s="49"/>
    </row>
    <row r="137" spans="1:17" ht="17">
      <c r="A137" s="34" t="s">
        <v>126</v>
      </c>
      <c r="B137" s="47">
        <f t="shared" ref="B137:Q137" si="60">100*B93/B18</f>
        <v>8.8023892804877217</v>
      </c>
      <c r="C137" s="47">
        <f t="shared" si="60"/>
        <v>-17.65518072504479</v>
      </c>
      <c r="D137" s="47">
        <f t="shared" si="60"/>
        <v>4.3837154849310478</v>
      </c>
      <c r="E137" s="47">
        <f t="shared" si="60"/>
        <v>13.938202512356789</v>
      </c>
      <c r="F137" s="47">
        <f t="shared" si="60"/>
        <v>14.099801511223683</v>
      </c>
      <c r="G137" s="47">
        <f t="shared" si="60"/>
        <v>-12.424815116132143</v>
      </c>
      <c r="H137" s="47">
        <f t="shared" si="60"/>
        <v>-25.773719548068843</v>
      </c>
      <c r="I137" s="47">
        <f t="shared" si="60"/>
        <v>0</v>
      </c>
      <c r="J137" s="47">
        <f t="shared" si="60"/>
        <v>491.66779289362273</v>
      </c>
      <c r="K137" s="47">
        <f t="shared" si="60"/>
        <v>2.6218369116328328</v>
      </c>
      <c r="L137" s="47">
        <f t="shared" si="60"/>
        <v>8.5528081182349176</v>
      </c>
      <c r="M137" s="47">
        <f t="shared" si="60"/>
        <v>3.8174451564061083</v>
      </c>
      <c r="N137" s="47">
        <f t="shared" si="60"/>
        <v>5.1307281889549321</v>
      </c>
      <c r="O137" s="47">
        <f t="shared" si="60"/>
        <v>3.5626172989562637</v>
      </c>
      <c r="P137" s="47">
        <f t="shared" si="60"/>
        <v>31.111149421862965</v>
      </c>
      <c r="Q137" s="47">
        <f t="shared" si="60"/>
        <v>36438.705537827387</v>
      </c>
    </row>
    <row r="138" spans="1:17" ht="15" customHeight="1">
      <c r="A138" s="44" t="s">
        <v>151</v>
      </c>
      <c r="B138" s="48"/>
      <c r="C138" s="48"/>
      <c r="D138" s="48"/>
      <c r="E138" s="48"/>
      <c r="F138" s="49"/>
      <c r="G138" s="49"/>
      <c r="H138" s="49"/>
      <c r="I138" s="49"/>
      <c r="J138" s="49"/>
      <c r="K138" s="49"/>
      <c r="L138" s="49"/>
      <c r="M138" s="49"/>
      <c r="N138" s="49"/>
      <c r="O138" s="49"/>
      <c r="P138" s="49"/>
      <c r="Q138" s="49"/>
    </row>
    <row r="139" spans="1:17" ht="17">
      <c r="A139" s="34" t="s">
        <v>341</v>
      </c>
      <c r="B139" s="47">
        <f t="shared" ref="B139:Q139" si="61">(100*B18/B5+B131)/B103</f>
        <v>2.7935144037331812</v>
      </c>
      <c r="C139" s="47">
        <f t="shared" si="61"/>
        <v>1.3786157036304858</v>
      </c>
      <c r="D139" s="47">
        <f t="shared" si="61"/>
        <v>5.3610582810445218</v>
      </c>
      <c r="E139" s="47">
        <f t="shared" si="61"/>
        <v>2.243154568580696</v>
      </c>
      <c r="F139" s="47">
        <f t="shared" si="61"/>
        <v>0.78960108932527329</v>
      </c>
      <c r="G139" s="47">
        <f t="shared" si="61"/>
        <v>0.24405719551074118</v>
      </c>
      <c r="H139" s="47">
        <f t="shared" si="61"/>
        <v>13.501330687683479</v>
      </c>
      <c r="I139" s="47">
        <f t="shared" si="61"/>
        <v>8.1752534895643816</v>
      </c>
      <c r="J139" s="47">
        <f t="shared" si="61"/>
        <v>0.53188553296758267</v>
      </c>
      <c r="K139" s="47">
        <f t="shared" si="61"/>
        <v>22.848032582188722</v>
      </c>
      <c r="L139" s="47">
        <f t="shared" si="61"/>
        <v>1.2421800663282481</v>
      </c>
      <c r="M139" s="47">
        <f t="shared" si="61"/>
        <v>16.845731096105467</v>
      </c>
      <c r="N139" s="47">
        <f t="shared" si="61"/>
        <v>28.944227427729075</v>
      </c>
      <c r="O139" s="47">
        <f t="shared" si="61"/>
        <v>2.3279116682297873</v>
      </c>
      <c r="P139" s="47">
        <f t="shared" si="61"/>
        <v>8.310250884738247</v>
      </c>
      <c r="Q139" s="47">
        <f t="shared" si="61"/>
        <v>0.30713919742961898</v>
      </c>
    </row>
    <row r="140" spans="1:17" ht="5" customHeight="1">
      <c r="A140" s="34"/>
      <c r="B140" s="47"/>
      <c r="C140" s="47"/>
      <c r="D140" s="47"/>
      <c r="E140" s="47"/>
      <c r="F140" s="47"/>
      <c r="G140" s="47"/>
      <c r="H140" s="47"/>
      <c r="I140" s="47"/>
      <c r="J140" s="47"/>
      <c r="K140" s="47"/>
      <c r="L140" s="47"/>
      <c r="M140" s="47"/>
      <c r="N140" s="47"/>
      <c r="O140" s="47"/>
      <c r="P140" s="47"/>
      <c r="Q140" s="47"/>
    </row>
    <row r="141" spans="1:17" ht="12" customHeight="1">
      <c r="A141" s="61" t="s">
        <v>171</v>
      </c>
      <c r="B141" s="47"/>
      <c r="C141" s="47"/>
      <c r="D141" s="47"/>
      <c r="E141" s="47"/>
      <c r="F141" s="47"/>
      <c r="G141" s="47"/>
      <c r="H141" s="47"/>
      <c r="I141" s="47"/>
      <c r="J141" s="47"/>
      <c r="K141" s="47"/>
      <c r="L141" s="47"/>
      <c r="M141" s="47"/>
      <c r="N141" s="47"/>
      <c r="O141" s="47"/>
      <c r="P141" s="47"/>
      <c r="Q141" s="47"/>
    </row>
    <row r="142" spans="1:17">
      <c r="A142" s="18"/>
      <c r="B142" s="47"/>
      <c r="C142" s="47"/>
      <c r="D142" s="47"/>
      <c r="E142" s="47"/>
      <c r="F142" s="47"/>
      <c r="G142" s="47"/>
      <c r="H142" s="47"/>
      <c r="I142" s="47"/>
      <c r="J142" s="47"/>
      <c r="K142" s="47"/>
      <c r="L142" s="47"/>
      <c r="M142" s="47"/>
      <c r="N142" s="47"/>
      <c r="O142" s="47"/>
      <c r="P142" s="47"/>
      <c r="Q142" s="47"/>
    </row>
    <row r="143" spans="1:17">
      <c r="A143" s="43" t="s">
        <v>414</v>
      </c>
      <c r="B143" s="47"/>
      <c r="C143" s="47"/>
      <c r="D143" s="47"/>
      <c r="E143" s="47"/>
      <c r="F143" s="47"/>
      <c r="G143" s="47"/>
      <c r="H143" s="47"/>
      <c r="I143" s="47"/>
      <c r="J143" s="47"/>
      <c r="K143" s="47"/>
      <c r="L143" s="47"/>
      <c r="M143" s="47"/>
      <c r="N143" s="47"/>
      <c r="O143" s="47"/>
      <c r="P143" s="47"/>
      <c r="Q143" s="47"/>
    </row>
    <row r="144" spans="1:17">
      <c r="A144" s="8" t="s">
        <v>87</v>
      </c>
      <c r="B144" s="47">
        <f t="shared" ref="B144:Q144" si="62">100*B5/$B5</f>
        <v>99.999999999999986</v>
      </c>
      <c r="C144" s="47">
        <f t="shared" si="62"/>
        <v>17.400317379557031</v>
      </c>
      <c r="D144" s="47">
        <f t="shared" si="62"/>
        <v>12.195383562870413</v>
      </c>
      <c r="E144" s="47">
        <f t="shared" si="62"/>
        <v>70.404299057572558</v>
      </c>
      <c r="F144" s="47">
        <f t="shared" si="62"/>
        <v>2.3007301573995207</v>
      </c>
      <c r="G144" s="47">
        <f t="shared" si="62"/>
        <v>2.6604627139966688</v>
      </c>
      <c r="H144" s="47">
        <f t="shared" si="62"/>
        <v>12.439124508160843</v>
      </c>
      <c r="I144" s="47">
        <f t="shared" si="62"/>
        <v>0.31988689923515562</v>
      </c>
      <c r="J144" s="47">
        <f t="shared" si="62"/>
        <v>1.4252625735535724</v>
      </c>
      <c r="K144" s="47">
        <f t="shared" si="62"/>
        <v>4.5469821764058889</v>
      </c>
      <c r="L144" s="47">
        <f t="shared" si="62"/>
        <v>1.9532823712316141</v>
      </c>
      <c r="M144" s="47">
        <f t="shared" si="62"/>
        <v>3.9499695424441832</v>
      </c>
      <c r="N144" s="47">
        <f t="shared" si="62"/>
        <v>13.646344488114902</v>
      </c>
      <c r="O144" s="47">
        <f t="shared" si="62"/>
        <v>16.546057622388155</v>
      </c>
      <c r="P144" s="47">
        <f t="shared" si="62"/>
        <v>4.4290233880716965</v>
      </c>
      <c r="Q144" s="47">
        <f t="shared" si="62"/>
        <v>35.782873558997807</v>
      </c>
    </row>
    <row r="145" spans="1:22">
      <c r="A145" s="8" t="s">
        <v>88</v>
      </c>
      <c r="B145" s="47">
        <f t="shared" ref="B145:Q145" si="63">100*B8/$B8</f>
        <v>100</v>
      </c>
      <c r="C145" s="47">
        <f t="shared" si="63"/>
        <v>20.473767316166654</v>
      </c>
      <c r="D145" s="47">
        <f t="shared" si="63"/>
        <v>13.970312567276746</v>
      </c>
      <c r="E145" s="47">
        <f t="shared" si="63"/>
        <v>65.555920116556592</v>
      </c>
      <c r="F145" s="47">
        <f t="shared" si="63"/>
        <v>2.2281134617488343</v>
      </c>
      <c r="G145" s="47">
        <f t="shared" si="63"/>
        <v>3.2403584271941726</v>
      </c>
      <c r="H145" s="47">
        <f t="shared" si="63"/>
        <v>15.005295427223651</v>
      </c>
      <c r="I145" s="47">
        <f t="shared" si="63"/>
        <v>0.42551172042428492</v>
      </c>
      <c r="J145" s="47">
        <f t="shared" si="63"/>
        <v>1.4288015107931775</v>
      </c>
      <c r="K145" s="47">
        <f t="shared" si="63"/>
        <v>5.3953614005300308</v>
      </c>
      <c r="L145" s="47">
        <f t="shared" si="63"/>
        <v>1.9621953638092964</v>
      </c>
      <c r="M145" s="47">
        <f t="shared" si="63"/>
        <v>4.7584425717199563</v>
      </c>
      <c r="N145" s="47">
        <f t="shared" si="63"/>
        <v>15.308761018552655</v>
      </c>
      <c r="O145" s="47">
        <f t="shared" si="63"/>
        <v>21.865924771177514</v>
      </c>
      <c r="P145" s="47">
        <f t="shared" si="63"/>
        <v>4.3554568014305746</v>
      </c>
      <c r="Q145" s="47">
        <f t="shared" si="63"/>
        <v>24.025777525395863</v>
      </c>
    </row>
    <row r="146" spans="1:22">
      <c r="A146" s="8" t="s">
        <v>89</v>
      </c>
      <c r="B146" s="47">
        <f t="shared" ref="B146:Q146" si="64">100*B11/$B11</f>
        <v>100</v>
      </c>
      <c r="C146" s="47">
        <f t="shared" si="64"/>
        <v>18.292506464569072</v>
      </c>
      <c r="D146" s="47">
        <f t="shared" si="64"/>
        <v>11.920278743486179</v>
      </c>
      <c r="E146" s="47">
        <f t="shared" si="64"/>
        <v>69.787214791944749</v>
      </c>
      <c r="F146" s="47">
        <f t="shared" si="64"/>
        <v>2.4037662772897797</v>
      </c>
      <c r="G146" s="47">
        <f t="shared" si="64"/>
        <v>2.8094695874933362</v>
      </c>
      <c r="H146" s="47">
        <f t="shared" si="64"/>
        <v>13.079270599785959</v>
      </c>
      <c r="I146" s="47">
        <f t="shared" si="64"/>
        <v>0.30707175772518519</v>
      </c>
      <c r="J146" s="47">
        <f t="shared" si="64"/>
        <v>1.5392408488350935</v>
      </c>
      <c r="K146" s="47">
        <f t="shared" si="64"/>
        <v>4.3680393659537158</v>
      </c>
      <c r="L146" s="47">
        <f t="shared" si="64"/>
        <v>2.0543013610882306</v>
      </c>
      <c r="M146" s="47">
        <f t="shared" si="64"/>
        <v>3.6516254098839522</v>
      </c>
      <c r="N146" s="47">
        <f t="shared" si="64"/>
        <v>13.023584078562434</v>
      </c>
      <c r="O146" s="47">
        <f t="shared" si="64"/>
        <v>16.106455711394688</v>
      </c>
      <c r="P146" s="47">
        <f t="shared" si="64"/>
        <v>4.4950703414607585</v>
      </c>
      <c r="Q146" s="47">
        <f t="shared" si="64"/>
        <v>36.162104660526865</v>
      </c>
    </row>
    <row r="147" spans="1:22">
      <c r="A147" s="8" t="s">
        <v>90</v>
      </c>
      <c r="B147" s="47">
        <f t="shared" ref="B147:Q147" si="65">100*B18/$B18</f>
        <v>100</v>
      </c>
      <c r="C147" s="47">
        <f t="shared" si="65"/>
        <v>9.4228395890527707</v>
      </c>
      <c r="D147" s="47">
        <f t="shared" si="65"/>
        <v>22.594822751417546</v>
      </c>
      <c r="E147" s="47">
        <f t="shared" si="65"/>
        <v>67.982337659529676</v>
      </c>
      <c r="F147" s="47">
        <f t="shared" si="65"/>
        <v>1.5111042086244091</v>
      </c>
      <c r="G147" s="47">
        <f t="shared" si="65"/>
        <v>1.2170769237520775</v>
      </c>
      <c r="H147" s="47">
        <f t="shared" si="65"/>
        <v>6.6946584566762848</v>
      </c>
      <c r="I147" s="47">
        <f t="shared" si="65"/>
        <v>0.69210126201392486</v>
      </c>
      <c r="J147" s="47">
        <f t="shared" si="65"/>
        <v>4.5494623258272401E-2</v>
      </c>
      <c r="K147" s="47">
        <f t="shared" si="65"/>
        <v>9.7806511895552468</v>
      </c>
      <c r="L147" s="47">
        <f t="shared" si="65"/>
        <v>1.0423901562302245</v>
      </c>
      <c r="M147" s="47">
        <f t="shared" si="65"/>
        <v>11.034185520359879</v>
      </c>
      <c r="N147" s="47">
        <f t="shared" si="65"/>
        <v>30.875873556190086</v>
      </c>
      <c r="O147" s="47">
        <f t="shared" si="65"/>
        <v>31.833866449994716</v>
      </c>
      <c r="P147" s="47">
        <f t="shared" si="65"/>
        <v>5.2585432389678184</v>
      </c>
      <c r="Q147" s="47">
        <f t="shared" si="65"/>
        <v>1.4054414377060679E-2</v>
      </c>
    </row>
    <row r="148" spans="1:22">
      <c r="A148" s="8" t="s">
        <v>174</v>
      </c>
      <c r="B148" s="47">
        <f t="shared" ref="B148:Q148" si="66">100*B5/$B119</f>
        <v>103.47607197882358</v>
      </c>
      <c r="C148" s="47">
        <f t="shared" si="66"/>
        <v>18.005164936214182</v>
      </c>
      <c r="D148" s="47">
        <f t="shared" si="66"/>
        <v>12.619303873609409</v>
      </c>
      <c r="E148" s="47">
        <f t="shared" si="66"/>
        <v>72.851603168999986</v>
      </c>
      <c r="F148" s="47">
        <f t="shared" si="66"/>
        <v>2.3807051937092294</v>
      </c>
      <c r="G148" s="47">
        <f t="shared" si="66"/>
        <v>2.7529423129049566</v>
      </c>
      <c r="H148" s="47">
        <f t="shared" si="66"/>
        <v>12.871517429599999</v>
      </c>
      <c r="I148" s="47">
        <f t="shared" si="66"/>
        <v>0.33100639810339649</v>
      </c>
      <c r="J148" s="47">
        <f t="shared" si="66"/>
        <v>1.4748057264975281</v>
      </c>
      <c r="K148" s="47">
        <f t="shared" si="66"/>
        <v>4.7050385497220368</v>
      </c>
      <c r="L148" s="47">
        <f t="shared" si="66"/>
        <v>2.021179872405297</v>
      </c>
      <c r="M148" s="47">
        <f t="shared" si="66"/>
        <v>4.0872733268811521</v>
      </c>
      <c r="N148" s="47">
        <f t="shared" si="66"/>
        <v>14.120701245000001</v>
      </c>
      <c r="O148" s="47">
        <f t="shared" si="66"/>
        <v>17.121210494999996</v>
      </c>
      <c r="P148" s="47">
        <f t="shared" si="66"/>
        <v>4.5829794289999999</v>
      </c>
      <c r="Q148" s="47">
        <f t="shared" si="66"/>
        <v>37.026712000000003</v>
      </c>
    </row>
    <row r="149" spans="1:22">
      <c r="B149" s="47"/>
      <c r="C149" s="47"/>
      <c r="D149" s="47"/>
      <c r="E149" s="47"/>
      <c r="F149" s="47"/>
      <c r="G149" s="47"/>
      <c r="H149" s="47"/>
      <c r="I149" s="47"/>
      <c r="J149" s="47"/>
      <c r="K149" s="47"/>
      <c r="L149" s="47"/>
      <c r="M149" s="47"/>
      <c r="N149" s="47"/>
      <c r="O149" s="47"/>
      <c r="P149" s="47"/>
      <c r="Q149" s="47"/>
    </row>
    <row r="150" spans="1:22">
      <c r="A150" s="43" t="s">
        <v>415</v>
      </c>
      <c r="B150" s="47"/>
      <c r="C150" s="47"/>
      <c r="D150" s="47"/>
      <c r="E150" s="47"/>
      <c r="F150" s="47"/>
      <c r="G150" s="47"/>
      <c r="H150" s="47"/>
      <c r="I150" s="47"/>
      <c r="J150" s="47"/>
      <c r="K150" s="47"/>
      <c r="L150" s="47"/>
      <c r="M150" s="47"/>
      <c r="N150" s="47"/>
      <c r="O150" s="47"/>
      <c r="P150" s="47"/>
      <c r="Q150" s="47"/>
      <c r="S150" s="3" t="s">
        <v>284</v>
      </c>
    </row>
    <row r="151" spans="1:22">
      <c r="A151" s="44" t="s">
        <v>256</v>
      </c>
      <c r="B151" s="47" t="e">
        <f>SUMPRODUCT(F151:Q151,F$5:Q$5)/SUM(F$5:Q$5)</f>
        <v>#DIV/0!</v>
      </c>
      <c r="C151" s="47">
        <f>SUMPRODUCT(F151:H151,F$5:H$5)/SUM(F$5:H$5)</f>
        <v>3.3714879173570425</v>
      </c>
      <c r="D151" s="47">
        <f>SUMPRODUCT(I151:M151,I$5:M$5)/SUM(I$5:M$5)</f>
        <v>2.221047073008017</v>
      </c>
      <c r="E151" s="47" t="e">
        <f>SUMPRODUCT(N151:Q151,N$5:Q$5)/SUM(N$5:Q$5)</f>
        <v>#DIV/0!</v>
      </c>
      <c r="F151" s="47">
        <f>SUMPRODUCT(F152:F167,Assumptions!$E$5:$E$20)/100</f>
        <v>3.3</v>
      </c>
      <c r="G151" s="47">
        <f>SUMPRODUCT(G152:G167,Assumptions!$E$5:$E$20)/100</f>
        <v>3.3</v>
      </c>
      <c r="H151" s="47">
        <f>SUMPRODUCT(H152:H167,Assumptions!$E$5:$E$20)/100</f>
        <v>3.4</v>
      </c>
      <c r="I151" s="47">
        <f>SUMPRODUCT(I152:I167,Assumptions!$E$5:$E$20)/100</f>
        <v>3.1</v>
      </c>
      <c r="J151" s="47">
        <f>SUMPRODUCT(J152:J167,Assumptions!$E$5:$E$20)/100</f>
        <v>2.85</v>
      </c>
      <c r="K151" s="47">
        <f>SUMPRODUCT(K152:K167,Assumptions!$E$5:$E$20)/100</f>
        <v>2.25</v>
      </c>
      <c r="L151" s="47">
        <f>SUMPRODUCT(L152:L167,Assumptions!$E$5:$E$20)/100</f>
        <v>2.2000000000000002</v>
      </c>
      <c r="M151" s="47">
        <f>SUMPRODUCT(M152:M167,Assumptions!$E$5:$E$20)/100</f>
        <v>1.9</v>
      </c>
      <c r="N151" s="47">
        <f>SUMPRODUCT(N152:N167,Assumptions!$E$5:$E$20)/100</f>
        <v>1.9</v>
      </c>
      <c r="O151" s="47">
        <f>SUMPRODUCT(O152:O167,Assumptions!$E$5:$E$20)/100</f>
        <v>1.65</v>
      </c>
      <c r="P151" s="47">
        <f>SUMPRODUCT(P152:P167,Assumptions!$E$5:$E$20)/100</f>
        <v>2.2999999999999998</v>
      </c>
      <c r="Q151" s="47" t="e">
        <f>SUMPRODUCT(Q152:Q167,Assumptions!$E$5:$E$20)/100</f>
        <v>#DIV/0!</v>
      </c>
      <c r="S151" s="3">
        <v>1</v>
      </c>
      <c r="T151" s="3">
        <v>2</v>
      </c>
      <c r="U151" s="3">
        <v>3</v>
      </c>
      <c r="V151" s="3">
        <v>4</v>
      </c>
    </row>
    <row r="152" spans="1:22">
      <c r="A152" s="44" t="s">
        <v>74</v>
      </c>
      <c r="B152" s="47"/>
      <c r="C152" s="47"/>
      <c r="D152" s="47"/>
      <c r="E152" s="47"/>
      <c r="F152" s="47"/>
      <c r="G152" s="47"/>
      <c r="H152" s="47"/>
      <c r="I152" s="47"/>
      <c r="J152" s="47"/>
      <c r="K152" s="47"/>
      <c r="L152" s="47"/>
      <c r="M152" s="47"/>
      <c r="N152" s="47"/>
      <c r="O152" s="47"/>
      <c r="P152" s="47"/>
      <c r="Q152" s="47"/>
    </row>
    <row r="153" spans="1:22" ht="17">
      <c r="A153" s="34" t="s">
        <v>122</v>
      </c>
      <c r="B153" s="47">
        <f t="shared" ref="B153:B167" si="67">SUMPRODUCT(F153:Q153,F$5:Q$5)/SUM(F$5:Q$5)</f>
        <v>2.6258601071023566</v>
      </c>
      <c r="C153" s="47">
        <f t="shared" ref="C153:C167" si="68">SUMPRODUCT(F153:H153,F$5:H$5)/SUM(F$5:H$5)</f>
        <v>3.5619818064728377</v>
      </c>
      <c r="D153" s="47">
        <f t="shared" ref="D153:D167" si="69">SUMPRODUCT(I153:M153,I$5:M$5)/SUM(I$5:M$5)</f>
        <v>1.5107727903579116</v>
      </c>
      <c r="E153" s="47">
        <f t="shared" ref="E153:E167" si="70">SUMPRODUCT(N153:Q153,N$5:Q$5)/SUM(N$5:Q$5)</f>
        <v>2.5876536740130009</v>
      </c>
      <c r="F153" s="3">
        <f>IF(F123&lt;Assumptions!$B6,4,IF(F123&lt;Assumptions!$C6,3,IF(F123&lt;Assumptions!$D6,2,1)))</f>
        <v>3</v>
      </c>
      <c r="G153" s="3">
        <f>IF(G123&lt;Assumptions!$B6,4,IF(G123&lt;Assumptions!$C6,3,IF(G123&lt;Assumptions!$D6,2,1)))</f>
        <v>2</v>
      </c>
      <c r="H153" s="3">
        <f>IF(H123&lt;Assumptions!$B6,4,IF(H123&lt;Assumptions!$C6,3,IF(H123&lt;Assumptions!$D6,2,1)))</f>
        <v>4</v>
      </c>
      <c r="I153" s="3">
        <f>IF(I123&lt;Assumptions!$B6,4,IF(I123&lt;Assumptions!$C6,3,IF(I123&lt;Assumptions!$D6,2,1)))</f>
        <v>1</v>
      </c>
      <c r="J153" s="3">
        <f>IF(J123&lt;Assumptions!$B6,4,IF(J123&lt;Assumptions!$C6,3,IF(J123&lt;Assumptions!$D6,2,1)))</f>
        <v>4</v>
      </c>
      <c r="K153" s="3">
        <f>IF(K123&lt;Assumptions!$B6,4,IF(K123&lt;Assumptions!$C6,3,IF(K123&lt;Assumptions!$D6,2,1)))</f>
        <v>1</v>
      </c>
      <c r="L153" s="3">
        <f>IF(L123&lt;Assumptions!$B6,4,IF(L123&lt;Assumptions!$C6,3,IF(L123&lt;Assumptions!$D6,2,1)))</f>
        <v>2</v>
      </c>
      <c r="M153" s="3">
        <f>IF(M123&lt;Assumptions!$B6,4,IF(M123&lt;Assumptions!$C6,3,IF(M123&lt;Assumptions!$D6,2,1)))</f>
        <v>1</v>
      </c>
      <c r="N153" s="3">
        <f>IF(N123&lt;Assumptions!$B6,4,IF(N123&lt;Assumptions!$C6,3,IF(N123&lt;Assumptions!$D6,2,1)))</f>
        <v>1</v>
      </c>
      <c r="O153" s="3">
        <f>IF(O123&lt;Assumptions!$B6,4,IF(O123&lt;Assumptions!$C6,3,IF(O123&lt;Assumptions!$D6,2,1)))</f>
        <v>1</v>
      </c>
      <c r="P153" s="3">
        <f>IF(P123&lt;Assumptions!$B6,4,IF(P123&lt;Assumptions!$C6,3,IF(P123&lt;Assumptions!$D6,2,1)))</f>
        <v>2</v>
      </c>
      <c r="Q153" s="3">
        <f>IF(Q123&lt;Assumptions!$B6,4,IF(Q123&lt;Assumptions!$C6,3,IF(Q123&lt;Assumptions!$D6,2,1)))</f>
        <v>4</v>
      </c>
      <c r="S153" s="3">
        <f>COUNTIF($F153:$Q153,1)</f>
        <v>5</v>
      </c>
      <c r="T153" s="3">
        <f>COUNTIF($F153:$Q153,2)</f>
        <v>3</v>
      </c>
      <c r="U153" s="3">
        <f>COUNTIF($F153:$Q153,3)</f>
        <v>1</v>
      </c>
      <c r="V153" s="3">
        <f>COUNTIF($F153:$Q153,4)</f>
        <v>3</v>
      </c>
    </row>
    <row r="154" spans="1:22">
      <c r="A154" s="44" t="s">
        <v>75</v>
      </c>
      <c r="B154" s="47"/>
      <c r="C154" s="47"/>
      <c r="D154" s="47"/>
      <c r="E154" s="47"/>
      <c r="F154" s="3"/>
      <c r="G154" s="3"/>
      <c r="I154" s="3"/>
      <c r="N154" s="3"/>
      <c r="O154" s="3"/>
      <c r="P154" s="3"/>
    </row>
    <row r="155" spans="1:22" ht="17">
      <c r="A155" s="60" t="s">
        <v>193</v>
      </c>
      <c r="B155" s="47">
        <f t="shared" si="67"/>
        <v>3.1787238205398687</v>
      </c>
      <c r="C155" s="47">
        <f t="shared" si="68"/>
        <v>4</v>
      </c>
      <c r="D155" s="47">
        <f t="shared" si="69"/>
        <v>2.5802996480038409</v>
      </c>
      <c r="E155" s="47">
        <f t="shared" si="70"/>
        <v>3.0794052568284669</v>
      </c>
      <c r="F155" s="3">
        <f>IF(F125&gt;Assumptions!$B8,4,IF(F125&gt;Assumptions!$C8,3,IF(F125&gt;Assumptions!$D8,2,1)))</f>
        <v>4</v>
      </c>
      <c r="G155" s="3">
        <f>IF(G125&gt;Assumptions!$B8,4,IF(G125&gt;Assumptions!$C8,3,IF(G125&gt;Assumptions!$D8,2,1)))</f>
        <v>4</v>
      </c>
      <c r="H155" s="3">
        <f>IF(H125&gt;Assumptions!$B8,4,IF(H125&gt;Assumptions!$C8,3,IF(H125&gt;Assumptions!$D8,2,1)))</f>
        <v>4</v>
      </c>
      <c r="I155" s="3">
        <f>IF(I125&gt;Assumptions!$B8,4,IF(I125&gt;Assumptions!$C8,3,IF(I125&gt;Assumptions!$D8,2,1)))</f>
        <v>3</v>
      </c>
      <c r="J155" s="3">
        <f>IF(J125&gt;Assumptions!$B8,4,IF(J125&gt;Assumptions!$C8,3,IF(J125&gt;Assumptions!$D8,2,1)))</f>
        <v>4</v>
      </c>
      <c r="K155" s="3">
        <f>IF(K125&gt;Assumptions!$B8,4,IF(K125&gt;Assumptions!$C8,3,IF(K125&gt;Assumptions!$D8,2,1)))</f>
        <v>2</v>
      </c>
      <c r="L155" s="3">
        <f>IF(L125&gt;Assumptions!$B8,4,IF(L125&gt;Assumptions!$C8,3,IF(L125&gt;Assumptions!$D8,2,1)))</f>
        <v>4</v>
      </c>
      <c r="M155" s="3">
        <f>IF(M125&gt;Assumptions!$B8,4,IF(M125&gt;Assumptions!$C8,3,IF(M125&gt;Assumptions!$D8,2,1)))</f>
        <v>2</v>
      </c>
      <c r="N155" s="3">
        <f>IF(N125&gt;Assumptions!$B8,4,IF(N125&gt;Assumptions!$C8,3,IF(N125&gt;Assumptions!$D8,2,1)))</f>
        <v>2</v>
      </c>
      <c r="O155" s="3">
        <f>IF(O125&gt;Assumptions!$B8,4,IF(O125&gt;Assumptions!$C8,3,IF(O125&gt;Assumptions!$D8,2,1)))</f>
        <v>2</v>
      </c>
      <c r="P155" s="3">
        <f>IF(P125&gt;Assumptions!$B8,4,IF(P125&gt;Assumptions!$C8,3,IF(P125&gt;Assumptions!$D8,2,1)))</f>
        <v>3</v>
      </c>
      <c r="Q155" s="3">
        <f>IF(Q125&gt;Assumptions!$B8,4,IF(Q125&gt;Assumptions!$C8,3,IF(Q125&gt;Assumptions!$D8,2,1)))</f>
        <v>4</v>
      </c>
      <c r="S155" s="3">
        <f>COUNTIF($F155:$Q155,1)</f>
        <v>0</v>
      </c>
      <c r="T155" s="3">
        <f>COUNTIF($F155:$Q155,2)</f>
        <v>4</v>
      </c>
      <c r="U155" s="3">
        <f>COUNTIF($F155:$Q155,3)</f>
        <v>2</v>
      </c>
      <c r="V155" s="3">
        <f>COUNTIF($F155:$Q155,4)</f>
        <v>6</v>
      </c>
    </row>
    <row r="156" spans="1:22" ht="17">
      <c r="A156" s="60" t="s">
        <v>117</v>
      </c>
      <c r="B156" s="47">
        <f t="shared" si="67"/>
        <v>2.1352463125581576</v>
      </c>
      <c r="C156" s="47">
        <f t="shared" si="68"/>
        <v>2.1528973670975877</v>
      </c>
      <c r="D156" s="47">
        <f t="shared" si="69"/>
        <v>1.7718664663597519</v>
      </c>
      <c r="E156" s="47">
        <f t="shared" si="70"/>
        <v>2.1938282842210488</v>
      </c>
      <c r="F156" s="3">
        <f>IF(F126&lt;Assumptions!$B9,4,IF(F126&lt;Assumptions!$C9,3,IF(F126&lt;Assumptions!$D9,2,1)))</f>
        <v>2</v>
      </c>
      <c r="G156" s="3">
        <f>IF(G126&lt;Assumptions!$B9,4,IF(G126&lt;Assumptions!$C9,3,IF(G126&lt;Assumptions!$D9,2,1)))</f>
        <v>3</v>
      </c>
      <c r="H156" s="3">
        <f>IF(H126&lt;Assumptions!$B9,4,IF(H126&lt;Assumptions!$C9,3,IF(H126&lt;Assumptions!$D9,2,1)))</f>
        <v>2</v>
      </c>
      <c r="I156" s="3">
        <f>IF(I126&lt;Assumptions!$B9,4,IF(I126&lt;Assumptions!$C9,3,IF(I126&lt;Assumptions!$D9,2,1)))</f>
        <v>4</v>
      </c>
      <c r="J156" s="3">
        <f>IF(J126&lt;Assumptions!$B9,4,IF(J126&lt;Assumptions!$C9,3,IF(J126&lt;Assumptions!$D9,2,1)))</f>
        <v>1</v>
      </c>
      <c r="K156" s="3">
        <f>IF(K126&lt;Assumptions!$B9,4,IF(K126&lt;Assumptions!$C9,3,IF(K126&lt;Assumptions!$D9,2,1)))</f>
        <v>2</v>
      </c>
      <c r="L156" s="3">
        <f>IF(L126&lt;Assumptions!$B9,4,IF(L126&lt;Assumptions!$C9,3,IF(L126&lt;Assumptions!$D9,2,1)))</f>
        <v>3</v>
      </c>
      <c r="M156" s="3">
        <f>IF(M126&lt;Assumptions!$B9,4,IF(M126&lt;Assumptions!$C9,3,IF(M126&lt;Assumptions!$D9,2,1)))</f>
        <v>1</v>
      </c>
      <c r="N156" s="3">
        <f>IF(N126&lt;Assumptions!$B9,4,IF(N126&lt;Assumptions!$C9,3,IF(N126&lt;Assumptions!$D9,2,1)))</f>
        <v>3</v>
      </c>
      <c r="O156" s="3">
        <f>IF(O126&lt;Assumptions!$B9,4,IF(O126&lt;Assumptions!$C9,3,IF(O126&lt;Assumptions!$D9,2,1)))</f>
        <v>2</v>
      </c>
      <c r="P156" s="3">
        <f>IF(P126&lt;Assumptions!$B9,4,IF(P126&lt;Assumptions!$C9,3,IF(P126&lt;Assumptions!$D9,2,1)))</f>
        <v>2</v>
      </c>
      <c r="Q156" s="3">
        <f>IF(Q126&lt;Assumptions!$B9,4,IF(Q126&lt;Assumptions!$C9,3,IF(Q126&lt;Assumptions!$D9,2,1)))</f>
        <v>2</v>
      </c>
      <c r="S156" s="3">
        <f>COUNTIF($F156:$Q156,1)</f>
        <v>2</v>
      </c>
      <c r="T156" s="3">
        <f>COUNTIF($F156:$Q156,2)</f>
        <v>6</v>
      </c>
      <c r="U156" s="3">
        <f>COUNTIF($F156:$Q156,3)</f>
        <v>3</v>
      </c>
      <c r="V156" s="3">
        <f>COUNTIF($F156:$Q156,4)</f>
        <v>1</v>
      </c>
    </row>
    <row r="157" spans="1:22">
      <c r="A157" s="37" t="s">
        <v>123</v>
      </c>
      <c r="B157" s="47">
        <f t="shared" si="67"/>
        <v>2.9757828300005551</v>
      </c>
      <c r="C157" s="47">
        <f t="shared" si="68"/>
        <v>4</v>
      </c>
      <c r="D157" s="47">
        <f t="shared" si="69"/>
        <v>1.9097947165713858</v>
      </c>
      <c r="E157" s="47">
        <f t="shared" si="70"/>
        <v>2.9072988031528495</v>
      </c>
      <c r="F157" s="3">
        <f>IF(F127&gt;Assumptions!$B10,4,IF(F127&gt;Assumptions!$C10,3,IF(F127&gt;Assumptions!$D10,2,1)))</f>
        <v>4</v>
      </c>
      <c r="G157" s="3">
        <f>IF(G127&gt;Assumptions!$B10,4,IF(G127&gt;Assumptions!$C10,3,IF(G127&gt;Assumptions!$D10,2,1)))</f>
        <v>4</v>
      </c>
      <c r="H157" s="3">
        <f>IF(H127&gt;Assumptions!$B10,4,IF(H127&gt;Assumptions!$C10,3,IF(H127&gt;Assumptions!$D10,2,1)))</f>
        <v>4</v>
      </c>
      <c r="I157" s="3">
        <f>IF(I127&gt;Assumptions!$B10,4,IF(I127&gt;Assumptions!$C10,3,IF(I127&gt;Assumptions!$D10,2,1)))</f>
        <v>4</v>
      </c>
      <c r="J157" s="3">
        <f>IF(J127&gt;Assumptions!$B10,4,IF(J127&gt;Assumptions!$C10,3,IF(J127&gt;Assumptions!$D10,2,1)))</f>
        <v>4</v>
      </c>
      <c r="K157" s="3">
        <f>IF(K127&gt;Assumptions!$B10,4,IF(K127&gt;Assumptions!$C10,3,IF(K127&gt;Assumptions!$D10,2,1)))</f>
        <v>1</v>
      </c>
      <c r="L157" s="3">
        <f>IF(L127&gt;Assumptions!$B10,4,IF(L127&gt;Assumptions!$C10,3,IF(L127&gt;Assumptions!$D10,2,1)))</f>
        <v>4</v>
      </c>
      <c r="M157" s="3">
        <f>IF(M127&gt;Assumptions!$B10,4,IF(M127&gt;Assumptions!$C10,3,IF(M127&gt;Assumptions!$D10,2,1)))</f>
        <v>1</v>
      </c>
      <c r="N157" s="3">
        <f>IF(N127&gt;Assumptions!$B10,4,IF(N127&gt;Assumptions!$C10,3,IF(N127&gt;Assumptions!$D10,2,1)))</f>
        <v>2</v>
      </c>
      <c r="O157" s="3">
        <f>IF(O127&gt;Assumptions!$B10,4,IF(O127&gt;Assumptions!$C10,3,IF(O127&gt;Assumptions!$D10,2,1)))</f>
        <v>1</v>
      </c>
      <c r="P157" s="3">
        <f>IF(P127&gt;Assumptions!$B10,4,IF(P127&gt;Assumptions!$C10,3,IF(P127&gt;Assumptions!$D10,2,1)))</f>
        <v>4</v>
      </c>
      <c r="Q157" s="3">
        <f>IF(Q127&gt;Assumptions!$B10,4,IF(Q127&gt;Assumptions!$C10,3,IF(Q127&gt;Assumptions!$D10,2,1)))</f>
        <v>4</v>
      </c>
      <c r="S157" s="3">
        <f>COUNTIF($F157:$Q157,1)</f>
        <v>3</v>
      </c>
      <c r="T157" s="3">
        <f>COUNTIF($F157:$Q157,2)</f>
        <v>1</v>
      </c>
      <c r="U157" s="3">
        <f>COUNTIF($F157:$Q157,3)</f>
        <v>0</v>
      </c>
      <c r="V157" s="3">
        <f>COUNTIF($F157:$Q157,4)</f>
        <v>8</v>
      </c>
    </row>
    <row r="158" spans="1:22" ht="17">
      <c r="A158" s="60" t="s">
        <v>94</v>
      </c>
      <c r="B158" s="47">
        <f t="shared" si="67"/>
        <v>2.8576949478029197</v>
      </c>
      <c r="C158" s="47">
        <f t="shared" si="68"/>
        <v>2</v>
      </c>
      <c r="D158" s="47">
        <f t="shared" si="69"/>
        <v>2.6761094456700727</v>
      </c>
      <c r="E158" s="47">
        <f t="shared" si="70"/>
        <v>3.1011270873738983</v>
      </c>
      <c r="F158" s="3">
        <f>IF(F128&gt;Assumptions!$B11,4,IF(F128&gt;Assumptions!$C11,3,IF(F128&gt;Assumptions!$D11,2,1)))</f>
        <v>2</v>
      </c>
      <c r="G158" s="3">
        <f>IF(G128&gt;Assumptions!$B11,4,IF(G128&gt;Assumptions!$C11,3,IF(G128&gt;Assumptions!$D11,2,1)))</f>
        <v>2</v>
      </c>
      <c r="H158" s="3">
        <f>IF(H128&gt;Assumptions!$B11,4,IF(H128&gt;Assumptions!$C11,3,IF(H128&gt;Assumptions!$D11,2,1)))</f>
        <v>2</v>
      </c>
      <c r="I158" s="3">
        <f>IF(I128&gt;Assumptions!$B11,4,IF(I128&gt;Assumptions!$C11,3,IF(I128&gt;Assumptions!$D11,2,1)))</f>
        <v>3</v>
      </c>
      <c r="J158" s="3">
        <f>IF(J128&gt;Assumptions!$B11,4,IF(J128&gt;Assumptions!$C11,3,IF(J128&gt;Assumptions!$D11,2,1)))</f>
        <v>3</v>
      </c>
      <c r="K158" s="3">
        <f>IF(K128&gt;Assumptions!$B11,4,IF(K128&gt;Assumptions!$C11,3,IF(K128&gt;Assumptions!$D11,2,1)))</f>
        <v>3</v>
      </c>
      <c r="L158" s="3">
        <f>IF(L128&gt;Assumptions!$B11,4,IF(L128&gt;Assumptions!$C11,3,IF(L128&gt;Assumptions!$D11,2,1)))</f>
        <v>3</v>
      </c>
      <c r="M158" s="3">
        <f>IF(M128&gt;Assumptions!$B11,4,IF(M128&gt;Assumptions!$C11,3,IF(M128&gt;Assumptions!$D11,2,1)))</f>
        <v>2</v>
      </c>
      <c r="N158" s="3">
        <f>IF(N128&gt;Assumptions!$B11,4,IF(N128&gt;Assumptions!$C11,3,IF(N128&gt;Assumptions!$D11,2,1)))</f>
        <v>3</v>
      </c>
      <c r="O158" s="3">
        <f>IF(O128&gt;Assumptions!$B11,4,IF(O128&gt;Assumptions!$C11,3,IF(O128&gt;Assumptions!$D11,2,1)))</f>
        <v>1</v>
      </c>
      <c r="P158" s="3">
        <f>IF(P128&gt;Assumptions!$B11,4,IF(P128&gt;Assumptions!$C11,3,IF(P128&gt;Assumptions!$D11,2,1)))</f>
        <v>4</v>
      </c>
      <c r="Q158" s="3">
        <f>IF(Q128&gt;Assumptions!$B11,4,IF(Q128&gt;Assumptions!$C11,3,IF(Q128&gt;Assumptions!$D11,2,1)))</f>
        <v>4</v>
      </c>
      <c r="S158" s="3">
        <f>COUNTIF($F158:$Q158,1)</f>
        <v>1</v>
      </c>
      <c r="T158" s="3">
        <f>COUNTIF($F158:$Q158,2)</f>
        <v>4</v>
      </c>
      <c r="U158" s="3">
        <f>COUNTIF($F158:$Q158,3)</f>
        <v>5</v>
      </c>
      <c r="V158" s="3">
        <f>COUNTIF($F158:$Q158,4)</f>
        <v>2</v>
      </c>
    </row>
    <row r="159" spans="1:22" ht="17">
      <c r="A159" s="60" t="s">
        <v>95</v>
      </c>
      <c r="B159" s="47">
        <f t="shared" si="67"/>
        <v>2.5555750172558569</v>
      </c>
      <c r="C159" s="47">
        <f t="shared" si="68"/>
        <v>2.7148791735704259</v>
      </c>
      <c r="D159" s="47">
        <f t="shared" si="69"/>
        <v>2.696735094476205</v>
      </c>
      <c r="E159" s="47">
        <f t="shared" si="70"/>
        <v>2.4917515828154664</v>
      </c>
      <c r="F159" s="3">
        <f>IF(F129&gt;Assumptions!$B12,4,IF(F129&gt;Assumptions!$C12,3,IF(F129&gt;Assumptions!$D12,2,1)))</f>
        <v>2</v>
      </c>
      <c r="G159" s="3">
        <f>IF(G129&gt;Assumptions!$B12,4,IF(G129&gt;Assumptions!$C12,3,IF(G129&gt;Assumptions!$D12,2,1)))</f>
        <v>2</v>
      </c>
      <c r="H159" s="3">
        <f>IF(H129&gt;Assumptions!$B12,4,IF(H129&gt;Assumptions!$C12,3,IF(H129&gt;Assumptions!$D12,2,1)))</f>
        <v>3</v>
      </c>
      <c r="I159" s="3">
        <f>IF(I129&gt;Assumptions!$B12,4,IF(I129&gt;Assumptions!$C12,3,IF(I129&gt;Assumptions!$D12,2,1)))</f>
        <v>2</v>
      </c>
      <c r="J159" s="3">
        <f>IF(J129&gt;Assumptions!$B12,4,IF(J129&gt;Assumptions!$C12,3,IF(J129&gt;Assumptions!$D12,2,1)))</f>
        <v>2</v>
      </c>
      <c r="K159" s="3">
        <f>IF(K129&gt;Assumptions!$B12,4,IF(K129&gt;Assumptions!$C12,3,IF(K129&gt;Assumptions!$D12,2,1)))</f>
        <v>3</v>
      </c>
      <c r="L159" s="3">
        <f>IF(L129&gt;Assumptions!$B12,4,IF(L129&gt;Assumptions!$C12,3,IF(L129&gt;Assumptions!$D12,2,1)))</f>
        <v>2</v>
      </c>
      <c r="M159" s="3">
        <f>IF(M129&gt;Assumptions!$B12,4,IF(M129&gt;Assumptions!$C12,3,IF(M129&gt;Assumptions!$D12,2,1)))</f>
        <v>3</v>
      </c>
      <c r="N159" s="3">
        <f>IF(N129&gt;Assumptions!$B12,4,IF(N129&gt;Assumptions!$C12,3,IF(N129&gt;Assumptions!$D12,2,1)))</f>
        <v>3</v>
      </c>
      <c r="O159" s="3">
        <f>IF(O129&gt;Assumptions!$B12,4,IF(O129&gt;Assumptions!$C12,3,IF(O129&gt;Assumptions!$D12,2,1)))</f>
        <v>3</v>
      </c>
      <c r="P159" s="3">
        <f>IF(P129&gt;Assumptions!$B12,4,IF(P129&gt;Assumptions!$C12,3,IF(P129&gt;Assumptions!$D12,2,1)))</f>
        <v>3</v>
      </c>
      <c r="Q159" s="3">
        <f>IF(Q129&gt;Assumptions!$B12,4,IF(Q129&gt;Assumptions!$C12,3,IF(Q129&gt;Assumptions!$D12,2,1)))</f>
        <v>2</v>
      </c>
      <c r="S159" s="3">
        <f>COUNTIF($F159:$Q159,1)</f>
        <v>0</v>
      </c>
      <c r="T159" s="3">
        <f>COUNTIF($F159:$Q159,2)</f>
        <v>6</v>
      </c>
      <c r="U159" s="3">
        <f>COUNTIF($F159:$Q159,3)</f>
        <v>6</v>
      </c>
      <c r="V159" s="3">
        <f>COUNTIF($F159:$Q159,4)</f>
        <v>0</v>
      </c>
    </row>
    <row r="160" spans="1:22">
      <c r="A160" s="44" t="s">
        <v>76</v>
      </c>
      <c r="B160" s="47"/>
      <c r="C160" s="47"/>
      <c r="D160" s="47"/>
      <c r="E160" s="47"/>
      <c r="F160" s="3"/>
      <c r="G160" s="3"/>
      <c r="I160" s="3"/>
      <c r="N160" s="3"/>
      <c r="O160" s="3"/>
      <c r="P160" s="3"/>
    </row>
    <row r="161" spans="1:22" ht="17">
      <c r="A161" s="34" t="s">
        <v>124</v>
      </c>
      <c r="B161" s="47">
        <f t="shared" si="67"/>
        <v>2.4483179979120746</v>
      </c>
      <c r="C161" s="47">
        <f t="shared" si="68"/>
        <v>3.285120826429575</v>
      </c>
      <c r="D161" s="47">
        <f t="shared" si="69"/>
        <v>2.2651391476926639</v>
      </c>
      <c r="E161" s="47">
        <f t="shared" si="70"/>
        <v>2.2732335410495161</v>
      </c>
      <c r="F161" s="3">
        <f>IF(F131&lt;Assumptions!$B14,4,IF(F131&lt;Assumptions!$C14,3,IF(F131&lt;Assumptions!$D14,2,1)))</f>
        <v>4</v>
      </c>
      <c r="G161" s="3">
        <f>IF(G131&lt;Assumptions!$B14,4,IF(G131&lt;Assumptions!$C14,3,IF(G131&lt;Assumptions!$D14,2,1)))</f>
        <v>4</v>
      </c>
      <c r="H161" s="3">
        <f>IF(H131&lt;Assumptions!$B14,4,IF(H131&lt;Assumptions!$C14,3,IF(H131&lt;Assumptions!$D14,2,1)))</f>
        <v>3</v>
      </c>
      <c r="I161" s="3">
        <f>IF(I131&lt;Assumptions!$B14,4,IF(I131&lt;Assumptions!$C14,3,IF(I131&lt;Assumptions!$D14,2,1)))</f>
        <v>4</v>
      </c>
      <c r="J161" s="3">
        <f>IF(J131&lt;Assumptions!$B14,4,IF(J131&lt;Assumptions!$C14,3,IF(J131&lt;Assumptions!$D14,2,1)))</f>
        <v>2</v>
      </c>
      <c r="K161" s="3">
        <f>IF(K131&lt;Assumptions!$B14,4,IF(K131&lt;Assumptions!$C14,3,IF(K131&lt;Assumptions!$D14,2,1)))</f>
        <v>3</v>
      </c>
      <c r="L161" s="3">
        <f>IF(L131&lt;Assumptions!$B14,4,IF(L131&lt;Assumptions!$C14,3,IF(L131&lt;Assumptions!$D14,2,1)))</f>
        <v>1</v>
      </c>
      <c r="M161" s="3">
        <f>IF(M131&lt;Assumptions!$B14,4,IF(M131&lt;Assumptions!$C14,3,IF(M131&lt;Assumptions!$D14,2,1)))</f>
        <v>2</v>
      </c>
      <c r="N161" s="3">
        <f>IF(N131&lt;Assumptions!$B14,4,IF(N131&lt;Assumptions!$C14,3,IF(N131&lt;Assumptions!$D14,2,1)))</f>
        <v>2</v>
      </c>
      <c r="O161" s="3">
        <f>IF(O131&lt;Assumptions!$B14,4,IF(O131&lt;Assumptions!$C14,3,IF(O131&lt;Assumptions!$D14,2,1)))</f>
        <v>1</v>
      </c>
      <c r="P161" s="3">
        <f>IF(P131&lt;Assumptions!$B14,4,IF(P131&lt;Assumptions!$C14,3,IF(P131&lt;Assumptions!$D14,2,1)))</f>
        <v>2</v>
      </c>
      <c r="Q161" s="3">
        <f>IF(Q131&lt;Assumptions!$B14,4,IF(Q131&lt;Assumptions!$C14,3,IF(Q131&lt;Assumptions!$D14,2,1)))</f>
        <v>3</v>
      </c>
      <c r="S161" s="3">
        <f>COUNTIF($F161:$Q161,1)</f>
        <v>2</v>
      </c>
      <c r="T161" s="3">
        <f>COUNTIF($F161:$Q161,2)</f>
        <v>4</v>
      </c>
      <c r="U161" s="3">
        <f>COUNTIF($F161:$Q161,3)</f>
        <v>3</v>
      </c>
      <c r="V161" s="3">
        <f>COUNTIF($F161:$Q161,4)</f>
        <v>3</v>
      </c>
    </row>
    <row r="162" spans="1:22" ht="17">
      <c r="A162" s="34" t="s">
        <v>125</v>
      </c>
      <c r="B162" s="47">
        <f t="shared" si="67"/>
        <v>1.7136173625403077</v>
      </c>
      <c r="C162" s="47">
        <f t="shared" si="68"/>
        <v>3.285120826429575</v>
      </c>
      <c r="D162" s="47">
        <f t="shared" si="69"/>
        <v>2.4721606780836582</v>
      </c>
      <c r="E162" s="47">
        <f t="shared" si="70"/>
        <v>1.193828284221049</v>
      </c>
      <c r="F162" s="3">
        <f>IF(F132&lt;Assumptions!$B15,4,IF(F132&lt;Assumptions!$C15,3,IF(F132&lt;Assumptions!$D15,2,1)))</f>
        <v>4</v>
      </c>
      <c r="G162" s="3">
        <f>IF(G132&lt;Assumptions!$B15,4,IF(G132&lt;Assumptions!$C15,3,IF(G132&lt;Assumptions!$D15,2,1)))</f>
        <v>4</v>
      </c>
      <c r="H162" s="3">
        <f>IF(H132&lt;Assumptions!$B15,4,IF(H132&lt;Assumptions!$C15,3,IF(H132&lt;Assumptions!$D15,2,1)))</f>
        <v>3</v>
      </c>
      <c r="I162" s="3">
        <f>IF(I132&lt;Assumptions!$B15,4,IF(I132&lt;Assumptions!$C15,3,IF(I132&lt;Assumptions!$D15,2,1)))</f>
        <v>4</v>
      </c>
      <c r="J162" s="3">
        <f>IF(J132&lt;Assumptions!$B15,4,IF(J132&lt;Assumptions!$C15,3,IF(J132&lt;Assumptions!$D15,2,1)))</f>
        <v>1</v>
      </c>
      <c r="K162" s="3">
        <f>IF(K132&lt;Assumptions!$B15,4,IF(K132&lt;Assumptions!$C15,3,IF(K132&lt;Assumptions!$D15,2,1)))</f>
        <v>3</v>
      </c>
      <c r="L162" s="3">
        <f>IF(L132&lt;Assumptions!$B15,4,IF(L132&lt;Assumptions!$C15,3,IF(L132&lt;Assumptions!$D15,2,1)))</f>
        <v>1</v>
      </c>
      <c r="M162" s="3">
        <f>IF(M132&lt;Assumptions!$B15,4,IF(M132&lt;Assumptions!$C15,3,IF(M132&lt;Assumptions!$D15,2,1)))</f>
        <v>3</v>
      </c>
      <c r="N162" s="3">
        <f>IF(N132&lt;Assumptions!$B15,4,IF(N132&lt;Assumptions!$C15,3,IF(N132&lt;Assumptions!$D15,2,1)))</f>
        <v>2</v>
      </c>
      <c r="O162" s="3">
        <f>IF(O132&lt;Assumptions!$B15,4,IF(O132&lt;Assumptions!$C15,3,IF(O132&lt;Assumptions!$D15,2,1)))</f>
        <v>1</v>
      </c>
      <c r="P162" s="3">
        <f>IF(P132&lt;Assumptions!$B15,4,IF(P132&lt;Assumptions!$C15,3,IF(P132&lt;Assumptions!$D15,2,1)))</f>
        <v>1</v>
      </c>
      <c r="Q162" s="3">
        <f>IF(Q132&lt;Assumptions!$B15,4,IF(Q132&lt;Assumptions!$C15,3,IF(Q132&lt;Assumptions!$D15,2,1)))</f>
        <v>1</v>
      </c>
      <c r="S162" s="3">
        <f>COUNTIF($F162:$Q162,1)</f>
        <v>5</v>
      </c>
      <c r="T162" s="3">
        <f>COUNTIF($F162:$Q162,2)</f>
        <v>1</v>
      </c>
      <c r="U162" s="3">
        <f>COUNTIF($F162:$Q162,3)</f>
        <v>3</v>
      </c>
      <c r="V162" s="3">
        <f>COUNTIF($F162:$Q162,4)</f>
        <v>3</v>
      </c>
    </row>
    <row r="163" spans="1:22">
      <c r="A163" s="44" t="s">
        <v>257</v>
      </c>
      <c r="B163" s="47"/>
      <c r="C163" s="47"/>
      <c r="D163" s="47"/>
      <c r="E163" s="47"/>
      <c r="F163" s="3"/>
      <c r="G163" s="3"/>
      <c r="I163" s="3"/>
      <c r="N163" s="3"/>
      <c r="O163" s="3"/>
      <c r="P163" s="3"/>
    </row>
    <row r="164" spans="1:22" ht="17">
      <c r="A164" s="34" t="s">
        <v>258</v>
      </c>
      <c r="B164" s="47">
        <f t="shared" si="67"/>
        <v>2.2988529224143779</v>
      </c>
      <c r="C164" s="47">
        <f t="shared" si="68"/>
        <v>3.1528973670975882</v>
      </c>
      <c r="D164" s="47">
        <f t="shared" si="69"/>
        <v>3.0262301630437496</v>
      </c>
      <c r="E164" s="47">
        <f t="shared" si="70"/>
        <v>1.9617813350855016</v>
      </c>
      <c r="F164" s="3">
        <f>IF(F134&lt;Assumptions!$B17,4,IF(F134&lt;Assumptions!$C17,3,IF(F134&lt;Assumptions!$D17,2,1)))</f>
        <v>3</v>
      </c>
      <c r="G164" s="3">
        <f>IF(G134&lt;Assumptions!$B17,4,IF(G134&lt;Assumptions!$C17,3,IF(G134&lt;Assumptions!$D17,2,1)))</f>
        <v>4</v>
      </c>
      <c r="H164" s="3">
        <f>IF(H134&lt;Assumptions!$B17,4,IF(H134&lt;Assumptions!$C17,3,IF(H134&lt;Assumptions!$D17,2,1)))</f>
        <v>3</v>
      </c>
      <c r="I164" s="3">
        <f>IF(I134&lt;Assumptions!$B17,4,IF(I134&lt;Assumptions!$C17,3,IF(I134&lt;Assumptions!$D17,2,1)))</f>
        <v>4</v>
      </c>
      <c r="J164" s="3">
        <f>IF(J134&lt;Assumptions!$B17,4,IF(J134&lt;Assumptions!$C17,3,IF(J134&lt;Assumptions!$D17,2,1)))</f>
        <v>3</v>
      </c>
      <c r="K164" s="3">
        <f>IF(K134&lt;Assumptions!$B17,4,IF(K134&lt;Assumptions!$C17,3,IF(K134&lt;Assumptions!$D17,2,1)))</f>
        <v>3</v>
      </c>
      <c r="L164" s="3">
        <f>IF(L134&lt;Assumptions!$B17,4,IF(L134&lt;Assumptions!$C17,3,IF(L134&lt;Assumptions!$D17,2,1)))</f>
        <v>3</v>
      </c>
      <c r="M164" s="3">
        <f>IF(M134&lt;Assumptions!$B17,4,IF(M134&lt;Assumptions!$C17,3,IF(M134&lt;Assumptions!$D17,2,1)))</f>
        <v>3</v>
      </c>
      <c r="N164" s="3">
        <f>IF(N134&lt;Assumptions!$B17,4,IF(N134&lt;Assumptions!$C17,3,IF(N134&lt;Assumptions!$D17,2,1)))</f>
        <v>2</v>
      </c>
      <c r="O164" s="3">
        <f>IF(O134&lt;Assumptions!$B17,4,IF(O134&lt;Assumptions!$C17,3,IF(O134&lt;Assumptions!$D17,2,1)))</f>
        <v>4</v>
      </c>
      <c r="P164" s="3">
        <f>IF(P134&lt;Assumptions!$B17,4,IF(P134&lt;Assumptions!$C17,3,IF(P134&lt;Assumptions!$D17,2,1)))</f>
        <v>2</v>
      </c>
      <c r="Q164" s="3">
        <f>IF(Q134&lt;Assumptions!$B17,4,IF(Q134&lt;Assumptions!$C17,3,IF(Q134&lt;Assumptions!$D17,2,1)))</f>
        <v>1</v>
      </c>
      <c r="S164" s="3">
        <f>COUNTIF($F164:$Q164,1)</f>
        <v>1</v>
      </c>
      <c r="T164" s="3">
        <f>COUNTIF($F164:$Q164,2)</f>
        <v>2</v>
      </c>
      <c r="U164" s="3">
        <f>COUNTIF($F164:$Q164,3)</f>
        <v>6</v>
      </c>
      <c r="V164" s="3">
        <f>COUNTIF($F164:$Q164,4)</f>
        <v>3</v>
      </c>
    </row>
    <row r="165" spans="1:22" ht="17">
      <c r="A165" s="34" t="s">
        <v>261</v>
      </c>
      <c r="B165" s="47" t="e">
        <f t="shared" si="67"/>
        <v>#DIV/0!</v>
      </c>
      <c r="C165" s="47">
        <f t="shared" si="68"/>
        <v>3.8677765406680131</v>
      </c>
      <c r="D165" s="47">
        <f t="shared" si="69"/>
        <v>2.4253048662337768</v>
      </c>
      <c r="E165" s="47" t="e">
        <f t="shared" si="70"/>
        <v>#DIV/0!</v>
      </c>
      <c r="F165" s="3">
        <f>IF(F135&lt;Assumptions!$B18,4,IF(F135&lt;Assumptions!$C18,3,IF(F135&lt;Assumptions!$D18,2,1)))</f>
        <v>3</v>
      </c>
      <c r="G165" s="3">
        <f>IF(G135&lt;Assumptions!$B18,4,IF(G135&lt;Assumptions!$C18,3,IF(G135&lt;Assumptions!$D18,2,1)))</f>
        <v>4</v>
      </c>
      <c r="H165" s="3">
        <f>IF(H135&lt;Assumptions!$B18,4,IF(H135&lt;Assumptions!$C18,3,IF(H135&lt;Assumptions!$D18,2,1)))</f>
        <v>4</v>
      </c>
      <c r="I165" s="3">
        <f>IF(I135&lt;Assumptions!$B18,4,IF(I135&lt;Assumptions!$C18,3,IF(I135&lt;Assumptions!$D18,2,1)))</f>
        <v>4</v>
      </c>
      <c r="J165" s="3">
        <f>IF(J135&lt;Assumptions!$B18,4,IF(J135&lt;Assumptions!$C18,3,IF(J135&lt;Assumptions!$D18,2,1)))</f>
        <v>2</v>
      </c>
      <c r="K165" s="3">
        <f>IF(K135&lt;Assumptions!$B18,4,IF(K135&lt;Assumptions!$C18,3,IF(K135&lt;Assumptions!$D18,2,1)))</f>
        <v>3</v>
      </c>
      <c r="L165" s="3">
        <f>IF(L135&lt;Assumptions!$B18,4,IF(L135&lt;Assumptions!$C18,3,IF(L135&lt;Assumptions!$D18,2,1)))</f>
        <v>2</v>
      </c>
      <c r="M165" s="3">
        <f>IF(M135&lt;Assumptions!$B18,4,IF(M135&lt;Assumptions!$C18,3,IF(M135&lt;Assumptions!$D18,2,1)))</f>
        <v>2</v>
      </c>
      <c r="N165" s="3">
        <f>IF(N135&lt;Assumptions!$B18,4,IF(N135&lt;Assumptions!$C18,3,IF(N135&lt;Assumptions!$D18,2,1)))</f>
        <v>2</v>
      </c>
      <c r="O165" s="3">
        <f>IF(O135&lt;Assumptions!$B18,4,IF(O135&lt;Assumptions!$C18,3,IF(O135&lt;Assumptions!$D18,2,1)))</f>
        <v>4</v>
      </c>
      <c r="P165" s="3">
        <f>IF(P135&lt;Assumptions!$B18,4,IF(P135&lt;Assumptions!$C18,3,IF(P135&lt;Assumptions!$D18,2,1)))</f>
        <v>1</v>
      </c>
      <c r="Q165" s="3" t="e">
        <f>IF(Q135&lt;Assumptions!$B18,4,IF(Q135&lt;Assumptions!$C18,3,IF(Q135&lt;Assumptions!$D18,2,1)))</f>
        <v>#DIV/0!</v>
      </c>
      <c r="S165" s="3">
        <f>COUNTIF($F165:$Q165,1)</f>
        <v>1</v>
      </c>
      <c r="T165" s="3">
        <f>COUNTIF($F165:$Q165,2)</f>
        <v>4</v>
      </c>
      <c r="U165" s="3">
        <f>COUNTIF($F165:$Q165,3)</f>
        <v>2</v>
      </c>
      <c r="V165" s="3">
        <f>COUNTIF($F165:$Q165,4)</f>
        <v>4</v>
      </c>
    </row>
    <row r="166" spans="1:22">
      <c r="A166" s="44" t="s">
        <v>77</v>
      </c>
      <c r="B166" s="47"/>
      <c r="C166" s="47"/>
      <c r="D166" s="47"/>
      <c r="E166" s="47"/>
      <c r="F166" s="3"/>
      <c r="G166" s="3"/>
      <c r="I166" s="3"/>
      <c r="N166" s="3"/>
      <c r="O166" s="3"/>
      <c r="P166" s="3"/>
    </row>
    <row r="167" spans="1:22" ht="17">
      <c r="A167" s="34" t="s">
        <v>126</v>
      </c>
      <c r="B167" s="47">
        <f t="shared" si="67"/>
        <v>2.8278967181709445</v>
      </c>
      <c r="C167" s="47">
        <f t="shared" si="68"/>
        <v>3.4297583471408513</v>
      </c>
      <c r="D167" s="47">
        <f t="shared" si="69"/>
        <v>1.5107727903579116</v>
      </c>
      <c r="E167" s="47">
        <f t="shared" si="70"/>
        <v>2.9072988031528495</v>
      </c>
      <c r="F167" s="3">
        <f>IF(ABS(F137)&gt;Assumptions!$B20,4,IF(ABS(F137)&gt;Assumptions!$C20,3,IF(ABS(F137)&gt;Assumptions!$D20,2,1)))</f>
        <v>2</v>
      </c>
      <c r="G167" s="3">
        <f>IF(ABS(G137)&gt;Assumptions!$B20,4,IF(ABS(G137)&gt;Assumptions!$C20,3,IF(ABS(G137)&gt;Assumptions!$D20,2,1)))</f>
        <v>2</v>
      </c>
      <c r="H167" s="3">
        <f>IF(ABS(H137)&gt;Assumptions!$B20,4,IF(ABS(H137)&gt;Assumptions!$C20,3,IF(ABS(H137)&gt;Assumptions!$D20,2,1)))</f>
        <v>4</v>
      </c>
      <c r="I167" s="3">
        <f>IF(ABS(I137)&gt;Assumptions!$B20,4,IF(ABS(I137)&gt;Assumptions!$C20,3,IF(ABS(I137)&gt;Assumptions!$D20,2,1)))</f>
        <v>1</v>
      </c>
      <c r="J167" s="3">
        <f>IF(ABS(J137)&gt;Assumptions!$B20,4,IF(ABS(J137)&gt;Assumptions!$C20,3,IF(ABS(J137)&gt;Assumptions!$D20,2,1)))</f>
        <v>4</v>
      </c>
      <c r="K167" s="3">
        <f>IF(ABS(K137)&gt;Assumptions!$B20,4,IF(ABS(K137)&gt;Assumptions!$C20,3,IF(ABS(K137)&gt;Assumptions!$D20,2,1)))</f>
        <v>1</v>
      </c>
      <c r="L167" s="3">
        <f>IF(ABS(L137)&gt;Assumptions!$B20,4,IF(ABS(L137)&gt;Assumptions!$C20,3,IF(ABS(L137)&gt;Assumptions!$D20,2,1)))</f>
        <v>2</v>
      </c>
      <c r="M167" s="3">
        <f>IF(ABS(M137)&gt;Assumptions!$B20,4,IF(ABS(M137)&gt;Assumptions!$C20,3,IF(ABS(M137)&gt;Assumptions!$D20,2,1)))</f>
        <v>1</v>
      </c>
      <c r="N167" s="3">
        <f>IF(ABS(N137)&gt;Assumptions!$B20,4,IF(ABS(N137)&gt;Assumptions!$C20,3,IF(ABS(N137)&gt;Assumptions!$D20,2,1)))</f>
        <v>2</v>
      </c>
      <c r="O167" s="3">
        <f>IF(ABS(O137)&gt;Assumptions!$B20,4,IF(ABS(O137)&gt;Assumptions!$C20,3,IF(ABS(O137)&gt;Assumptions!$D20,2,1)))</f>
        <v>1</v>
      </c>
      <c r="P167" s="3">
        <f>IF(ABS(P137)&gt;Assumptions!$B20,4,IF(ABS(P137)&gt;Assumptions!$C20,3,IF(ABS(P137)&gt;Assumptions!$D20,2,1)))</f>
        <v>4</v>
      </c>
      <c r="Q167" s="3">
        <f>IF(ABS(Q137)&gt;Assumptions!$B20,4,IF(ABS(Q137)&gt;Assumptions!$C20,3,IF(ABS(Q137)&gt;Assumptions!$D20,2,1)))</f>
        <v>4</v>
      </c>
      <c r="S167" s="3">
        <f>COUNTIF($F167:$Q167,1)</f>
        <v>4</v>
      </c>
      <c r="T167" s="3">
        <f>COUNTIF($F167:$Q167,2)</f>
        <v>4</v>
      </c>
      <c r="U167" s="3">
        <f>COUNTIF($F167:$Q167,3)</f>
        <v>0</v>
      </c>
      <c r="V167" s="3">
        <f>COUNTIF($F167:$Q167,4)</f>
        <v>4</v>
      </c>
    </row>
    <row r="168" spans="1:22">
      <c r="A168" s="34"/>
      <c r="B168" s="47"/>
      <c r="C168" s="47"/>
      <c r="D168" s="47"/>
      <c r="E168" s="47"/>
      <c r="F168" s="3"/>
      <c r="G168" s="3"/>
      <c r="I168" s="3"/>
      <c r="N168" s="3"/>
      <c r="O168" s="3"/>
      <c r="P168" s="3"/>
    </row>
    <row r="169" spans="1:22">
      <c r="A169" s="43" t="s">
        <v>417</v>
      </c>
      <c r="B169" s="47"/>
      <c r="C169" s="47"/>
      <c r="D169" s="47"/>
      <c r="E169" s="47"/>
      <c r="F169" s="47"/>
      <c r="G169" s="47"/>
      <c r="H169" s="47"/>
      <c r="I169" s="47"/>
      <c r="J169" s="47"/>
      <c r="K169" s="47"/>
      <c r="L169" s="47"/>
      <c r="M169" s="47"/>
      <c r="N169" s="47"/>
      <c r="O169" s="47"/>
      <c r="P169" s="47"/>
      <c r="Q169" s="47"/>
    </row>
    <row r="170" spans="1:22">
      <c r="A170" s="44" t="s">
        <v>256</v>
      </c>
      <c r="B170" s="47"/>
      <c r="C170" s="47"/>
      <c r="D170" s="47"/>
      <c r="E170" s="47"/>
      <c r="F170" s="21">
        <f>SUMPRODUCT(F171:F186,Assumptions!$E$5:$E$20)/100</f>
        <v>15.65</v>
      </c>
      <c r="G170" s="21">
        <f>SUMPRODUCT(G171:G186,Assumptions!$E$5:$E$20)/100</f>
        <v>19.850000000000001</v>
      </c>
      <c r="H170" s="21">
        <f>SUMPRODUCT(H171:H186,Assumptions!$E$5:$E$20)/100</f>
        <v>17.100000000000001</v>
      </c>
      <c r="I170" s="21">
        <f>SUMPRODUCT(I171:I186,Assumptions!$E$5:$E$20)/100</f>
        <v>18.774999999999999</v>
      </c>
      <c r="J170" s="21">
        <f>SUMPRODUCT(J171:J186,Assumptions!$E$5:$E$20)/100</f>
        <v>13.265000000000001</v>
      </c>
      <c r="K170" s="21">
        <f>SUMPRODUCT(K171:K186,Assumptions!$E$5:$E$20)/100</f>
        <v>3.085</v>
      </c>
      <c r="L170" s="21">
        <f>SUMPRODUCT(L171:L186,Assumptions!$E$5:$E$20)/100</f>
        <v>5.88</v>
      </c>
      <c r="M170" s="21">
        <f>SUMPRODUCT(M171:M186,Assumptions!$E$5:$E$20)/100</f>
        <v>1.6850000000000001</v>
      </c>
      <c r="N170" s="21">
        <f>SUMPRODUCT(N171:N186,Assumptions!$E$5:$E$20)/100</f>
        <v>1.22</v>
      </c>
      <c r="O170" s="21">
        <f>SUMPRODUCT(O171:O186,Assumptions!$E$5:$E$20)/100</f>
        <v>6.125</v>
      </c>
      <c r="P170" s="21">
        <f>SUMPRODUCT(P171:P186,Assumptions!$E$5:$E$20)/100</f>
        <v>8.2249999999999996</v>
      </c>
      <c r="Q170" s="21" t="e">
        <f>SUMPRODUCT(Q171:Q186,Assumptions!$E$5:$E$20)/100</f>
        <v>#DIV/0!</v>
      </c>
    </row>
    <row r="171" spans="1:22">
      <c r="A171" s="44" t="s">
        <v>74</v>
      </c>
      <c r="B171" s="47"/>
      <c r="C171" s="47"/>
      <c r="D171" s="47"/>
      <c r="E171" s="47"/>
      <c r="F171" s="21"/>
      <c r="H171" s="21"/>
      <c r="I171" s="21"/>
      <c r="J171" s="21"/>
      <c r="K171" s="21"/>
      <c r="L171" s="21"/>
      <c r="M171" s="21"/>
      <c r="N171" s="21"/>
      <c r="O171" s="21"/>
      <c r="P171" s="21"/>
      <c r="Q171" s="21"/>
    </row>
    <row r="172" spans="1:22" ht="17">
      <c r="A172" s="34" t="s">
        <v>122</v>
      </c>
      <c r="B172" s="47"/>
      <c r="C172" s="47"/>
      <c r="D172" s="47"/>
      <c r="E172" s="47"/>
      <c r="F172" s="21">
        <f>IF(F153=4,Assumptions!$B$22,IF(F153=3,Assumptions!$C$22,IF(F153=2,Assumptions!$D$22,IF(F153=1,Assumptions!$E$22,"..."))))</f>
        <v>5</v>
      </c>
      <c r="G172" s="21">
        <f>IF(G153=4,Assumptions!$B$22,IF(G153=3,Assumptions!$C$22,IF(G153=2,Assumptions!$D$22,IF(G153=1,Assumptions!$E$22,"..."))))</f>
        <v>1</v>
      </c>
      <c r="H172" s="21">
        <f>IF(H153=4,Assumptions!$B$22,IF(H153=3,Assumptions!$C$22,IF(H153=2,Assumptions!$D$22,IF(H153=1,Assumptions!$E$22,"..."))))</f>
        <v>30</v>
      </c>
      <c r="I172" s="21">
        <f>IF(I153=4,Assumptions!$B$22,IF(I153=3,Assumptions!$C$22,IF(I153=2,Assumptions!$D$22,IF(I153=1,Assumptions!$E$22,"..."))))</f>
        <v>0.1</v>
      </c>
      <c r="J172" s="21">
        <f>IF(J153=4,Assumptions!$B$22,IF(J153=3,Assumptions!$C$22,IF(J153=2,Assumptions!$D$22,IF(J153=1,Assumptions!$E$22,"..."))))</f>
        <v>30</v>
      </c>
      <c r="K172" s="21">
        <f>IF(K153=4,Assumptions!$B$22,IF(K153=3,Assumptions!$C$22,IF(K153=2,Assumptions!$D$22,IF(K153=1,Assumptions!$E$22,"..."))))</f>
        <v>0.1</v>
      </c>
      <c r="L172" s="21">
        <f>IF(L153=4,Assumptions!$B$22,IF(L153=3,Assumptions!$C$22,IF(L153=2,Assumptions!$D$22,IF(L153=1,Assumptions!$E$22,"..."))))</f>
        <v>1</v>
      </c>
      <c r="M172" s="21">
        <f>IF(M153=4,Assumptions!$B$22,IF(M153=3,Assumptions!$C$22,IF(M153=2,Assumptions!$D$22,IF(M153=1,Assumptions!$E$22,"..."))))</f>
        <v>0.1</v>
      </c>
      <c r="N172" s="21">
        <f>IF(N153=4,Assumptions!$B$22,IF(N153=3,Assumptions!$C$22,IF(N153=2,Assumptions!$D$22,IF(N153=1,Assumptions!$E$22,"..."))))</f>
        <v>0.1</v>
      </c>
      <c r="O172" s="21">
        <f>IF(O153=4,Assumptions!$B$22,IF(O153=3,Assumptions!$C$22,IF(O153=2,Assumptions!$D$22,IF(O153=1,Assumptions!$E$22,"..."))))</f>
        <v>0.1</v>
      </c>
      <c r="P172" s="21">
        <f>IF(P153=4,Assumptions!$B$22,IF(P153=3,Assumptions!$C$22,IF(P153=2,Assumptions!$D$22,IF(P153=1,Assumptions!$E$22,"..."))))</f>
        <v>1</v>
      </c>
      <c r="Q172" s="21">
        <f>IF(Q153=4,Assumptions!$B$22,IF(Q153=3,Assumptions!$C$22,IF(Q153=2,Assumptions!$D$22,IF(Q153=1,Assumptions!$E$22,"..."))))</f>
        <v>30</v>
      </c>
    </row>
    <row r="173" spans="1:22">
      <c r="A173" s="44" t="s">
        <v>75</v>
      </c>
      <c r="B173" s="47"/>
      <c r="C173" s="47"/>
      <c r="D173" s="47"/>
      <c r="E173" s="47"/>
      <c r="F173" s="21"/>
      <c r="H173" s="21"/>
      <c r="I173" s="21"/>
      <c r="J173" s="21"/>
      <c r="K173" s="21"/>
      <c r="L173" s="21"/>
      <c r="M173" s="21"/>
      <c r="N173" s="21"/>
      <c r="O173" s="21"/>
      <c r="P173" s="21"/>
      <c r="Q173" s="21"/>
    </row>
    <row r="174" spans="1:22" ht="17">
      <c r="A174" s="60" t="s">
        <v>193</v>
      </c>
      <c r="B174" s="47"/>
      <c r="C174" s="47"/>
      <c r="D174" s="47"/>
      <c r="E174" s="47"/>
      <c r="F174" s="21">
        <f>IF(F155=4,Assumptions!$B$22,IF(F155=3,Assumptions!$C$22,IF(F155=2,Assumptions!$D$22,IF(F155=1,Assumptions!$E$22,"..."))))</f>
        <v>30</v>
      </c>
      <c r="G174" s="21">
        <f>IF(G155=4,Assumptions!$B$22,IF(G155=3,Assumptions!$C$22,IF(G155=2,Assumptions!$D$22,IF(G155=1,Assumptions!$E$22,"..."))))</f>
        <v>30</v>
      </c>
      <c r="H174" s="21">
        <f>IF(H155=4,Assumptions!$B$22,IF(H155=3,Assumptions!$C$22,IF(H155=2,Assumptions!$D$22,IF(H155=1,Assumptions!$E$22,"..."))))</f>
        <v>30</v>
      </c>
      <c r="I174" s="21">
        <f>IF(I155=4,Assumptions!$B$22,IF(I155=3,Assumptions!$C$22,IF(I155=2,Assumptions!$D$22,IF(I155=1,Assumptions!$E$22,"..."))))</f>
        <v>5</v>
      </c>
      <c r="J174" s="21">
        <f>IF(J155=4,Assumptions!$B$22,IF(J155=3,Assumptions!$C$22,IF(J155=2,Assumptions!$D$22,IF(J155=1,Assumptions!$E$22,"..."))))</f>
        <v>30</v>
      </c>
      <c r="K174" s="21">
        <f>IF(K155=4,Assumptions!$B$22,IF(K155=3,Assumptions!$C$22,IF(K155=2,Assumptions!$D$22,IF(K155=1,Assumptions!$E$22,"..."))))</f>
        <v>1</v>
      </c>
      <c r="L174" s="21">
        <f>IF(L155=4,Assumptions!$B$22,IF(L155=3,Assumptions!$C$22,IF(L155=2,Assumptions!$D$22,IF(L155=1,Assumptions!$E$22,"..."))))</f>
        <v>30</v>
      </c>
      <c r="M174" s="21">
        <f>IF(M155=4,Assumptions!$B$22,IF(M155=3,Assumptions!$C$22,IF(M155=2,Assumptions!$D$22,IF(M155=1,Assumptions!$E$22,"..."))))</f>
        <v>1</v>
      </c>
      <c r="N174" s="21">
        <f>IF(N155=4,Assumptions!$B$22,IF(N155=3,Assumptions!$C$22,IF(N155=2,Assumptions!$D$22,IF(N155=1,Assumptions!$E$22,"..."))))</f>
        <v>1</v>
      </c>
      <c r="O174" s="21">
        <f>IF(O155=4,Assumptions!$B$22,IF(O155=3,Assumptions!$C$22,IF(O155=2,Assumptions!$D$22,IF(O155=1,Assumptions!$E$22,"..."))))</f>
        <v>1</v>
      </c>
      <c r="P174" s="21">
        <f>IF(P155=4,Assumptions!$B$22,IF(P155=3,Assumptions!$C$22,IF(P155=2,Assumptions!$D$22,IF(P155=1,Assumptions!$E$22,"..."))))</f>
        <v>5</v>
      </c>
      <c r="Q174" s="21">
        <f>IF(Q155=4,Assumptions!$B$22,IF(Q155=3,Assumptions!$C$22,IF(Q155=2,Assumptions!$D$22,IF(Q155=1,Assumptions!$E$22,"..."))))</f>
        <v>30</v>
      </c>
    </row>
    <row r="175" spans="1:22" ht="17">
      <c r="A175" s="60" t="s">
        <v>117</v>
      </c>
      <c r="B175" s="47"/>
      <c r="C175" s="47"/>
      <c r="D175" s="47"/>
      <c r="E175" s="47"/>
      <c r="F175" s="21">
        <f>IF(F156=4,Assumptions!$B$22,IF(F156=3,Assumptions!$C$22,IF(F156=2,Assumptions!$D$22,IF(F156=1,Assumptions!$E$22,"..."))))</f>
        <v>1</v>
      </c>
      <c r="G175" s="21">
        <f>IF(G156=4,Assumptions!$B$22,IF(G156=3,Assumptions!$C$22,IF(G156=2,Assumptions!$D$22,IF(G156=1,Assumptions!$E$22,"..."))))</f>
        <v>5</v>
      </c>
      <c r="H175" s="21">
        <f>IF(H156=4,Assumptions!$B$22,IF(H156=3,Assumptions!$C$22,IF(H156=2,Assumptions!$D$22,IF(H156=1,Assumptions!$E$22,"..."))))</f>
        <v>1</v>
      </c>
      <c r="I175" s="21">
        <f>IF(I156=4,Assumptions!$B$22,IF(I156=3,Assumptions!$C$22,IF(I156=2,Assumptions!$D$22,IF(I156=1,Assumptions!$E$22,"..."))))</f>
        <v>30</v>
      </c>
      <c r="J175" s="21">
        <f>IF(J156=4,Assumptions!$B$22,IF(J156=3,Assumptions!$C$22,IF(J156=2,Assumptions!$D$22,IF(J156=1,Assumptions!$E$22,"..."))))</f>
        <v>0.1</v>
      </c>
      <c r="K175" s="21">
        <f>IF(K156=4,Assumptions!$B$22,IF(K156=3,Assumptions!$C$22,IF(K156=2,Assumptions!$D$22,IF(K156=1,Assumptions!$E$22,"..."))))</f>
        <v>1</v>
      </c>
      <c r="L175" s="21">
        <f>IF(L156=4,Assumptions!$B$22,IF(L156=3,Assumptions!$C$22,IF(L156=2,Assumptions!$D$22,IF(L156=1,Assumptions!$E$22,"..."))))</f>
        <v>5</v>
      </c>
      <c r="M175" s="21">
        <f>IF(M156=4,Assumptions!$B$22,IF(M156=3,Assumptions!$C$22,IF(M156=2,Assumptions!$D$22,IF(M156=1,Assumptions!$E$22,"..."))))</f>
        <v>0.1</v>
      </c>
      <c r="N175" s="21">
        <f>IF(N156=4,Assumptions!$B$22,IF(N156=3,Assumptions!$C$22,IF(N156=2,Assumptions!$D$22,IF(N156=1,Assumptions!$E$22,"..."))))</f>
        <v>5</v>
      </c>
      <c r="O175" s="21">
        <f>IF(O156=4,Assumptions!$B$22,IF(O156=3,Assumptions!$C$22,IF(O156=2,Assumptions!$D$22,IF(O156=1,Assumptions!$E$22,"..."))))</f>
        <v>1</v>
      </c>
      <c r="P175" s="21">
        <f>IF(P156=4,Assumptions!$B$22,IF(P156=3,Assumptions!$C$22,IF(P156=2,Assumptions!$D$22,IF(P156=1,Assumptions!$E$22,"..."))))</f>
        <v>1</v>
      </c>
      <c r="Q175" s="21">
        <f>IF(Q156=4,Assumptions!$B$22,IF(Q156=3,Assumptions!$C$22,IF(Q156=2,Assumptions!$D$22,IF(Q156=1,Assumptions!$E$22,"..."))))</f>
        <v>1</v>
      </c>
    </row>
    <row r="176" spans="1:22">
      <c r="A176" s="37" t="s">
        <v>123</v>
      </c>
      <c r="B176" s="47"/>
      <c r="C176" s="47"/>
      <c r="D176" s="47"/>
      <c r="E176" s="47"/>
      <c r="F176" s="21">
        <f>IF(F157=4,Assumptions!$B$22,IF(F157=3,Assumptions!$C$22,IF(F157=2,Assumptions!$D$22,IF(F157=1,Assumptions!$E$22,"..."))))</f>
        <v>30</v>
      </c>
      <c r="G176" s="21">
        <f>IF(G157=4,Assumptions!$B$22,IF(G157=3,Assumptions!$C$22,IF(G157=2,Assumptions!$D$22,IF(G157=1,Assumptions!$E$22,"..."))))</f>
        <v>30</v>
      </c>
      <c r="H176" s="21">
        <f>IF(H157=4,Assumptions!$B$22,IF(H157=3,Assumptions!$C$22,IF(H157=2,Assumptions!$D$22,IF(H157=1,Assumptions!$E$22,"..."))))</f>
        <v>30</v>
      </c>
      <c r="I176" s="21">
        <f>IF(I157=4,Assumptions!$B$22,IF(I157=3,Assumptions!$C$22,IF(I157=2,Assumptions!$D$22,IF(I157=1,Assumptions!$E$22,"..."))))</f>
        <v>30</v>
      </c>
      <c r="J176" s="21">
        <f>IF(J157=4,Assumptions!$B$22,IF(J157=3,Assumptions!$C$22,IF(J157=2,Assumptions!$D$22,IF(J157=1,Assumptions!$E$22,"..."))))</f>
        <v>30</v>
      </c>
      <c r="K176" s="21">
        <f>IF(K157=4,Assumptions!$B$22,IF(K157=3,Assumptions!$C$22,IF(K157=2,Assumptions!$D$22,IF(K157=1,Assumptions!$E$22,"..."))))</f>
        <v>0.1</v>
      </c>
      <c r="L176" s="21">
        <f>IF(L157=4,Assumptions!$B$22,IF(L157=3,Assumptions!$C$22,IF(L157=2,Assumptions!$D$22,IF(L157=1,Assumptions!$E$22,"..."))))</f>
        <v>30</v>
      </c>
      <c r="M176" s="21">
        <f>IF(M157=4,Assumptions!$B$22,IF(M157=3,Assumptions!$C$22,IF(M157=2,Assumptions!$D$22,IF(M157=1,Assumptions!$E$22,"..."))))</f>
        <v>0.1</v>
      </c>
      <c r="N176" s="21">
        <f>IF(N157=4,Assumptions!$B$22,IF(N157=3,Assumptions!$C$22,IF(N157=2,Assumptions!$D$22,IF(N157=1,Assumptions!$E$22,"..."))))</f>
        <v>1</v>
      </c>
      <c r="O176" s="21">
        <f>IF(O157=4,Assumptions!$B$22,IF(O157=3,Assumptions!$C$22,IF(O157=2,Assumptions!$D$22,IF(O157=1,Assumptions!$E$22,"..."))))</f>
        <v>0.1</v>
      </c>
      <c r="P176" s="21">
        <f>IF(P157=4,Assumptions!$B$22,IF(P157=3,Assumptions!$C$22,IF(P157=2,Assumptions!$D$22,IF(P157=1,Assumptions!$E$22,"..."))))</f>
        <v>30</v>
      </c>
      <c r="Q176" s="21">
        <f>IF(Q157=4,Assumptions!$B$22,IF(Q157=3,Assumptions!$C$22,IF(Q157=2,Assumptions!$D$22,IF(Q157=1,Assumptions!$E$22,"..."))))</f>
        <v>30</v>
      </c>
    </row>
    <row r="177" spans="1:17" ht="17">
      <c r="A177" s="60" t="s">
        <v>94</v>
      </c>
      <c r="B177" s="47"/>
      <c r="C177" s="47"/>
      <c r="D177" s="47"/>
      <c r="E177" s="47"/>
      <c r="F177" s="21">
        <f>IF(F158=4,Assumptions!$B$22,IF(F158=3,Assumptions!$C$22,IF(F158=2,Assumptions!$D$22,IF(F158=1,Assumptions!$E$22,"..."))))</f>
        <v>1</v>
      </c>
      <c r="G177" s="21">
        <f>IF(G158=4,Assumptions!$B$22,IF(G158=3,Assumptions!$C$22,IF(G158=2,Assumptions!$D$22,IF(G158=1,Assumptions!$E$22,"..."))))</f>
        <v>1</v>
      </c>
      <c r="H177" s="21">
        <f>IF(H158=4,Assumptions!$B$22,IF(H158=3,Assumptions!$C$22,IF(H158=2,Assumptions!$D$22,IF(H158=1,Assumptions!$E$22,"..."))))</f>
        <v>1</v>
      </c>
      <c r="I177" s="21">
        <f>IF(I158=4,Assumptions!$B$22,IF(I158=3,Assumptions!$C$22,IF(I158=2,Assumptions!$D$22,IF(I158=1,Assumptions!$E$22,"..."))))</f>
        <v>5</v>
      </c>
      <c r="J177" s="21">
        <f>IF(J158=4,Assumptions!$B$22,IF(J158=3,Assumptions!$C$22,IF(J158=2,Assumptions!$D$22,IF(J158=1,Assumptions!$E$22,"..."))))</f>
        <v>5</v>
      </c>
      <c r="K177" s="21">
        <f>IF(K158=4,Assumptions!$B$22,IF(K158=3,Assumptions!$C$22,IF(K158=2,Assumptions!$D$22,IF(K158=1,Assumptions!$E$22,"..."))))</f>
        <v>5</v>
      </c>
      <c r="L177" s="21">
        <f>IF(L158=4,Assumptions!$B$22,IF(L158=3,Assumptions!$C$22,IF(L158=2,Assumptions!$D$22,IF(L158=1,Assumptions!$E$22,"..."))))</f>
        <v>5</v>
      </c>
      <c r="M177" s="21">
        <f>IF(M158=4,Assumptions!$B$22,IF(M158=3,Assumptions!$C$22,IF(M158=2,Assumptions!$D$22,IF(M158=1,Assumptions!$E$22,"..."))))</f>
        <v>1</v>
      </c>
      <c r="N177" s="21">
        <f>IF(N158=4,Assumptions!$B$22,IF(N158=3,Assumptions!$C$22,IF(N158=2,Assumptions!$D$22,IF(N158=1,Assumptions!$E$22,"..."))))</f>
        <v>5</v>
      </c>
      <c r="O177" s="21">
        <f>IF(O158=4,Assumptions!$B$22,IF(O158=3,Assumptions!$C$22,IF(O158=2,Assumptions!$D$22,IF(O158=1,Assumptions!$E$22,"..."))))</f>
        <v>0.1</v>
      </c>
      <c r="P177" s="21">
        <f>IF(P158=4,Assumptions!$B$22,IF(P158=3,Assumptions!$C$22,IF(P158=2,Assumptions!$D$22,IF(P158=1,Assumptions!$E$22,"..."))))</f>
        <v>30</v>
      </c>
      <c r="Q177" s="21">
        <f>IF(Q158=4,Assumptions!$B$22,IF(Q158=3,Assumptions!$C$22,IF(Q158=2,Assumptions!$D$22,IF(Q158=1,Assumptions!$E$22,"..."))))</f>
        <v>30</v>
      </c>
    </row>
    <row r="178" spans="1:17" ht="17">
      <c r="A178" s="60" t="s">
        <v>95</v>
      </c>
      <c r="B178" s="47"/>
      <c r="C178" s="47"/>
      <c r="D178" s="47"/>
      <c r="E178" s="47"/>
      <c r="F178" s="21">
        <f>IF(F159=4,Assumptions!$B$22,IF(F159=3,Assumptions!$C$22,IF(F159=2,Assumptions!$D$22,IF(F159=1,Assumptions!$E$22,"..."))))</f>
        <v>1</v>
      </c>
      <c r="G178" s="21">
        <f>IF(G159=4,Assumptions!$B$22,IF(G159=3,Assumptions!$C$22,IF(G159=2,Assumptions!$D$22,IF(G159=1,Assumptions!$E$22,"..."))))</f>
        <v>1</v>
      </c>
      <c r="H178" s="21">
        <f>IF(H159=4,Assumptions!$B$22,IF(H159=3,Assumptions!$C$22,IF(H159=2,Assumptions!$D$22,IF(H159=1,Assumptions!$E$22,"..."))))</f>
        <v>5</v>
      </c>
      <c r="I178" s="21">
        <f>IF(I159=4,Assumptions!$B$22,IF(I159=3,Assumptions!$C$22,IF(I159=2,Assumptions!$D$22,IF(I159=1,Assumptions!$E$22,"..."))))</f>
        <v>1</v>
      </c>
      <c r="J178" s="21">
        <f>IF(J159=4,Assumptions!$B$22,IF(J159=3,Assumptions!$C$22,IF(J159=2,Assumptions!$D$22,IF(J159=1,Assumptions!$E$22,"..."))))</f>
        <v>1</v>
      </c>
      <c r="K178" s="21">
        <f>IF(K159=4,Assumptions!$B$22,IF(K159=3,Assumptions!$C$22,IF(K159=2,Assumptions!$D$22,IF(K159=1,Assumptions!$E$22,"..."))))</f>
        <v>5</v>
      </c>
      <c r="L178" s="21">
        <f>IF(L159=4,Assumptions!$B$22,IF(L159=3,Assumptions!$C$22,IF(L159=2,Assumptions!$D$22,IF(L159=1,Assumptions!$E$22,"..."))))</f>
        <v>1</v>
      </c>
      <c r="M178" s="21">
        <f>IF(M159=4,Assumptions!$B$22,IF(M159=3,Assumptions!$C$22,IF(M159=2,Assumptions!$D$22,IF(M159=1,Assumptions!$E$22,"..."))))</f>
        <v>5</v>
      </c>
      <c r="N178" s="21">
        <f>IF(N159=4,Assumptions!$B$22,IF(N159=3,Assumptions!$C$22,IF(N159=2,Assumptions!$D$22,IF(N159=1,Assumptions!$E$22,"..."))))</f>
        <v>5</v>
      </c>
      <c r="O178" s="21">
        <f>IF(O159=4,Assumptions!$B$22,IF(O159=3,Assumptions!$C$22,IF(O159=2,Assumptions!$D$22,IF(O159=1,Assumptions!$E$22,"..."))))</f>
        <v>5</v>
      </c>
      <c r="P178" s="21">
        <f>IF(P159=4,Assumptions!$B$22,IF(P159=3,Assumptions!$C$22,IF(P159=2,Assumptions!$D$22,IF(P159=1,Assumptions!$E$22,"..."))))</f>
        <v>5</v>
      </c>
      <c r="Q178" s="21">
        <f>IF(Q159=4,Assumptions!$B$22,IF(Q159=3,Assumptions!$C$22,IF(Q159=2,Assumptions!$D$22,IF(Q159=1,Assumptions!$E$22,"..."))))</f>
        <v>1</v>
      </c>
    </row>
    <row r="179" spans="1:17">
      <c r="A179" s="44" t="s">
        <v>76</v>
      </c>
      <c r="B179" s="47"/>
      <c r="C179" s="47"/>
      <c r="D179" s="47"/>
      <c r="E179" s="47"/>
      <c r="F179" s="21"/>
      <c r="H179" s="21"/>
      <c r="I179" s="21"/>
      <c r="J179" s="21"/>
      <c r="K179" s="21"/>
      <c r="L179" s="21"/>
      <c r="M179" s="21"/>
      <c r="N179" s="21"/>
      <c r="O179" s="21"/>
      <c r="P179" s="21"/>
      <c r="Q179" s="21"/>
    </row>
    <row r="180" spans="1:17" ht="17">
      <c r="A180" s="34" t="s">
        <v>124</v>
      </c>
      <c r="B180" s="47"/>
      <c r="C180" s="47"/>
      <c r="D180" s="47"/>
      <c r="E180" s="47"/>
      <c r="F180" s="21">
        <f>IF(F161=4,Assumptions!$B$22,IF(F161=3,Assumptions!$C$22,IF(F161=2,Assumptions!$D$22,IF(F161=1,Assumptions!$E$22,"..."))))</f>
        <v>30</v>
      </c>
      <c r="G180" s="21">
        <f>IF(G161=4,Assumptions!$B$22,IF(G161=3,Assumptions!$C$22,IF(G161=2,Assumptions!$D$22,IF(G161=1,Assumptions!$E$22,"..."))))</f>
        <v>30</v>
      </c>
      <c r="H180" s="21">
        <f>IF(H161=4,Assumptions!$B$22,IF(H161=3,Assumptions!$C$22,IF(H161=2,Assumptions!$D$22,IF(H161=1,Assumptions!$E$22,"..."))))</f>
        <v>5</v>
      </c>
      <c r="I180" s="21">
        <f>IF(I161=4,Assumptions!$B$22,IF(I161=3,Assumptions!$C$22,IF(I161=2,Assumptions!$D$22,IF(I161=1,Assumptions!$E$22,"..."))))</f>
        <v>30</v>
      </c>
      <c r="J180" s="21">
        <f>IF(J161=4,Assumptions!$B$22,IF(J161=3,Assumptions!$C$22,IF(J161=2,Assumptions!$D$22,IF(J161=1,Assumptions!$E$22,"..."))))</f>
        <v>1</v>
      </c>
      <c r="K180" s="21">
        <f>IF(K161=4,Assumptions!$B$22,IF(K161=3,Assumptions!$C$22,IF(K161=2,Assumptions!$D$22,IF(K161=1,Assumptions!$E$22,"..."))))</f>
        <v>5</v>
      </c>
      <c r="L180" s="21">
        <f>IF(L161=4,Assumptions!$B$22,IF(L161=3,Assumptions!$C$22,IF(L161=2,Assumptions!$D$22,IF(L161=1,Assumptions!$E$22,"..."))))</f>
        <v>0.1</v>
      </c>
      <c r="M180" s="21">
        <f>IF(M161=4,Assumptions!$B$22,IF(M161=3,Assumptions!$C$22,IF(M161=2,Assumptions!$D$22,IF(M161=1,Assumptions!$E$22,"..."))))</f>
        <v>1</v>
      </c>
      <c r="N180" s="21">
        <f>IF(N161=4,Assumptions!$B$22,IF(N161=3,Assumptions!$C$22,IF(N161=2,Assumptions!$D$22,IF(N161=1,Assumptions!$E$22,"..."))))</f>
        <v>1</v>
      </c>
      <c r="O180" s="21">
        <f>IF(O161=4,Assumptions!$B$22,IF(O161=3,Assumptions!$C$22,IF(O161=2,Assumptions!$D$22,IF(O161=1,Assumptions!$E$22,"..."))))</f>
        <v>0.1</v>
      </c>
      <c r="P180" s="21">
        <f>IF(P161=4,Assumptions!$B$22,IF(P161=3,Assumptions!$C$22,IF(P161=2,Assumptions!$D$22,IF(P161=1,Assumptions!$E$22,"..."))))</f>
        <v>1</v>
      </c>
      <c r="Q180" s="21">
        <f>IF(Q161=4,Assumptions!$B$22,IF(Q161=3,Assumptions!$C$22,IF(Q161=2,Assumptions!$D$22,IF(Q161=1,Assumptions!$E$22,"..."))))</f>
        <v>5</v>
      </c>
    </row>
    <row r="181" spans="1:17" ht="17">
      <c r="A181" s="34" t="s">
        <v>125</v>
      </c>
      <c r="B181" s="47"/>
      <c r="C181" s="47"/>
      <c r="D181" s="47"/>
      <c r="E181" s="47"/>
      <c r="F181" s="21">
        <f>IF(F162=4,Assumptions!$B$22,IF(F162=3,Assumptions!$C$22,IF(F162=2,Assumptions!$D$22,IF(F162=1,Assumptions!$E$22,"..."))))</f>
        <v>30</v>
      </c>
      <c r="G181" s="21">
        <f>IF(G162=4,Assumptions!$B$22,IF(G162=3,Assumptions!$C$22,IF(G162=2,Assumptions!$D$22,IF(G162=1,Assumptions!$E$22,"..."))))</f>
        <v>30</v>
      </c>
      <c r="H181" s="21">
        <f>IF(H162=4,Assumptions!$B$22,IF(H162=3,Assumptions!$C$22,IF(H162=2,Assumptions!$D$22,IF(H162=1,Assumptions!$E$22,"..."))))</f>
        <v>5</v>
      </c>
      <c r="I181" s="21">
        <f>IF(I162=4,Assumptions!$B$22,IF(I162=3,Assumptions!$C$22,IF(I162=2,Assumptions!$D$22,IF(I162=1,Assumptions!$E$22,"..."))))</f>
        <v>30</v>
      </c>
      <c r="J181" s="21">
        <f>IF(J162=4,Assumptions!$B$22,IF(J162=3,Assumptions!$C$22,IF(J162=2,Assumptions!$D$22,IF(J162=1,Assumptions!$E$22,"..."))))</f>
        <v>0.1</v>
      </c>
      <c r="K181" s="21">
        <f>IF(K162=4,Assumptions!$B$22,IF(K162=3,Assumptions!$C$22,IF(K162=2,Assumptions!$D$22,IF(K162=1,Assumptions!$E$22,"..."))))</f>
        <v>5</v>
      </c>
      <c r="L181" s="21">
        <f>IF(L162=4,Assumptions!$B$22,IF(L162=3,Assumptions!$C$22,IF(L162=2,Assumptions!$D$22,IF(L162=1,Assumptions!$E$22,"..."))))</f>
        <v>0.1</v>
      </c>
      <c r="M181" s="21">
        <f>IF(M162=4,Assumptions!$B$22,IF(M162=3,Assumptions!$C$22,IF(M162=2,Assumptions!$D$22,IF(M162=1,Assumptions!$E$22,"..."))))</f>
        <v>5</v>
      </c>
      <c r="N181" s="21">
        <f>IF(N162=4,Assumptions!$B$22,IF(N162=3,Assumptions!$C$22,IF(N162=2,Assumptions!$D$22,IF(N162=1,Assumptions!$E$22,"..."))))</f>
        <v>1</v>
      </c>
      <c r="O181" s="21">
        <f>IF(O162=4,Assumptions!$B$22,IF(O162=3,Assumptions!$C$22,IF(O162=2,Assumptions!$D$22,IF(O162=1,Assumptions!$E$22,"..."))))</f>
        <v>0.1</v>
      </c>
      <c r="P181" s="21">
        <f>IF(P162=4,Assumptions!$B$22,IF(P162=3,Assumptions!$C$22,IF(P162=2,Assumptions!$D$22,IF(P162=1,Assumptions!$E$22,"..."))))</f>
        <v>0.1</v>
      </c>
      <c r="Q181" s="21">
        <f>IF(Q162=4,Assumptions!$B$22,IF(Q162=3,Assumptions!$C$22,IF(Q162=2,Assumptions!$D$22,IF(Q162=1,Assumptions!$E$22,"..."))))</f>
        <v>0.1</v>
      </c>
    </row>
    <row r="182" spans="1:17">
      <c r="A182" s="44" t="s">
        <v>257</v>
      </c>
      <c r="B182" s="47"/>
      <c r="C182" s="47"/>
      <c r="D182" s="47"/>
      <c r="E182" s="47"/>
      <c r="F182" s="21"/>
      <c r="H182" s="21"/>
      <c r="I182" s="21"/>
      <c r="J182" s="21"/>
      <c r="K182" s="21"/>
      <c r="L182" s="21"/>
      <c r="M182" s="21"/>
      <c r="N182" s="21"/>
      <c r="O182" s="21"/>
      <c r="P182" s="21"/>
      <c r="Q182" s="21"/>
    </row>
    <row r="183" spans="1:17" ht="17">
      <c r="A183" s="34" t="s">
        <v>258</v>
      </c>
      <c r="B183" s="47"/>
      <c r="C183" s="47"/>
      <c r="D183" s="47"/>
      <c r="E183" s="47"/>
      <c r="F183" s="21">
        <f>IF(F164=4,Assumptions!$B$22,IF(F164=3,Assumptions!$C$22,IF(F164=2,Assumptions!$D$22,IF(F164=1,Assumptions!$E$22,"..."))))</f>
        <v>5</v>
      </c>
      <c r="G183" s="21">
        <f>IF(G164=4,Assumptions!$B$22,IF(G164=3,Assumptions!$C$22,IF(G164=2,Assumptions!$D$22,IF(G164=1,Assumptions!$E$22,"..."))))</f>
        <v>30</v>
      </c>
      <c r="H183" s="21">
        <f>IF(H164=4,Assumptions!$B$22,IF(H164=3,Assumptions!$C$22,IF(H164=2,Assumptions!$D$22,IF(H164=1,Assumptions!$E$22,"..."))))</f>
        <v>5</v>
      </c>
      <c r="I183" s="21">
        <f>IF(I164=4,Assumptions!$B$22,IF(I164=3,Assumptions!$C$22,IF(I164=2,Assumptions!$D$22,IF(I164=1,Assumptions!$E$22,"..."))))</f>
        <v>30</v>
      </c>
      <c r="J183" s="21">
        <f>IF(J164=4,Assumptions!$B$22,IF(J164=3,Assumptions!$C$22,IF(J164=2,Assumptions!$D$22,IF(J164=1,Assumptions!$E$22,"..."))))</f>
        <v>5</v>
      </c>
      <c r="K183" s="21">
        <f>IF(K164=4,Assumptions!$B$22,IF(K164=3,Assumptions!$C$22,IF(K164=2,Assumptions!$D$22,IF(K164=1,Assumptions!$E$22,"..."))))</f>
        <v>5</v>
      </c>
      <c r="L183" s="21">
        <f>IF(L164=4,Assumptions!$B$22,IF(L164=3,Assumptions!$C$22,IF(L164=2,Assumptions!$D$22,IF(L164=1,Assumptions!$E$22,"..."))))</f>
        <v>5</v>
      </c>
      <c r="M183" s="21">
        <f>IF(M164=4,Assumptions!$B$22,IF(M164=3,Assumptions!$C$22,IF(M164=2,Assumptions!$D$22,IF(M164=1,Assumptions!$E$22,"..."))))</f>
        <v>5</v>
      </c>
      <c r="N183" s="21">
        <f>IF(N164=4,Assumptions!$B$22,IF(N164=3,Assumptions!$C$22,IF(N164=2,Assumptions!$D$22,IF(N164=1,Assumptions!$E$22,"..."))))</f>
        <v>1</v>
      </c>
      <c r="O183" s="21">
        <f>IF(O164=4,Assumptions!$B$22,IF(O164=3,Assumptions!$C$22,IF(O164=2,Assumptions!$D$22,IF(O164=1,Assumptions!$E$22,"..."))))</f>
        <v>30</v>
      </c>
      <c r="P183" s="21">
        <f>IF(P164=4,Assumptions!$B$22,IF(P164=3,Assumptions!$C$22,IF(P164=2,Assumptions!$D$22,IF(P164=1,Assumptions!$E$22,"..."))))</f>
        <v>1</v>
      </c>
      <c r="Q183" s="21">
        <f>IF(Q164=4,Assumptions!$B$22,IF(Q164=3,Assumptions!$C$22,IF(Q164=2,Assumptions!$D$22,IF(Q164=1,Assumptions!$E$22,"..."))))</f>
        <v>0.1</v>
      </c>
    </row>
    <row r="184" spans="1:17" ht="17">
      <c r="A184" s="34" t="s">
        <v>261</v>
      </c>
      <c r="B184" s="47"/>
      <c r="C184" s="47"/>
      <c r="D184" s="47"/>
      <c r="E184" s="47"/>
      <c r="F184" s="21">
        <f>IF(F165=4,Assumptions!$B$22,IF(F165=3,Assumptions!$C$22,IF(F165=2,Assumptions!$D$22,IF(F165=1,Assumptions!$E$22,"..."))))</f>
        <v>5</v>
      </c>
      <c r="G184" s="21">
        <f>IF(G165=4,Assumptions!$B$22,IF(G165=3,Assumptions!$C$22,IF(G165=2,Assumptions!$D$22,IF(G165=1,Assumptions!$E$22,"..."))))</f>
        <v>30</v>
      </c>
      <c r="H184" s="21">
        <f>IF(H165=4,Assumptions!$B$22,IF(H165=3,Assumptions!$C$22,IF(H165=2,Assumptions!$D$22,IF(H165=1,Assumptions!$E$22,"..."))))</f>
        <v>30</v>
      </c>
      <c r="I184" s="21">
        <f>IF(I165=4,Assumptions!$B$22,IF(I165=3,Assumptions!$C$22,IF(I165=2,Assumptions!$D$22,IF(I165=1,Assumptions!$E$22,"..."))))</f>
        <v>30</v>
      </c>
      <c r="J184" s="21">
        <f>IF(J165=4,Assumptions!$B$22,IF(J165=3,Assumptions!$C$22,IF(J165=2,Assumptions!$D$22,IF(J165=1,Assumptions!$E$22,"..."))))</f>
        <v>1</v>
      </c>
      <c r="K184" s="21">
        <f>IF(K165=4,Assumptions!$B$22,IF(K165=3,Assumptions!$C$22,IF(K165=2,Assumptions!$D$22,IF(K165=1,Assumptions!$E$22,"..."))))</f>
        <v>5</v>
      </c>
      <c r="L184" s="21">
        <f>IF(L165=4,Assumptions!$B$22,IF(L165=3,Assumptions!$C$22,IF(L165=2,Assumptions!$D$22,IF(L165=1,Assumptions!$E$22,"..."))))</f>
        <v>1</v>
      </c>
      <c r="M184" s="21">
        <f>IF(M165=4,Assumptions!$B$22,IF(M165=3,Assumptions!$C$22,IF(M165=2,Assumptions!$D$22,IF(M165=1,Assumptions!$E$22,"..."))))</f>
        <v>1</v>
      </c>
      <c r="N184" s="21">
        <f>IF(N165=4,Assumptions!$B$22,IF(N165=3,Assumptions!$C$22,IF(N165=2,Assumptions!$D$22,IF(N165=1,Assumptions!$E$22,"..."))))</f>
        <v>1</v>
      </c>
      <c r="O184" s="21">
        <f>IF(O165=4,Assumptions!$B$22,IF(O165=3,Assumptions!$C$22,IF(O165=2,Assumptions!$D$22,IF(O165=1,Assumptions!$E$22,"..."))))</f>
        <v>30</v>
      </c>
      <c r="P184" s="21">
        <f>IF(P165=4,Assumptions!$B$22,IF(P165=3,Assumptions!$C$22,IF(P165=2,Assumptions!$D$22,IF(P165=1,Assumptions!$E$22,"..."))))</f>
        <v>0.1</v>
      </c>
      <c r="Q184" s="21" t="e">
        <f>IF(Q165=4,Assumptions!$B$22,IF(Q165=3,Assumptions!$C$22,IF(Q165=2,Assumptions!$D$22,IF(Q165=1,Assumptions!$E$22,"..."))))</f>
        <v>#DIV/0!</v>
      </c>
    </row>
    <row r="185" spans="1:17">
      <c r="A185" s="44" t="s">
        <v>77</v>
      </c>
      <c r="B185" s="47"/>
      <c r="C185" s="47"/>
      <c r="D185" s="47"/>
      <c r="E185" s="47"/>
      <c r="F185" s="21"/>
      <c r="H185" s="21"/>
      <c r="I185" s="21"/>
      <c r="J185" s="21"/>
      <c r="K185" s="21"/>
      <c r="L185" s="21"/>
      <c r="M185" s="21"/>
      <c r="N185" s="21"/>
      <c r="O185" s="21"/>
      <c r="P185" s="21"/>
      <c r="Q185" s="21"/>
    </row>
    <row r="186" spans="1:17" ht="17">
      <c r="A186" s="34" t="s">
        <v>126</v>
      </c>
      <c r="B186" s="47"/>
      <c r="C186" s="47"/>
      <c r="D186" s="47"/>
      <c r="E186" s="47"/>
      <c r="F186" s="21">
        <f>IF(F167=4,Assumptions!$B$22,IF(F167=3,Assumptions!$C$22,IF(F167=2,Assumptions!$D$22,IF(F167=1,Assumptions!$E$22,"..."))))</f>
        <v>1</v>
      </c>
      <c r="G186" s="21">
        <f>IF(G167=4,Assumptions!$B$22,IF(G167=3,Assumptions!$C$22,IF(G167=2,Assumptions!$D$22,IF(G167=1,Assumptions!$E$22,"..."))))</f>
        <v>1</v>
      </c>
      <c r="H186" s="21">
        <f>IF(H167=4,Assumptions!$B$22,IF(H167=3,Assumptions!$C$22,IF(H167=2,Assumptions!$D$22,IF(H167=1,Assumptions!$E$22,"..."))))</f>
        <v>30</v>
      </c>
      <c r="I186" s="21">
        <f>IF(I167=4,Assumptions!$B$22,IF(I167=3,Assumptions!$C$22,IF(I167=2,Assumptions!$D$22,IF(I167=1,Assumptions!$E$22,"..."))))</f>
        <v>0.1</v>
      </c>
      <c r="J186" s="21">
        <f>IF(J167=4,Assumptions!$B$22,IF(J167=3,Assumptions!$C$22,IF(J167=2,Assumptions!$D$22,IF(J167=1,Assumptions!$E$22,"..."))))</f>
        <v>30</v>
      </c>
      <c r="K186" s="21">
        <f>IF(K167=4,Assumptions!$B$22,IF(K167=3,Assumptions!$C$22,IF(K167=2,Assumptions!$D$22,IF(K167=1,Assumptions!$E$22,"..."))))</f>
        <v>0.1</v>
      </c>
      <c r="L186" s="21">
        <f>IF(L167=4,Assumptions!$B$22,IF(L167=3,Assumptions!$C$22,IF(L167=2,Assumptions!$D$22,IF(L167=1,Assumptions!$E$22,"..."))))</f>
        <v>1</v>
      </c>
      <c r="M186" s="21">
        <f>IF(M167=4,Assumptions!$B$22,IF(M167=3,Assumptions!$C$22,IF(M167=2,Assumptions!$D$22,IF(M167=1,Assumptions!$E$22,"..."))))</f>
        <v>0.1</v>
      </c>
      <c r="N186" s="21">
        <f>IF(N167=4,Assumptions!$B$22,IF(N167=3,Assumptions!$C$22,IF(N167=2,Assumptions!$D$22,IF(N167=1,Assumptions!$E$22,"..."))))</f>
        <v>1</v>
      </c>
      <c r="O186" s="21">
        <f>IF(O167=4,Assumptions!$B$22,IF(O167=3,Assumptions!$C$22,IF(O167=2,Assumptions!$D$22,IF(O167=1,Assumptions!$E$22,"..."))))</f>
        <v>0.1</v>
      </c>
      <c r="P186" s="21">
        <f>IF(P167=4,Assumptions!$B$22,IF(P167=3,Assumptions!$C$22,IF(P167=2,Assumptions!$D$22,IF(P167=1,Assumptions!$E$22,"..."))))</f>
        <v>30</v>
      </c>
      <c r="Q186" s="21">
        <f>IF(Q167=4,Assumptions!$B$22,IF(Q167=3,Assumptions!$C$22,IF(Q167=2,Assumptions!$D$22,IF(Q167=1,Assumptions!$E$22,"..."))))</f>
        <v>30</v>
      </c>
    </row>
    <row r="187" spans="1:17">
      <c r="A187" s="86"/>
      <c r="B187" s="88"/>
      <c r="C187" s="88"/>
      <c r="D187" s="88"/>
      <c r="E187" s="88"/>
      <c r="F187" s="89"/>
      <c r="G187" s="89"/>
      <c r="H187" s="89"/>
      <c r="I187" s="89"/>
      <c r="J187" s="89"/>
      <c r="K187" s="89"/>
      <c r="L187" s="89"/>
      <c r="M187" s="89"/>
      <c r="N187" s="89"/>
      <c r="O187" s="89"/>
      <c r="P187" s="89"/>
      <c r="Q187" s="89"/>
    </row>
    <row r="188" spans="1:17">
      <c r="A188" s="22"/>
      <c r="B188" s="23"/>
      <c r="C188" s="23"/>
      <c r="D188" s="23"/>
      <c r="E188" s="23"/>
      <c r="G188" s="19"/>
      <c r="H188" s="19"/>
      <c r="J188" s="19"/>
      <c r="K188" s="19"/>
      <c r="L188" s="19"/>
      <c r="M188" s="19"/>
      <c r="Q188" s="19"/>
    </row>
    <row r="189" spans="1:17">
      <c r="A189" s="22"/>
      <c r="B189" s="23"/>
      <c r="C189" s="23"/>
      <c r="D189" s="23"/>
      <c r="E189" s="23"/>
      <c r="G189" s="19"/>
      <c r="H189" s="19"/>
      <c r="J189" s="19"/>
      <c r="K189" s="19"/>
      <c r="L189" s="19"/>
      <c r="M189" s="19"/>
      <c r="Q189" s="19"/>
    </row>
    <row r="190" spans="1:17">
      <c r="A190" s="22"/>
      <c r="B190" s="23"/>
      <c r="C190" s="23"/>
      <c r="D190" s="23"/>
      <c r="E190" s="23"/>
      <c r="G190" s="19"/>
      <c r="H190" s="19"/>
      <c r="J190" s="19"/>
      <c r="K190" s="19"/>
      <c r="L190" s="19"/>
      <c r="M190" s="19"/>
      <c r="Q190" s="19"/>
    </row>
    <row r="191" spans="1:17">
      <c r="A191" s="22"/>
      <c r="B191" s="23"/>
      <c r="C191" s="23"/>
      <c r="D191" s="23"/>
      <c r="E191" s="23"/>
      <c r="G191" s="19"/>
      <c r="H191" s="19"/>
      <c r="J191" s="19"/>
      <c r="K191" s="19"/>
      <c r="L191" s="19"/>
      <c r="M191" s="19"/>
      <c r="Q191" s="19"/>
    </row>
    <row r="192" spans="1:17">
      <c r="A192" s="22"/>
      <c r="B192" s="23"/>
      <c r="C192" s="23"/>
      <c r="D192" s="23"/>
      <c r="E192" s="23"/>
      <c r="G192" s="19"/>
      <c r="H192" s="19"/>
      <c r="J192" s="19"/>
      <c r="K192" s="19"/>
      <c r="L192" s="19"/>
      <c r="M192" s="19"/>
      <c r="Q192" s="19"/>
    </row>
    <row r="193" spans="1:17">
      <c r="A193" s="22"/>
      <c r="B193" s="23"/>
      <c r="C193" s="23"/>
      <c r="D193" s="23"/>
      <c r="E193" s="23"/>
      <c r="J193" s="19"/>
      <c r="K193" s="19"/>
      <c r="L193" s="19"/>
      <c r="M193" s="19"/>
      <c r="Q193" s="19"/>
    </row>
    <row r="194" spans="1:17">
      <c r="A194" s="22"/>
      <c r="B194" s="23"/>
      <c r="C194" s="23"/>
      <c r="D194" s="23"/>
      <c r="E194" s="23"/>
      <c r="J194" s="19"/>
      <c r="K194" s="19"/>
      <c r="L194" s="19"/>
      <c r="M194" s="19"/>
      <c r="Q194" s="19"/>
    </row>
    <row r="195" spans="1:17">
      <c r="A195" s="22"/>
      <c r="B195" s="23"/>
      <c r="C195" s="23"/>
      <c r="D195" s="23"/>
      <c r="E195" s="23"/>
      <c r="J195" s="19"/>
      <c r="K195" s="19"/>
      <c r="L195" s="19"/>
      <c r="M195" s="19"/>
      <c r="Q195" s="19"/>
    </row>
    <row r="196" spans="1:17">
      <c r="A196" s="22"/>
      <c r="B196" s="23"/>
      <c r="C196" s="23"/>
      <c r="D196" s="23"/>
      <c r="E196" s="23"/>
      <c r="J196" s="19"/>
      <c r="K196" s="19"/>
      <c r="L196" s="19"/>
      <c r="M196" s="19"/>
      <c r="Q196" s="19"/>
    </row>
    <row r="197" spans="1:17">
      <c r="A197" s="22"/>
      <c r="B197" s="23"/>
      <c r="C197" s="23"/>
      <c r="D197" s="23"/>
      <c r="E197" s="23"/>
      <c r="J197" s="19"/>
      <c r="K197" s="19"/>
      <c r="L197" s="19"/>
      <c r="M197" s="19"/>
      <c r="Q197" s="19"/>
    </row>
    <row r="198" spans="1:17">
      <c r="A198" s="22"/>
      <c r="B198" s="23"/>
      <c r="C198" s="23"/>
      <c r="D198" s="23"/>
      <c r="E198" s="23"/>
      <c r="J198" s="19"/>
      <c r="K198" s="19"/>
      <c r="L198" s="19"/>
      <c r="M198" s="19"/>
      <c r="Q198" s="19"/>
    </row>
    <row r="199" spans="1:17">
      <c r="A199" s="22"/>
      <c r="B199" s="23"/>
      <c r="C199" s="23"/>
      <c r="D199" s="23"/>
      <c r="E199" s="23"/>
      <c r="J199" s="19"/>
      <c r="K199" s="19"/>
      <c r="L199" s="19"/>
      <c r="M199" s="19"/>
      <c r="Q199" s="19"/>
    </row>
    <row r="200" spans="1:17">
      <c r="A200" s="22"/>
      <c r="B200" s="23"/>
      <c r="C200" s="23"/>
      <c r="D200" s="23"/>
      <c r="E200" s="23"/>
      <c r="J200" s="19"/>
      <c r="K200" s="19"/>
      <c r="L200" s="19"/>
      <c r="M200" s="19"/>
      <c r="Q200" s="19"/>
    </row>
    <row r="201" spans="1:17">
      <c r="A201" s="22"/>
      <c r="B201" s="23"/>
      <c r="C201" s="23"/>
      <c r="D201" s="23"/>
      <c r="E201" s="23"/>
      <c r="J201" s="19"/>
      <c r="K201" s="19"/>
      <c r="L201" s="19"/>
      <c r="M201" s="19"/>
      <c r="Q201" s="19"/>
    </row>
    <row r="202" spans="1:17">
      <c r="A202" s="22"/>
      <c r="B202" s="23"/>
      <c r="C202" s="23"/>
      <c r="D202" s="23"/>
      <c r="E202" s="23"/>
      <c r="J202" s="19"/>
      <c r="K202" s="19"/>
      <c r="L202" s="19"/>
      <c r="M202" s="19"/>
      <c r="Q202" s="19"/>
    </row>
    <row r="203" spans="1:17">
      <c r="A203" s="22"/>
      <c r="B203" s="23"/>
      <c r="C203" s="23"/>
      <c r="D203" s="23"/>
      <c r="E203" s="23"/>
      <c r="J203" s="19"/>
      <c r="K203" s="19"/>
      <c r="L203" s="19"/>
      <c r="M203" s="19"/>
      <c r="Q203" s="19"/>
    </row>
    <row r="204" spans="1:17">
      <c r="A204" s="22"/>
      <c r="B204" s="23"/>
      <c r="C204" s="23"/>
      <c r="D204" s="23"/>
      <c r="E204" s="23"/>
      <c r="J204" s="19"/>
      <c r="K204" s="19"/>
      <c r="L204" s="19"/>
      <c r="M204" s="19"/>
      <c r="Q204" s="19"/>
    </row>
    <row r="205" spans="1:17">
      <c r="A205" s="22"/>
      <c r="B205" s="23"/>
      <c r="C205" s="23"/>
      <c r="D205" s="23"/>
      <c r="E205" s="23"/>
      <c r="J205" s="19"/>
      <c r="K205" s="19"/>
      <c r="L205" s="19"/>
      <c r="M205" s="19"/>
      <c r="Q205" s="19"/>
    </row>
    <row r="206" spans="1:17">
      <c r="A206" s="22"/>
      <c r="B206" s="23"/>
      <c r="C206" s="23"/>
      <c r="D206" s="23"/>
      <c r="E206" s="23"/>
      <c r="J206" s="19"/>
      <c r="K206" s="19"/>
      <c r="L206" s="19"/>
      <c r="M206" s="19"/>
      <c r="Q206" s="19"/>
    </row>
    <row r="207" spans="1:17">
      <c r="A207" s="22"/>
      <c r="B207" s="23"/>
      <c r="C207" s="23"/>
      <c r="D207" s="23"/>
      <c r="E207" s="23"/>
      <c r="J207" s="19"/>
      <c r="K207" s="19"/>
      <c r="L207" s="19"/>
      <c r="M207" s="19"/>
      <c r="Q207" s="19"/>
    </row>
    <row r="208" spans="1:17">
      <c r="A208" s="22"/>
      <c r="B208" s="23"/>
      <c r="C208" s="23"/>
      <c r="D208" s="23"/>
      <c r="E208" s="23"/>
      <c r="J208" s="19"/>
      <c r="K208" s="19"/>
      <c r="L208" s="19"/>
      <c r="M208" s="19"/>
      <c r="Q208" s="19"/>
    </row>
    <row r="209" spans="1:17">
      <c r="A209" s="22"/>
      <c r="B209" s="23"/>
      <c r="C209" s="23"/>
      <c r="D209" s="23"/>
      <c r="E209" s="23"/>
      <c r="J209" s="19"/>
      <c r="K209" s="19"/>
      <c r="L209" s="19"/>
      <c r="M209" s="19"/>
      <c r="Q209" s="19"/>
    </row>
    <row r="210" spans="1:17">
      <c r="A210" s="22"/>
      <c r="B210" s="23"/>
      <c r="C210" s="23"/>
      <c r="D210" s="23"/>
      <c r="E210" s="23"/>
      <c r="J210" s="19"/>
      <c r="K210" s="19"/>
      <c r="L210" s="19"/>
      <c r="M210" s="19"/>
      <c r="Q210" s="19"/>
    </row>
    <row r="211" spans="1:17">
      <c r="A211" s="22"/>
      <c r="B211" s="23"/>
      <c r="C211" s="23"/>
      <c r="D211" s="23"/>
      <c r="E211" s="23"/>
      <c r="J211" s="19"/>
      <c r="K211" s="19"/>
      <c r="L211" s="19"/>
      <c r="M211" s="19"/>
      <c r="Q211" s="19"/>
    </row>
    <row r="212" spans="1:17">
      <c r="A212" s="22"/>
      <c r="B212" s="23"/>
      <c r="C212" s="23"/>
      <c r="D212" s="23"/>
      <c r="E212" s="23"/>
      <c r="J212" s="19"/>
      <c r="K212" s="19"/>
      <c r="L212" s="19"/>
      <c r="M212" s="19"/>
      <c r="Q212" s="19"/>
    </row>
    <row r="213" spans="1:17">
      <c r="A213" s="22"/>
      <c r="B213" s="23"/>
      <c r="C213" s="23"/>
      <c r="D213" s="23"/>
      <c r="E213" s="23"/>
      <c r="J213" s="19"/>
      <c r="K213" s="19"/>
      <c r="L213" s="19"/>
      <c r="M213" s="19"/>
      <c r="Q213" s="19"/>
    </row>
    <row r="214" spans="1:17">
      <c r="J214" s="19"/>
      <c r="K214" s="19"/>
      <c r="L214" s="19"/>
      <c r="M214" s="19"/>
      <c r="Q214" s="19"/>
    </row>
    <row r="215" spans="1:17">
      <c r="J215" s="19"/>
      <c r="K215" s="19"/>
      <c r="L215" s="19"/>
      <c r="M215" s="19"/>
      <c r="Q215" s="19"/>
    </row>
    <row r="216" spans="1:17">
      <c r="J216" s="19"/>
      <c r="K216" s="19"/>
      <c r="L216" s="19"/>
      <c r="M216" s="19"/>
      <c r="Q216" s="19"/>
    </row>
    <row r="217" spans="1:17">
      <c r="J217" s="19"/>
      <c r="K217" s="19"/>
      <c r="L217" s="19"/>
      <c r="M217" s="19"/>
      <c r="Q217" s="19"/>
    </row>
    <row r="218" spans="1:17">
      <c r="J218" s="19"/>
      <c r="K218" s="19"/>
      <c r="L218" s="19"/>
      <c r="M218" s="19"/>
      <c r="Q218" s="19"/>
    </row>
    <row r="219" spans="1:17">
      <c r="J219" s="19"/>
      <c r="K219" s="19"/>
      <c r="L219" s="19"/>
      <c r="M219" s="19"/>
      <c r="Q219" s="19"/>
    </row>
    <row r="220" spans="1:17">
      <c r="J220" s="19"/>
      <c r="K220" s="19"/>
      <c r="L220" s="19"/>
      <c r="M220" s="19"/>
      <c r="Q220" s="19"/>
    </row>
    <row r="221" spans="1:17">
      <c r="J221" s="19"/>
      <c r="K221" s="19"/>
      <c r="L221" s="19"/>
      <c r="M221" s="19"/>
      <c r="Q221" s="19"/>
    </row>
    <row r="222" spans="1:17">
      <c r="J222" s="19"/>
      <c r="K222" s="19"/>
      <c r="L222" s="19"/>
      <c r="M222" s="19"/>
      <c r="Q222" s="19"/>
    </row>
    <row r="223" spans="1:17">
      <c r="J223" s="19"/>
      <c r="K223" s="19"/>
      <c r="L223" s="19"/>
      <c r="M223" s="19"/>
      <c r="Q223" s="19"/>
    </row>
    <row r="224" spans="1:17">
      <c r="J224" s="19"/>
      <c r="K224" s="19"/>
      <c r="L224" s="19"/>
      <c r="M224" s="19"/>
      <c r="Q224" s="19"/>
    </row>
    <row r="225" spans="10:17">
      <c r="J225" s="19"/>
      <c r="K225" s="19"/>
      <c r="L225" s="19"/>
      <c r="M225" s="19"/>
      <c r="Q225" s="19"/>
    </row>
    <row r="226" spans="10:17">
      <c r="J226" s="19"/>
      <c r="K226" s="19"/>
      <c r="L226" s="19"/>
      <c r="M226" s="19"/>
      <c r="Q226" s="19"/>
    </row>
    <row r="227" spans="10:17">
      <c r="J227" s="19"/>
      <c r="K227" s="19"/>
      <c r="L227" s="19"/>
      <c r="M227" s="19"/>
      <c r="Q227" s="19"/>
    </row>
    <row r="228" spans="10:17">
      <c r="J228" s="19"/>
      <c r="K228" s="19"/>
      <c r="L228" s="19"/>
      <c r="M228" s="19"/>
      <c r="Q228" s="19"/>
    </row>
    <row r="229" spans="10:17">
      <c r="J229" s="19"/>
      <c r="K229" s="19"/>
      <c r="L229" s="19"/>
      <c r="M229" s="19"/>
      <c r="Q229" s="19"/>
    </row>
    <row r="230" spans="10:17">
      <c r="J230" s="19"/>
      <c r="K230" s="19"/>
      <c r="L230" s="19"/>
      <c r="M230" s="19"/>
      <c r="Q230" s="19"/>
    </row>
    <row r="231" spans="10:17">
      <c r="J231" s="19"/>
      <c r="K231" s="19"/>
      <c r="L231" s="19"/>
      <c r="M231" s="19"/>
      <c r="Q231" s="19"/>
    </row>
    <row r="232" spans="10:17">
      <c r="J232" s="19"/>
      <c r="K232" s="19"/>
      <c r="L232" s="19"/>
      <c r="M232" s="19"/>
      <c r="Q232" s="19"/>
    </row>
    <row r="233" spans="10:17">
      <c r="J233" s="19"/>
      <c r="K233" s="19"/>
      <c r="L233" s="19"/>
      <c r="M233" s="19"/>
      <c r="Q233" s="19"/>
    </row>
    <row r="234" spans="10:17">
      <c r="J234" s="19"/>
      <c r="K234" s="19"/>
      <c r="L234" s="19"/>
      <c r="M234" s="19"/>
      <c r="Q234" s="19"/>
    </row>
    <row r="235" spans="10:17">
      <c r="J235" s="19"/>
      <c r="K235" s="19"/>
      <c r="L235" s="19"/>
      <c r="M235" s="19"/>
      <c r="Q235" s="19"/>
    </row>
    <row r="236" spans="10:17">
      <c r="J236" s="19"/>
      <c r="K236" s="19"/>
      <c r="L236" s="19"/>
      <c r="M236" s="19"/>
      <c r="Q236" s="19"/>
    </row>
    <row r="237" spans="10:17">
      <c r="J237" s="19"/>
      <c r="K237" s="19"/>
      <c r="L237" s="19"/>
      <c r="M237" s="19"/>
      <c r="Q237" s="19"/>
    </row>
    <row r="238" spans="10:17">
      <c r="J238" s="19"/>
      <c r="K238" s="19"/>
      <c r="L238" s="19"/>
      <c r="M238" s="19"/>
      <c r="Q238" s="19"/>
    </row>
    <row r="239" spans="10:17">
      <c r="J239" s="19"/>
      <c r="K239" s="19"/>
      <c r="L239" s="19"/>
      <c r="M239" s="19"/>
      <c r="Q239" s="19"/>
    </row>
    <row r="240" spans="10:17">
      <c r="J240" s="19"/>
      <c r="K240" s="19"/>
      <c r="L240" s="19"/>
      <c r="M240" s="19"/>
      <c r="Q240" s="19"/>
    </row>
    <row r="241" spans="10:17">
      <c r="J241" s="19"/>
      <c r="K241" s="19"/>
      <c r="L241" s="19"/>
      <c r="M241" s="19"/>
      <c r="Q241" s="19"/>
    </row>
    <row r="242" spans="10:17">
      <c r="J242" s="19"/>
      <c r="K242" s="19"/>
      <c r="L242" s="19"/>
      <c r="M242" s="19"/>
      <c r="Q242" s="19"/>
    </row>
    <row r="243" spans="10:17">
      <c r="J243" s="19"/>
      <c r="K243" s="19"/>
      <c r="L243" s="19"/>
      <c r="M243" s="19"/>
      <c r="Q243" s="19"/>
    </row>
    <row r="244" spans="10:17">
      <c r="J244" s="19"/>
      <c r="K244" s="19"/>
      <c r="L244" s="19"/>
      <c r="M244" s="19"/>
      <c r="Q244" s="19"/>
    </row>
    <row r="245" spans="10:17">
      <c r="J245" s="19"/>
      <c r="K245" s="19"/>
      <c r="L245" s="19"/>
      <c r="M245" s="19"/>
      <c r="Q245" s="19"/>
    </row>
    <row r="246" spans="10:17">
      <c r="J246" s="19"/>
      <c r="K246" s="19"/>
      <c r="L246" s="19"/>
      <c r="M246" s="19"/>
      <c r="Q246" s="19"/>
    </row>
    <row r="247" spans="10:17">
      <c r="J247" s="19"/>
      <c r="K247" s="19"/>
      <c r="L247" s="19"/>
      <c r="M247" s="19"/>
      <c r="Q247" s="19"/>
    </row>
    <row r="248" spans="10:17">
      <c r="J248" s="19"/>
      <c r="K248" s="19"/>
      <c r="L248" s="19"/>
      <c r="M248" s="19"/>
      <c r="Q248" s="19"/>
    </row>
    <row r="249" spans="10:17">
      <c r="J249" s="19"/>
      <c r="K249" s="19"/>
      <c r="L249" s="19"/>
      <c r="M249" s="19"/>
      <c r="Q249" s="19"/>
    </row>
    <row r="250" spans="10:17">
      <c r="J250" s="19"/>
      <c r="K250" s="19"/>
      <c r="L250" s="19"/>
      <c r="M250" s="19"/>
      <c r="Q250" s="19"/>
    </row>
    <row r="251" spans="10:17">
      <c r="J251" s="19"/>
      <c r="K251" s="19"/>
      <c r="L251" s="19"/>
      <c r="M251" s="19"/>
      <c r="Q251" s="19"/>
    </row>
    <row r="252" spans="10:17">
      <c r="J252" s="19"/>
      <c r="K252" s="19"/>
      <c r="L252" s="19"/>
      <c r="M252" s="19"/>
      <c r="Q252" s="19"/>
    </row>
    <row r="253" spans="10:17">
      <c r="J253" s="19"/>
      <c r="K253" s="19"/>
      <c r="L253" s="19"/>
      <c r="M253" s="19"/>
      <c r="Q253" s="19"/>
    </row>
    <row r="254" spans="10:17">
      <c r="J254" s="19"/>
      <c r="K254" s="19"/>
      <c r="L254" s="19"/>
      <c r="M254" s="19"/>
      <c r="Q254" s="19"/>
    </row>
    <row r="255" spans="10:17">
      <c r="J255" s="19"/>
      <c r="K255" s="19"/>
      <c r="L255" s="19"/>
      <c r="M255" s="19"/>
      <c r="Q255" s="19"/>
    </row>
    <row r="256" spans="10:17">
      <c r="J256" s="19"/>
      <c r="K256" s="19"/>
      <c r="L256" s="19"/>
      <c r="M256" s="19"/>
      <c r="Q256" s="19"/>
    </row>
    <row r="257" spans="10:17">
      <c r="J257" s="19"/>
      <c r="K257" s="19"/>
      <c r="L257" s="19"/>
      <c r="M257" s="19"/>
      <c r="Q257" s="19"/>
    </row>
    <row r="258" spans="10:17">
      <c r="J258" s="19"/>
      <c r="K258" s="19"/>
      <c r="L258" s="19"/>
      <c r="M258" s="19"/>
      <c r="Q258" s="19"/>
    </row>
    <row r="259" spans="10:17">
      <c r="J259" s="19"/>
      <c r="K259" s="19"/>
      <c r="L259" s="19"/>
      <c r="M259" s="19"/>
      <c r="Q259" s="19"/>
    </row>
    <row r="260" spans="10:17">
      <c r="J260" s="19"/>
      <c r="K260" s="19"/>
      <c r="L260" s="19"/>
      <c r="M260" s="19"/>
      <c r="Q260" s="19"/>
    </row>
    <row r="261" spans="10:17">
      <c r="J261" s="19"/>
      <c r="K261" s="19"/>
      <c r="L261" s="19"/>
      <c r="M261" s="19"/>
      <c r="Q261" s="19"/>
    </row>
    <row r="262" spans="10:17">
      <c r="J262" s="19"/>
      <c r="K262" s="19"/>
      <c r="L262" s="19"/>
      <c r="M262" s="19"/>
      <c r="Q262" s="19"/>
    </row>
    <row r="263" spans="10:17">
      <c r="J263" s="19"/>
      <c r="K263" s="19"/>
      <c r="L263" s="19"/>
      <c r="M263" s="19"/>
      <c r="Q263" s="19"/>
    </row>
    <row r="264" spans="10:17">
      <c r="J264" s="19"/>
      <c r="K264" s="19"/>
      <c r="L264" s="19"/>
      <c r="M264" s="19"/>
      <c r="Q264" s="19"/>
    </row>
    <row r="265" spans="10:17">
      <c r="J265" s="19"/>
      <c r="K265" s="19"/>
      <c r="L265" s="19"/>
      <c r="M265" s="19"/>
      <c r="Q265" s="19"/>
    </row>
    <row r="266" spans="10:17">
      <c r="J266" s="19"/>
      <c r="K266" s="19"/>
      <c r="L266" s="19"/>
      <c r="M266" s="19"/>
      <c r="Q266" s="19"/>
    </row>
    <row r="267" spans="10:17">
      <c r="J267" s="19"/>
      <c r="K267" s="19"/>
      <c r="L267" s="19"/>
      <c r="M267" s="19"/>
      <c r="Q267" s="19"/>
    </row>
    <row r="268" spans="10:17">
      <c r="J268" s="19"/>
      <c r="K268" s="19"/>
      <c r="L268" s="19"/>
      <c r="M268" s="19"/>
      <c r="Q268" s="19"/>
    </row>
    <row r="269" spans="10:17">
      <c r="J269" s="19"/>
      <c r="K269" s="19"/>
      <c r="L269" s="19"/>
      <c r="M269" s="19"/>
      <c r="Q269" s="19"/>
    </row>
    <row r="270" spans="10:17">
      <c r="J270" s="19"/>
      <c r="K270" s="19"/>
      <c r="L270" s="19"/>
      <c r="M270" s="19"/>
      <c r="Q270" s="19"/>
    </row>
    <row r="271" spans="10:17">
      <c r="J271" s="19"/>
      <c r="K271" s="19"/>
      <c r="L271" s="19"/>
      <c r="M271" s="19"/>
      <c r="Q271" s="19"/>
    </row>
    <row r="272" spans="10:17">
      <c r="J272" s="19"/>
      <c r="K272" s="19"/>
      <c r="L272" s="19"/>
      <c r="M272" s="19"/>
      <c r="Q272" s="19"/>
    </row>
    <row r="273" spans="10:17">
      <c r="J273" s="19"/>
      <c r="K273" s="19"/>
      <c r="L273" s="19"/>
      <c r="M273" s="19"/>
      <c r="Q273" s="19"/>
    </row>
    <row r="274" spans="10:17">
      <c r="J274" s="19"/>
      <c r="K274" s="19"/>
      <c r="L274" s="19"/>
      <c r="M274" s="19"/>
      <c r="Q274" s="19"/>
    </row>
    <row r="275" spans="10:17">
      <c r="J275" s="19"/>
      <c r="K275" s="19"/>
      <c r="L275" s="19"/>
      <c r="M275" s="19"/>
      <c r="Q275" s="19"/>
    </row>
    <row r="276" spans="10:17">
      <c r="J276" s="19"/>
      <c r="K276" s="19"/>
      <c r="L276" s="19"/>
      <c r="M276" s="19"/>
      <c r="Q276" s="19"/>
    </row>
    <row r="277" spans="10:17">
      <c r="J277" s="19"/>
      <c r="K277" s="19"/>
      <c r="L277" s="19"/>
      <c r="M277" s="19"/>
      <c r="Q277" s="19"/>
    </row>
    <row r="278" spans="10:17">
      <c r="J278" s="19"/>
      <c r="K278" s="19"/>
      <c r="L278" s="19"/>
      <c r="M278" s="19"/>
      <c r="Q278" s="19"/>
    </row>
    <row r="279" spans="10:17">
      <c r="J279" s="19"/>
      <c r="K279" s="19"/>
      <c r="L279" s="19"/>
      <c r="M279" s="19"/>
      <c r="Q279" s="19"/>
    </row>
    <row r="280" spans="10:17">
      <c r="J280" s="19"/>
      <c r="K280" s="19"/>
      <c r="L280" s="19"/>
      <c r="M280" s="19"/>
      <c r="Q280" s="19"/>
    </row>
    <row r="281" spans="10:17">
      <c r="J281" s="19"/>
      <c r="K281" s="19"/>
      <c r="L281" s="19"/>
      <c r="M281" s="19"/>
      <c r="Q281" s="19"/>
    </row>
    <row r="282" spans="10:17">
      <c r="J282" s="19"/>
      <c r="K282" s="19"/>
      <c r="L282" s="19"/>
      <c r="M282" s="19"/>
      <c r="Q282" s="19"/>
    </row>
    <row r="283" spans="10:17">
      <c r="J283" s="19"/>
      <c r="K283" s="19"/>
      <c r="L283" s="19"/>
      <c r="M283" s="19"/>
      <c r="Q283" s="19"/>
    </row>
    <row r="284" spans="10:17">
      <c r="J284" s="19"/>
      <c r="K284" s="19"/>
      <c r="L284" s="19"/>
      <c r="M284" s="19"/>
      <c r="Q284" s="19"/>
    </row>
    <row r="285" spans="10:17">
      <c r="J285" s="19"/>
      <c r="K285" s="19"/>
      <c r="L285" s="19"/>
      <c r="M285" s="19"/>
      <c r="Q285" s="19"/>
    </row>
    <row r="286" spans="10:17">
      <c r="J286" s="19"/>
      <c r="K286" s="19"/>
      <c r="L286" s="19"/>
      <c r="M286" s="19"/>
      <c r="Q286" s="19"/>
    </row>
    <row r="287" spans="10:17">
      <c r="J287" s="19"/>
      <c r="K287" s="19"/>
      <c r="L287" s="19"/>
      <c r="M287" s="19"/>
      <c r="Q287" s="19"/>
    </row>
    <row r="288" spans="10:17">
      <c r="J288" s="19"/>
      <c r="K288" s="19"/>
      <c r="L288" s="19"/>
      <c r="M288" s="19"/>
      <c r="Q288" s="19"/>
    </row>
    <row r="289" spans="10:17">
      <c r="J289" s="19"/>
      <c r="K289" s="19"/>
      <c r="L289" s="19"/>
      <c r="M289" s="19"/>
      <c r="Q289" s="19"/>
    </row>
    <row r="290" spans="10:17">
      <c r="J290" s="19"/>
      <c r="K290" s="19"/>
      <c r="L290" s="19"/>
      <c r="M290" s="19"/>
      <c r="Q290" s="19"/>
    </row>
    <row r="291" spans="10:17">
      <c r="J291" s="19"/>
      <c r="K291" s="19"/>
      <c r="L291" s="19"/>
      <c r="M291" s="19"/>
      <c r="Q291" s="19"/>
    </row>
    <row r="292" spans="10:17">
      <c r="J292" s="19"/>
      <c r="K292" s="19"/>
      <c r="L292" s="19"/>
      <c r="M292" s="19"/>
      <c r="Q292" s="19"/>
    </row>
    <row r="293" spans="10:17">
      <c r="J293" s="19"/>
      <c r="K293" s="19"/>
      <c r="L293" s="19"/>
      <c r="M293" s="19"/>
      <c r="Q293" s="19"/>
    </row>
    <row r="294" spans="10:17">
      <c r="J294" s="19"/>
      <c r="K294" s="19"/>
      <c r="L294" s="19"/>
      <c r="M294" s="19"/>
      <c r="Q294" s="19"/>
    </row>
    <row r="295" spans="10:17">
      <c r="J295" s="19"/>
      <c r="K295" s="19"/>
      <c r="L295" s="19"/>
      <c r="M295" s="19"/>
      <c r="Q295" s="19"/>
    </row>
    <row r="296" spans="10:17">
      <c r="J296" s="19"/>
      <c r="K296" s="19"/>
      <c r="L296" s="19"/>
      <c r="M296" s="19"/>
      <c r="Q296" s="19"/>
    </row>
    <row r="297" spans="10:17">
      <c r="J297" s="19"/>
      <c r="K297" s="19"/>
      <c r="L297" s="19"/>
      <c r="M297" s="19"/>
      <c r="Q297" s="19"/>
    </row>
    <row r="298" spans="10:17">
      <c r="J298" s="19"/>
      <c r="K298" s="19"/>
      <c r="L298" s="19"/>
      <c r="M298" s="19"/>
      <c r="Q298" s="19"/>
    </row>
    <row r="299" spans="10:17">
      <c r="J299" s="19"/>
      <c r="K299" s="19"/>
      <c r="L299" s="19"/>
      <c r="M299" s="19"/>
      <c r="Q299" s="19"/>
    </row>
    <row r="300" spans="10:17">
      <c r="J300" s="19"/>
      <c r="K300" s="19"/>
      <c r="L300" s="19"/>
      <c r="M300" s="19"/>
      <c r="Q300" s="19"/>
    </row>
    <row r="301" spans="10:17">
      <c r="J301" s="19"/>
      <c r="K301" s="19"/>
      <c r="L301" s="19"/>
      <c r="M301" s="19"/>
      <c r="Q301" s="19"/>
    </row>
    <row r="302" spans="10:17">
      <c r="J302" s="19"/>
      <c r="K302" s="19"/>
      <c r="L302" s="19"/>
      <c r="M302" s="19"/>
      <c r="Q302" s="19"/>
    </row>
    <row r="303" spans="10:17">
      <c r="J303" s="19"/>
      <c r="K303" s="19"/>
      <c r="L303" s="19"/>
      <c r="M303" s="19"/>
      <c r="Q303" s="19"/>
    </row>
    <row r="304" spans="10:17">
      <c r="J304" s="19"/>
      <c r="K304" s="19"/>
      <c r="L304" s="19"/>
      <c r="M304" s="19"/>
      <c r="Q304" s="19"/>
    </row>
    <row r="305" spans="10:17">
      <c r="J305" s="19"/>
      <c r="K305" s="19"/>
      <c r="L305" s="19"/>
      <c r="M305" s="19"/>
      <c r="Q305" s="19"/>
    </row>
    <row r="306" spans="10:17">
      <c r="J306" s="19"/>
      <c r="K306" s="19"/>
      <c r="L306" s="19"/>
      <c r="M306" s="19"/>
      <c r="Q306" s="19"/>
    </row>
    <row r="307" spans="10:17">
      <c r="J307" s="19"/>
      <c r="K307" s="19"/>
      <c r="L307" s="19"/>
      <c r="M307" s="19"/>
      <c r="Q307" s="19"/>
    </row>
    <row r="308" spans="10:17">
      <c r="J308" s="19"/>
      <c r="K308" s="19"/>
      <c r="L308" s="19"/>
      <c r="M308" s="19"/>
      <c r="Q308" s="19"/>
    </row>
    <row r="309" spans="10:17">
      <c r="J309" s="19"/>
      <c r="K309" s="19"/>
      <c r="L309" s="19"/>
      <c r="M309" s="19"/>
      <c r="Q309" s="19"/>
    </row>
    <row r="310" spans="10:17">
      <c r="J310" s="19"/>
      <c r="K310" s="19"/>
      <c r="L310" s="19"/>
      <c r="M310" s="19"/>
      <c r="Q310" s="19"/>
    </row>
    <row r="311" spans="10:17">
      <c r="J311" s="19"/>
      <c r="K311" s="19"/>
      <c r="L311" s="19"/>
      <c r="M311" s="19"/>
      <c r="Q311" s="19"/>
    </row>
    <row r="312" spans="10:17">
      <c r="J312" s="19"/>
      <c r="K312" s="19"/>
      <c r="L312" s="19"/>
      <c r="M312" s="19"/>
      <c r="Q312" s="19"/>
    </row>
    <row r="313" spans="10:17">
      <c r="J313" s="19"/>
      <c r="K313" s="19"/>
      <c r="L313" s="19"/>
      <c r="M313" s="19"/>
      <c r="Q313" s="19"/>
    </row>
    <row r="314" spans="10:17">
      <c r="J314" s="19"/>
      <c r="K314" s="19"/>
      <c r="L314" s="19"/>
      <c r="M314" s="19"/>
      <c r="Q314" s="19"/>
    </row>
    <row r="315" spans="10:17">
      <c r="J315" s="19"/>
      <c r="K315" s="19"/>
      <c r="L315" s="19"/>
      <c r="M315" s="19"/>
      <c r="Q315" s="19"/>
    </row>
    <row r="316" spans="10:17">
      <c r="J316" s="19"/>
      <c r="K316" s="19"/>
      <c r="L316" s="19"/>
      <c r="M316" s="19"/>
      <c r="Q316" s="19"/>
    </row>
    <row r="317" spans="10:17">
      <c r="J317" s="19"/>
      <c r="K317" s="19"/>
      <c r="L317" s="19"/>
      <c r="M317" s="19"/>
      <c r="Q317" s="19"/>
    </row>
    <row r="318" spans="10:17">
      <c r="J318" s="19"/>
      <c r="K318" s="19"/>
      <c r="L318" s="19"/>
      <c r="M318" s="19"/>
      <c r="Q318" s="19"/>
    </row>
    <row r="319" spans="10:17">
      <c r="J319" s="19"/>
      <c r="K319" s="19"/>
      <c r="L319" s="19"/>
      <c r="M319" s="19"/>
      <c r="Q319" s="19"/>
    </row>
    <row r="320" spans="10:17">
      <c r="J320" s="19"/>
      <c r="K320" s="19"/>
      <c r="L320" s="19"/>
      <c r="M320" s="19"/>
      <c r="Q320" s="19"/>
    </row>
    <row r="321" spans="10:17">
      <c r="J321" s="19"/>
      <c r="K321" s="19"/>
      <c r="L321" s="19"/>
      <c r="M321" s="19"/>
      <c r="Q321" s="19"/>
    </row>
    <row r="322" spans="10:17">
      <c r="J322" s="19"/>
      <c r="K322" s="19"/>
      <c r="L322" s="19"/>
      <c r="M322" s="19"/>
      <c r="Q322" s="19"/>
    </row>
    <row r="323" spans="10:17">
      <c r="J323" s="19"/>
      <c r="K323" s="19"/>
      <c r="L323" s="19"/>
      <c r="M323" s="19"/>
      <c r="Q323" s="19"/>
    </row>
    <row r="324" spans="10:17">
      <c r="J324" s="19"/>
      <c r="K324" s="19"/>
      <c r="L324" s="19"/>
      <c r="M324" s="19"/>
      <c r="Q324" s="19"/>
    </row>
    <row r="325" spans="10:17">
      <c r="J325" s="19"/>
      <c r="K325" s="19"/>
      <c r="L325" s="19"/>
      <c r="M325" s="19"/>
      <c r="Q325" s="19"/>
    </row>
    <row r="326" spans="10:17">
      <c r="J326" s="19"/>
      <c r="K326" s="19"/>
      <c r="L326" s="19"/>
      <c r="M326" s="19"/>
      <c r="Q326" s="19"/>
    </row>
    <row r="327" spans="10:17">
      <c r="J327" s="19"/>
      <c r="K327" s="19"/>
      <c r="L327" s="19"/>
      <c r="M327" s="19"/>
      <c r="Q327" s="19"/>
    </row>
    <row r="328" spans="10:17">
      <c r="J328" s="19"/>
      <c r="K328" s="19"/>
      <c r="L328" s="19"/>
      <c r="M328" s="19"/>
      <c r="Q328" s="19"/>
    </row>
    <row r="329" spans="10:17">
      <c r="J329" s="19"/>
      <c r="K329" s="19"/>
      <c r="L329" s="19"/>
      <c r="M329" s="19"/>
      <c r="Q329" s="19"/>
    </row>
    <row r="330" spans="10:17">
      <c r="J330" s="19"/>
      <c r="K330" s="19"/>
      <c r="L330" s="19"/>
      <c r="M330" s="19"/>
      <c r="Q330" s="19"/>
    </row>
    <row r="331" spans="10:17">
      <c r="J331" s="19"/>
      <c r="K331" s="19"/>
      <c r="L331" s="19"/>
      <c r="M331" s="19"/>
      <c r="Q331" s="19"/>
    </row>
    <row r="332" spans="10:17">
      <c r="J332" s="19"/>
      <c r="K332" s="19"/>
      <c r="L332" s="19"/>
      <c r="M332" s="19"/>
      <c r="Q332" s="19"/>
    </row>
    <row r="333" spans="10:17">
      <c r="J333" s="19"/>
      <c r="K333" s="19"/>
      <c r="L333" s="19"/>
      <c r="M333" s="19"/>
      <c r="Q333" s="19"/>
    </row>
    <row r="334" spans="10:17">
      <c r="J334" s="19"/>
      <c r="K334" s="19"/>
      <c r="L334" s="19"/>
      <c r="M334" s="19"/>
      <c r="Q334" s="19"/>
    </row>
    <row r="335" spans="10:17">
      <c r="J335" s="19"/>
      <c r="K335" s="19"/>
      <c r="L335" s="19"/>
      <c r="M335" s="19"/>
      <c r="Q335" s="19"/>
    </row>
    <row r="336" spans="10:17">
      <c r="J336" s="19"/>
      <c r="K336" s="19"/>
      <c r="L336" s="19"/>
      <c r="M336" s="19"/>
      <c r="Q336" s="19"/>
    </row>
    <row r="337" spans="10:17">
      <c r="J337" s="19"/>
      <c r="K337" s="19"/>
      <c r="L337" s="19"/>
      <c r="M337" s="19"/>
      <c r="Q337" s="19"/>
    </row>
    <row r="338" spans="10:17">
      <c r="J338" s="19"/>
      <c r="K338" s="19"/>
      <c r="L338" s="19"/>
      <c r="M338" s="19"/>
      <c r="Q338" s="19"/>
    </row>
    <row r="339" spans="10:17">
      <c r="J339" s="19"/>
      <c r="K339" s="19"/>
      <c r="L339" s="19"/>
      <c r="M339" s="19"/>
      <c r="Q339" s="19"/>
    </row>
    <row r="340" spans="10:17">
      <c r="J340" s="19"/>
      <c r="K340" s="19"/>
      <c r="L340" s="19"/>
      <c r="M340" s="19"/>
      <c r="Q340" s="19"/>
    </row>
    <row r="341" spans="10:17">
      <c r="J341" s="19"/>
      <c r="K341" s="19"/>
      <c r="L341" s="19"/>
      <c r="M341" s="19"/>
      <c r="Q341" s="19"/>
    </row>
    <row r="342" spans="10:17">
      <c r="J342" s="19"/>
      <c r="K342" s="19"/>
      <c r="L342" s="19"/>
      <c r="M342" s="19"/>
    </row>
    <row r="343" spans="10:17">
      <c r="J343" s="19"/>
      <c r="K343" s="19"/>
      <c r="L343" s="19"/>
      <c r="M343" s="19"/>
    </row>
    <row r="344" spans="10:17">
      <c r="J344" s="19"/>
      <c r="K344" s="19"/>
      <c r="L344" s="19"/>
      <c r="M344" s="19"/>
    </row>
    <row r="345" spans="10:17">
      <c r="J345" s="19"/>
      <c r="K345" s="19"/>
      <c r="L345" s="19"/>
      <c r="M345" s="19"/>
    </row>
    <row r="346" spans="10:17">
      <c r="J346" s="19"/>
      <c r="K346" s="19"/>
      <c r="L346" s="19"/>
      <c r="M346" s="19"/>
    </row>
    <row r="347" spans="10:17">
      <c r="J347" s="19"/>
      <c r="K347" s="19"/>
      <c r="L347" s="19"/>
      <c r="M347" s="19"/>
    </row>
    <row r="348" spans="10:17">
      <c r="J348" s="19"/>
      <c r="K348" s="19"/>
      <c r="L348" s="19"/>
      <c r="M348" s="19"/>
    </row>
    <row r="349" spans="10:17">
      <c r="J349" s="19"/>
      <c r="K349" s="19"/>
      <c r="L349" s="19"/>
      <c r="M349" s="19"/>
    </row>
  </sheetData>
  <phoneticPr fontId="0" type="noConversion"/>
  <pageMargins left="0.75" right="0.75" top="1" bottom="1" header="0.5" footer="0.5"/>
  <pageSetup scale="43" orientation="landscape" horizontalDpi="300" verticalDpi="300"/>
  <headerFooter alignWithMargins="0">
    <oddHeader>&amp;L&amp;F; &amp;A&amp;C&amp;P of &amp;N&amp;R&amp;D; &amp;T</oddHeader>
  </headerFooter>
  <rowBreaks count="3" manualBreakCount="3">
    <brk id="48" max="16" man="1"/>
    <brk id="72" max="16" man="1"/>
    <brk id="120" max="16" man="1"/>
  </rowBreak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09"/>
  <sheetViews>
    <sheetView topLeftCell="A49" zoomScale="169" zoomScaleNormal="100" workbookViewId="0">
      <selection activeCell="B67" sqref="B67"/>
    </sheetView>
  </sheetViews>
  <sheetFormatPr baseColWidth="10" defaultColWidth="14.796875" defaultRowHeight="16"/>
  <cols>
    <col min="1" max="1" width="67" customWidth="1"/>
    <col min="2" max="8" width="14.796875" customWidth="1"/>
    <col min="9" max="9" width="14.796875" style="3" customWidth="1"/>
  </cols>
  <sheetData>
    <row r="1" spans="1:6">
      <c r="A1" s="30" t="s">
        <v>419</v>
      </c>
    </row>
    <row r="2" spans="1:6">
      <c r="A2" s="2" t="s">
        <v>435</v>
      </c>
    </row>
    <row r="3" spans="1:6">
      <c r="A3" s="55" t="s">
        <v>249</v>
      </c>
      <c r="B3" s="3" t="s">
        <v>250</v>
      </c>
      <c r="C3" s="3" t="s">
        <v>282</v>
      </c>
      <c r="D3" s="3" t="s">
        <v>283</v>
      </c>
      <c r="E3" s="3" t="s">
        <v>251</v>
      </c>
      <c r="F3" s="3" t="s">
        <v>262</v>
      </c>
    </row>
    <row r="4" spans="1:6">
      <c r="A4" s="55"/>
      <c r="B4" s="3" t="s">
        <v>287</v>
      </c>
      <c r="C4" s="3" t="s">
        <v>286</v>
      </c>
      <c r="D4" s="3" t="s">
        <v>285</v>
      </c>
      <c r="E4" s="3"/>
      <c r="F4" s="3"/>
    </row>
    <row r="5" spans="1:6">
      <c r="A5" s="44" t="s">
        <v>74</v>
      </c>
      <c r="F5" s="24">
        <f>E6</f>
        <v>20</v>
      </c>
    </row>
    <row r="6" spans="1:6" ht="17">
      <c r="A6" s="34" t="s">
        <v>122</v>
      </c>
      <c r="B6" s="31">
        <v>5</v>
      </c>
      <c r="C6" s="31">
        <v>8</v>
      </c>
      <c r="D6" s="31">
        <v>15</v>
      </c>
      <c r="E6" s="31">
        <v>20</v>
      </c>
    </row>
    <row r="7" spans="1:6">
      <c r="A7" s="44" t="s">
        <v>75</v>
      </c>
      <c r="F7" s="84">
        <f>SUM(E8:E12)</f>
        <v>25</v>
      </c>
    </row>
    <row r="8" spans="1:6" ht="17">
      <c r="A8" s="60" t="s">
        <v>193</v>
      </c>
      <c r="B8" s="31">
        <v>25</v>
      </c>
      <c r="C8" s="31">
        <v>15</v>
      </c>
      <c r="D8" s="31">
        <v>5</v>
      </c>
      <c r="E8" s="31">
        <v>5</v>
      </c>
    </row>
    <row r="9" spans="1:6" ht="17">
      <c r="A9" s="60" t="s">
        <v>117</v>
      </c>
      <c r="B9" s="31">
        <v>25</v>
      </c>
      <c r="C9" s="31">
        <v>50</v>
      </c>
      <c r="D9" s="31">
        <v>75</v>
      </c>
      <c r="E9" s="31">
        <v>0</v>
      </c>
    </row>
    <row r="10" spans="1:6">
      <c r="A10" s="37" t="s">
        <v>123</v>
      </c>
      <c r="B10" s="31">
        <v>100</v>
      </c>
      <c r="C10" s="31">
        <v>50</v>
      </c>
      <c r="D10" s="31">
        <v>25</v>
      </c>
      <c r="E10" s="31">
        <v>10</v>
      </c>
    </row>
    <row r="11" spans="1:6" ht="17">
      <c r="A11" s="60" t="s">
        <v>94</v>
      </c>
      <c r="B11" s="31">
        <v>60</v>
      </c>
      <c r="C11" s="31">
        <v>40</v>
      </c>
      <c r="D11" s="31">
        <v>20</v>
      </c>
      <c r="E11" s="31">
        <v>10</v>
      </c>
    </row>
    <row r="12" spans="1:6" ht="17">
      <c r="A12" s="60" t="s">
        <v>95</v>
      </c>
      <c r="B12" s="31">
        <v>75</v>
      </c>
      <c r="C12" s="31">
        <v>50</v>
      </c>
      <c r="D12" s="31">
        <v>25</v>
      </c>
      <c r="E12" s="31">
        <v>0</v>
      </c>
    </row>
    <row r="13" spans="1:6">
      <c r="A13" s="44" t="s">
        <v>76</v>
      </c>
      <c r="F13" s="84">
        <f>SUM(E14:E15)</f>
        <v>30</v>
      </c>
    </row>
    <row r="14" spans="1:6" ht="17">
      <c r="A14" s="34" t="s">
        <v>124</v>
      </c>
      <c r="B14" s="31">
        <v>0</v>
      </c>
      <c r="C14" s="31">
        <v>1</v>
      </c>
      <c r="D14" s="31">
        <v>2</v>
      </c>
      <c r="E14" s="31">
        <v>15</v>
      </c>
    </row>
    <row r="15" spans="1:6" ht="17">
      <c r="A15" s="34" t="s">
        <v>125</v>
      </c>
      <c r="B15" s="31">
        <v>0</v>
      </c>
      <c r="C15" s="31">
        <v>10</v>
      </c>
      <c r="D15" s="31">
        <v>20</v>
      </c>
      <c r="E15" s="31">
        <v>15</v>
      </c>
    </row>
    <row r="16" spans="1:6">
      <c r="A16" s="44" t="s">
        <v>257</v>
      </c>
      <c r="F16" s="84">
        <f>SUM(E17:E18)</f>
        <v>20</v>
      </c>
    </row>
    <row r="17" spans="1:6" ht="17">
      <c r="A17" s="34" t="s">
        <v>258</v>
      </c>
      <c r="B17" s="31">
        <v>10</v>
      </c>
      <c r="C17" s="31">
        <v>20</v>
      </c>
      <c r="D17" s="31">
        <v>30</v>
      </c>
      <c r="E17" s="31">
        <v>10</v>
      </c>
    </row>
    <row r="18" spans="1:6" ht="17">
      <c r="A18" s="34" t="s">
        <v>260</v>
      </c>
      <c r="B18" s="31">
        <v>30</v>
      </c>
      <c r="C18" s="31">
        <v>40</v>
      </c>
      <c r="D18" s="31">
        <v>50</v>
      </c>
      <c r="E18" s="31">
        <v>10</v>
      </c>
    </row>
    <row r="19" spans="1:6">
      <c r="A19" s="44" t="s">
        <v>77</v>
      </c>
      <c r="F19" s="84">
        <f>E20</f>
        <v>5</v>
      </c>
    </row>
    <row r="20" spans="1:6" ht="17">
      <c r="A20" s="34" t="s">
        <v>252</v>
      </c>
      <c r="B20" s="31">
        <v>25</v>
      </c>
      <c r="C20" s="31">
        <v>15</v>
      </c>
      <c r="D20" s="31">
        <v>5</v>
      </c>
      <c r="E20" s="31">
        <v>5</v>
      </c>
    </row>
    <row r="21" spans="1:6">
      <c r="A21" s="44"/>
      <c r="F21" s="85">
        <f>SUM(F5,F19,F16,F13,F7)</f>
        <v>100</v>
      </c>
    </row>
    <row r="22" spans="1:6">
      <c r="A22" s="44" t="s">
        <v>281</v>
      </c>
      <c r="B22" s="31">
        <v>30</v>
      </c>
      <c r="C22" s="31">
        <v>5</v>
      </c>
      <c r="D22" s="31">
        <v>1</v>
      </c>
      <c r="E22" s="31">
        <v>0.1</v>
      </c>
      <c r="F22" s="3"/>
    </row>
    <row r="24" spans="1:6">
      <c r="A24" s="2" t="s">
        <v>39</v>
      </c>
    </row>
    <row r="25" spans="1:6">
      <c r="A25" s="55" t="s">
        <v>187</v>
      </c>
    </row>
    <row r="26" spans="1:6" ht="15" customHeight="1">
      <c r="A26" s="3" t="s">
        <v>240</v>
      </c>
      <c r="B26" s="3"/>
    </row>
    <row r="27" spans="1:6" ht="15" customHeight="1">
      <c r="A27" s="51" t="s">
        <v>81</v>
      </c>
      <c r="B27" s="31">
        <v>1</v>
      </c>
    </row>
    <row r="28" spans="1:6" ht="15" customHeight="1">
      <c r="A28" s="51" t="s">
        <v>82</v>
      </c>
      <c r="B28" s="31">
        <v>3</v>
      </c>
    </row>
    <row r="29" spans="1:6" ht="15" customHeight="1">
      <c r="A29" s="51" t="s">
        <v>83</v>
      </c>
      <c r="B29" s="31">
        <f>'Testing Dashboard'!C8</f>
        <v>20</v>
      </c>
      <c r="C29" s="98"/>
    </row>
    <row r="30" spans="1:6" ht="15" customHeight="1">
      <c r="A30" s="51" t="s">
        <v>84</v>
      </c>
      <c r="B30" s="31">
        <f>'Testing Dashboard'!C9</f>
        <v>45</v>
      </c>
      <c r="C30" s="98"/>
    </row>
    <row r="31" spans="1:6" ht="15" customHeight="1">
      <c r="A31" s="51" t="s">
        <v>85</v>
      </c>
      <c r="B31" s="31">
        <f>'Testing Dashboard'!C10</f>
        <v>100</v>
      </c>
      <c r="C31" s="98"/>
    </row>
    <row r="32" spans="1:6" ht="15" customHeight="1">
      <c r="A32" s="3" t="s">
        <v>192</v>
      </c>
      <c r="B32" s="31">
        <f>'Testing Dashboard'!C11</f>
        <v>75</v>
      </c>
      <c r="C32" s="98"/>
    </row>
    <row r="33" spans="1:3">
      <c r="A33" s="3" t="s">
        <v>181</v>
      </c>
      <c r="B33" s="31">
        <v>100</v>
      </c>
    </row>
    <row r="34" spans="1:3">
      <c r="A34" s="55" t="s">
        <v>188</v>
      </c>
      <c r="B34" s="3"/>
    </row>
    <row r="35" spans="1:3">
      <c r="A35" s="3" t="s">
        <v>47</v>
      </c>
      <c r="B35" s="39">
        <f>'Testing Dashboard'!C14</f>
        <v>25</v>
      </c>
      <c r="C35" s="98"/>
    </row>
    <row r="36" spans="1:3">
      <c r="A36" s="3" t="s">
        <v>183</v>
      </c>
      <c r="B36" s="3"/>
    </row>
    <row r="37" spans="1:3">
      <c r="A37" s="37" t="s">
        <v>184</v>
      </c>
      <c r="B37" s="31">
        <v>0</v>
      </c>
    </row>
    <row r="38" spans="1:3">
      <c r="A38" s="37" t="s">
        <v>185</v>
      </c>
      <c r="B38" s="31">
        <v>1</v>
      </c>
    </row>
    <row r="39" spans="1:3">
      <c r="A39" s="3" t="s">
        <v>115</v>
      </c>
      <c r="B39" s="31">
        <f>'Testing Dashboard'!C15</f>
        <v>25</v>
      </c>
      <c r="C39" s="98"/>
    </row>
    <row r="40" spans="1:3">
      <c r="A40" s="3" t="s">
        <v>181</v>
      </c>
      <c r="B40" s="31">
        <v>100</v>
      </c>
    </row>
    <row r="41" spans="1:3">
      <c r="A41" s="55" t="s">
        <v>189</v>
      </c>
    </row>
    <row r="42" spans="1:3">
      <c r="A42" s="55" t="s">
        <v>197</v>
      </c>
      <c r="B42" s="3"/>
    </row>
    <row r="43" spans="1:3" ht="17">
      <c r="A43" s="63" t="s">
        <v>148</v>
      </c>
      <c r="B43" s="39">
        <f>'Testing Dashboard'!C18</f>
        <v>4</v>
      </c>
    </row>
    <row r="44" spans="1:3" ht="17">
      <c r="A44" s="63" t="s">
        <v>149</v>
      </c>
      <c r="B44" s="39">
        <f>'Testing Dashboard'!C19</f>
        <v>50</v>
      </c>
    </row>
    <row r="45" spans="1:3" ht="17">
      <c r="A45" s="63" t="s">
        <v>154</v>
      </c>
      <c r="B45" s="39">
        <f>'Testing Dashboard'!C20</f>
        <v>54</v>
      </c>
    </row>
    <row r="46" spans="1:3" ht="17">
      <c r="A46" s="63" t="s">
        <v>152</v>
      </c>
      <c r="B46" s="39">
        <f>'Testing Dashboard'!C21</f>
        <v>10</v>
      </c>
    </row>
    <row r="47" spans="1:3" ht="17">
      <c r="A47" s="63" t="s">
        <v>153</v>
      </c>
      <c r="B47" s="39">
        <f>'Testing Dashboard'!C22</f>
        <v>20</v>
      </c>
    </row>
    <row r="48" spans="1:3" ht="17">
      <c r="A48" s="63" t="s">
        <v>150</v>
      </c>
      <c r="B48" s="39">
        <f>'Testing Dashboard'!C23</f>
        <v>54</v>
      </c>
    </row>
    <row r="49" spans="1:10" ht="17">
      <c r="A49" s="63" t="s">
        <v>151</v>
      </c>
      <c r="B49" s="39">
        <f>'Testing Dashboard'!C24</f>
        <v>54</v>
      </c>
    </row>
    <row r="50" spans="1:10">
      <c r="A50" s="3" t="s">
        <v>158</v>
      </c>
      <c r="B50" s="31">
        <f>'Testing Dashboard'!C25</f>
        <v>99</v>
      </c>
    </row>
    <row r="51" spans="1:10">
      <c r="A51" s="3" t="s">
        <v>159</v>
      </c>
      <c r="B51" s="31">
        <f>'Testing Dashboard'!C26</f>
        <v>0</v>
      </c>
    </row>
    <row r="52" spans="1:10">
      <c r="A52" s="55" t="s">
        <v>335</v>
      </c>
    </row>
    <row r="53" spans="1:10">
      <c r="A53" s="3" t="s">
        <v>336</v>
      </c>
      <c r="B53" s="39">
        <f>'Testing Dashboard'!C33</f>
        <v>4</v>
      </c>
    </row>
    <row r="54" spans="1:10">
      <c r="A54" s="3" t="s">
        <v>158</v>
      </c>
      <c r="B54" s="31">
        <f>'Testing Dashboard'!C34</f>
        <v>100</v>
      </c>
    </row>
    <row r="55" spans="1:10">
      <c r="A55" s="2"/>
      <c r="B55" s="3"/>
    </row>
    <row r="56" spans="1:10">
      <c r="A56" s="2" t="s">
        <v>246</v>
      </c>
    </row>
    <row r="57" spans="1:10">
      <c r="A57" s="55" t="s">
        <v>267</v>
      </c>
      <c r="B57" s="3" t="s">
        <v>268</v>
      </c>
      <c r="C57" s="3" t="s">
        <v>269</v>
      </c>
      <c r="D57" s="3" t="s">
        <v>270</v>
      </c>
      <c r="E57" s="3" t="s">
        <v>271</v>
      </c>
      <c r="F57" s="3" t="s">
        <v>272</v>
      </c>
      <c r="G57" s="3" t="s">
        <v>280</v>
      </c>
      <c r="H57" s="3" t="s">
        <v>276</v>
      </c>
    </row>
    <row r="58" spans="1:10">
      <c r="A58" s="37" t="s">
        <v>238</v>
      </c>
      <c r="B58" s="90">
        <f>DATE(2005,12,31)</f>
        <v>38717</v>
      </c>
      <c r="C58" s="90">
        <f>DATE(2007,12,31)</f>
        <v>39447</v>
      </c>
      <c r="D58" s="31">
        <v>8</v>
      </c>
      <c r="E58" s="31">
        <v>9</v>
      </c>
      <c r="F58" s="31">
        <v>2</v>
      </c>
      <c r="G58" s="31">
        <v>1</v>
      </c>
      <c r="H58" s="50">
        <f>DURATION(B58,C58,D58/100,E58/100,F58,G58)</f>
        <v>1.8863907208850836</v>
      </c>
      <c r="J58" s="53"/>
    </row>
    <row r="59" spans="1:10">
      <c r="A59" s="37" t="s">
        <v>239</v>
      </c>
      <c r="B59" s="90">
        <f>DATE(2005,12,31)</f>
        <v>38717</v>
      </c>
      <c r="C59" s="90">
        <f>DATE(2010,12,31)</f>
        <v>40543</v>
      </c>
      <c r="D59" s="31">
        <v>8</v>
      </c>
      <c r="E59" s="31">
        <v>10</v>
      </c>
      <c r="F59" s="31">
        <v>2</v>
      </c>
      <c r="G59" s="31">
        <v>1</v>
      </c>
      <c r="H59" s="50">
        <f>DURATION(B59,C59,D59/100,E59/100,F59,G59)</f>
        <v>4.1797945820052549</v>
      </c>
      <c r="J59" s="69"/>
    </row>
    <row r="60" spans="1:10" ht="17">
      <c r="A60" s="5" t="s">
        <v>99</v>
      </c>
      <c r="B60" s="39">
        <v>1</v>
      </c>
    </row>
    <row r="62" spans="1:10" ht="17">
      <c r="A62" s="56" t="s">
        <v>247</v>
      </c>
      <c r="B62" s="3"/>
    </row>
    <row r="63" spans="1:10">
      <c r="A63" s="3" t="s">
        <v>56</v>
      </c>
      <c r="B63" s="39">
        <f>'Testing Dashboard'!C37</f>
        <v>55</v>
      </c>
    </row>
    <row r="64" spans="1:10">
      <c r="A64" s="3" t="s">
        <v>179</v>
      </c>
      <c r="B64" s="3"/>
    </row>
    <row r="65" spans="1:2">
      <c r="A65" s="3" t="s">
        <v>64</v>
      </c>
      <c r="B65" s="33">
        <f>'Testing Dashboard'!C38</f>
        <v>10</v>
      </c>
    </row>
    <row r="66" spans="1:2">
      <c r="A66" s="3" t="s">
        <v>66</v>
      </c>
      <c r="B66" s="31">
        <f>'Testing Dashboard'!C39</f>
        <v>50</v>
      </c>
    </row>
    <row r="68" spans="1:2" ht="17">
      <c r="A68" s="56" t="s">
        <v>42</v>
      </c>
    </row>
    <row r="69" spans="1:2">
      <c r="A69" s="83" t="s">
        <v>338</v>
      </c>
      <c r="B69" s="31">
        <v>2</v>
      </c>
    </row>
    <row r="70" spans="1:2">
      <c r="A70" s="83" t="s">
        <v>167</v>
      </c>
      <c r="B70" s="39">
        <v>25</v>
      </c>
    </row>
    <row r="71" spans="1:2">
      <c r="A71" s="3" t="s">
        <v>175</v>
      </c>
      <c r="B71" s="31">
        <v>10</v>
      </c>
    </row>
    <row r="72" spans="1:2">
      <c r="A72" s="3" t="s">
        <v>190</v>
      </c>
      <c r="B72" s="31">
        <v>0</v>
      </c>
    </row>
    <row r="73" spans="1:2">
      <c r="A73" s="3" t="s">
        <v>403</v>
      </c>
      <c r="B73" s="31">
        <v>1</v>
      </c>
    </row>
    <row r="74" spans="1:2">
      <c r="A74" s="3" t="s">
        <v>314</v>
      </c>
      <c r="B74" s="31">
        <v>2</v>
      </c>
    </row>
    <row r="76" spans="1:2" ht="17">
      <c r="A76" s="56" t="s">
        <v>248</v>
      </c>
    </row>
    <row r="77" spans="1:2">
      <c r="A77" s="3" t="s">
        <v>181</v>
      </c>
      <c r="B77" s="31">
        <v>20</v>
      </c>
    </row>
    <row r="79" spans="1:2" ht="17">
      <c r="A79" s="56" t="s">
        <v>264</v>
      </c>
    </row>
    <row r="80" spans="1:2" ht="34">
      <c r="A80" s="91" t="s">
        <v>324</v>
      </c>
      <c r="B80" s="31">
        <v>1</v>
      </c>
    </row>
    <row r="81" spans="1:256" ht="17">
      <c r="A81" s="91" t="s">
        <v>277</v>
      </c>
      <c r="B81" s="3" t="s">
        <v>26</v>
      </c>
      <c r="C81" s="3" t="s">
        <v>29</v>
      </c>
      <c r="D81" s="3" t="s">
        <v>30</v>
      </c>
      <c r="E81" s="3" t="s">
        <v>33</v>
      </c>
      <c r="F81" s="3" t="s">
        <v>34</v>
      </c>
      <c r="G81" s="3" t="s">
        <v>35</v>
      </c>
      <c r="H81" s="3" t="s">
        <v>36</v>
      </c>
      <c r="I81" s="3" t="s">
        <v>37</v>
      </c>
      <c r="J81" s="3" t="s">
        <v>27</v>
      </c>
      <c r="K81" s="3" t="s">
        <v>32</v>
      </c>
      <c r="L81" s="3" t="s">
        <v>28</v>
      </c>
      <c r="M81" s="3" t="s">
        <v>31</v>
      </c>
    </row>
    <row r="82" spans="1:256">
      <c r="A82" s="37" t="s">
        <v>265</v>
      </c>
      <c r="B82" s="3"/>
      <c r="C82" s="3"/>
      <c r="D82" s="3"/>
      <c r="E82" s="3"/>
      <c r="F82" s="3"/>
      <c r="G82" s="3"/>
      <c r="H82" s="3"/>
      <c r="J82" s="3"/>
      <c r="K82" s="3"/>
      <c r="L82" s="3"/>
      <c r="M82" s="3"/>
    </row>
    <row r="83" spans="1:256">
      <c r="A83" s="92" t="s">
        <v>371</v>
      </c>
      <c r="B83" s="31">
        <f>'Testing Dashboard'!C28</f>
        <v>15</v>
      </c>
      <c r="C83" s="31">
        <f>B83</f>
        <v>15</v>
      </c>
      <c r="D83" s="31">
        <f t="shared" ref="D83:M83" si="0">C83</f>
        <v>15</v>
      </c>
      <c r="E83" s="31">
        <f t="shared" si="0"/>
        <v>15</v>
      </c>
      <c r="F83" s="31">
        <f t="shared" si="0"/>
        <v>15</v>
      </c>
      <c r="G83" s="31">
        <f t="shared" si="0"/>
        <v>15</v>
      </c>
      <c r="H83" s="31">
        <f t="shared" si="0"/>
        <v>15</v>
      </c>
      <c r="I83" s="31">
        <f t="shared" si="0"/>
        <v>15</v>
      </c>
      <c r="J83" s="31">
        <f t="shared" si="0"/>
        <v>15</v>
      </c>
      <c r="K83" s="31">
        <f t="shared" si="0"/>
        <v>15</v>
      </c>
      <c r="L83" s="31">
        <f t="shared" si="0"/>
        <v>15</v>
      </c>
      <c r="M83" s="31">
        <f t="shared" si="0"/>
        <v>15</v>
      </c>
    </row>
    <row r="84" spans="1:256">
      <c r="A84" s="92" t="s">
        <v>372</v>
      </c>
      <c r="B84" s="31">
        <f>'Testing Dashboard'!C29</f>
        <v>10</v>
      </c>
      <c r="C84" s="31">
        <f>B84</f>
        <v>10</v>
      </c>
      <c r="D84" s="31">
        <f t="shared" ref="D84:M84" si="1">C84</f>
        <v>10</v>
      </c>
      <c r="E84" s="31">
        <f t="shared" si="1"/>
        <v>10</v>
      </c>
      <c r="F84" s="31">
        <f t="shared" si="1"/>
        <v>10</v>
      </c>
      <c r="G84" s="31">
        <f t="shared" si="1"/>
        <v>10</v>
      </c>
      <c r="H84" s="31">
        <f t="shared" si="1"/>
        <v>10</v>
      </c>
      <c r="I84" s="31">
        <f t="shared" si="1"/>
        <v>10</v>
      </c>
      <c r="J84" s="31">
        <f t="shared" si="1"/>
        <v>10</v>
      </c>
      <c r="K84" s="31">
        <f t="shared" si="1"/>
        <v>10</v>
      </c>
      <c r="L84" s="31">
        <f t="shared" si="1"/>
        <v>10</v>
      </c>
      <c r="M84" s="31">
        <f t="shared" si="1"/>
        <v>10</v>
      </c>
    </row>
    <row r="85" spans="1:256">
      <c r="A85" s="37" t="s">
        <v>279</v>
      </c>
      <c r="B85" s="3"/>
      <c r="C85" s="3"/>
      <c r="D85" s="3"/>
      <c r="E85" s="3"/>
      <c r="F85" s="3"/>
      <c r="G85" s="3"/>
      <c r="H85" s="3"/>
      <c r="J85" s="3"/>
      <c r="K85" s="3"/>
      <c r="L85" s="3"/>
      <c r="M85" s="3"/>
    </row>
    <row r="86" spans="1:256">
      <c r="A86" s="92" t="s">
        <v>371</v>
      </c>
      <c r="B86" s="31">
        <v>3</v>
      </c>
      <c r="C86" s="31">
        <v>3</v>
      </c>
      <c r="D86" s="31">
        <v>3</v>
      </c>
      <c r="E86" s="31">
        <v>3</v>
      </c>
      <c r="F86" s="31">
        <v>3</v>
      </c>
      <c r="G86" s="31">
        <v>3</v>
      </c>
      <c r="H86" s="31">
        <v>3</v>
      </c>
      <c r="I86" s="31">
        <v>3</v>
      </c>
      <c r="J86" s="31">
        <v>3</v>
      </c>
      <c r="K86" s="31">
        <v>3</v>
      </c>
      <c r="L86" s="31">
        <v>3</v>
      </c>
      <c r="M86" s="31">
        <v>3</v>
      </c>
    </row>
    <row r="87" spans="1:256">
      <c r="A87" s="92" t="s">
        <v>372</v>
      </c>
      <c r="B87" s="31">
        <v>1</v>
      </c>
      <c r="C87" s="31">
        <v>1</v>
      </c>
      <c r="D87" s="31">
        <v>1</v>
      </c>
      <c r="E87" s="31">
        <v>1</v>
      </c>
      <c r="F87" s="31">
        <v>1</v>
      </c>
      <c r="G87" s="31">
        <v>1</v>
      </c>
      <c r="H87" s="31">
        <v>1</v>
      </c>
      <c r="I87" s="31">
        <v>1</v>
      </c>
      <c r="J87" s="31">
        <v>1</v>
      </c>
      <c r="K87" s="31">
        <v>1</v>
      </c>
      <c r="L87" s="31">
        <v>1</v>
      </c>
      <c r="M87" s="31">
        <v>1</v>
      </c>
    </row>
    <row r="88" spans="1:256">
      <c r="A88" s="37" t="s">
        <v>290</v>
      </c>
      <c r="B88" s="31">
        <f>'Testing Dashboard'!C30</f>
        <v>95</v>
      </c>
      <c r="C88" s="31">
        <f>B88</f>
        <v>95</v>
      </c>
      <c r="D88" s="31">
        <f t="shared" ref="D88:M88" si="2">C88</f>
        <v>95</v>
      </c>
      <c r="E88" s="31">
        <f t="shared" si="2"/>
        <v>95</v>
      </c>
      <c r="F88" s="31">
        <f t="shared" si="2"/>
        <v>95</v>
      </c>
      <c r="G88" s="31">
        <f t="shared" si="2"/>
        <v>95</v>
      </c>
      <c r="H88" s="31">
        <f t="shared" si="2"/>
        <v>95</v>
      </c>
      <c r="I88" s="31">
        <f t="shared" si="2"/>
        <v>95</v>
      </c>
      <c r="J88" s="31">
        <f t="shared" si="2"/>
        <v>95</v>
      </c>
      <c r="K88" s="31">
        <f t="shared" si="2"/>
        <v>95</v>
      </c>
      <c r="L88" s="31">
        <f t="shared" si="2"/>
        <v>95</v>
      </c>
      <c r="M88" s="31">
        <f t="shared" si="2"/>
        <v>95</v>
      </c>
    </row>
    <row r="89" spans="1:256">
      <c r="A89" s="37" t="s">
        <v>291</v>
      </c>
      <c r="B89" s="31">
        <v>1</v>
      </c>
      <c r="C89" s="31">
        <v>1</v>
      </c>
      <c r="D89" s="31">
        <v>1</v>
      </c>
      <c r="E89" s="31">
        <v>1</v>
      </c>
      <c r="F89" s="31">
        <v>1</v>
      </c>
      <c r="G89" s="31">
        <v>1</v>
      </c>
      <c r="H89" s="31">
        <v>1</v>
      </c>
      <c r="I89" s="31">
        <v>1</v>
      </c>
      <c r="J89" s="31">
        <v>1</v>
      </c>
      <c r="K89" s="31">
        <v>1</v>
      </c>
      <c r="L89" s="31">
        <v>1</v>
      </c>
      <c r="M89" s="31">
        <v>1</v>
      </c>
    </row>
    <row r="90" spans="1:256">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c r="DS90" s="37"/>
      <c r="DT90" s="37"/>
      <c r="DU90" s="37"/>
      <c r="DV90" s="37"/>
      <c r="DW90" s="37"/>
      <c r="DX90" s="37"/>
      <c r="DY90" s="37"/>
      <c r="DZ90" s="37"/>
      <c r="EA90" s="37"/>
      <c r="EB90" s="37"/>
      <c r="EC90" s="37"/>
      <c r="ED90" s="37"/>
      <c r="EE90" s="37"/>
      <c r="EF90" s="37"/>
      <c r="EG90" s="37"/>
      <c r="EH90" s="37"/>
      <c r="EI90" s="37"/>
      <c r="EJ90" s="37"/>
      <c r="EK90" s="37"/>
      <c r="EL90" s="37"/>
      <c r="EM90" s="37"/>
      <c r="EN90" s="37"/>
      <c r="EO90" s="37"/>
      <c r="EP90" s="37"/>
      <c r="EQ90" s="37"/>
      <c r="ER90" s="37"/>
      <c r="ES90" s="37"/>
      <c r="ET90" s="37"/>
      <c r="EU90" s="37"/>
      <c r="EV90" s="37"/>
      <c r="EW90" s="37"/>
      <c r="EX90" s="37"/>
      <c r="EY90" s="37"/>
      <c r="EZ90" s="37"/>
      <c r="FA90" s="37"/>
      <c r="FB90" s="37"/>
      <c r="FC90" s="37"/>
      <c r="FD90" s="37"/>
      <c r="FE90" s="37"/>
      <c r="FF90" s="37"/>
      <c r="FG90" s="37"/>
      <c r="FH90" s="37"/>
      <c r="FI90" s="37"/>
      <c r="FJ90" s="37"/>
      <c r="FK90" s="37"/>
      <c r="FL90" s="37"/>
      <c r="FM90" s="37"/>
      <c r="FN90" s="37"/>
      <c r="FO90" s="37"/>
      <c r="FP90" s="37"/>
      <c r="FQ90" s="37"/>
      <c r="FR90" s="37"/>
      <c r="FS90" s="37"/>
      <c r="FT90" s="37"/>
      <c r="FU90" s="37"/>
      <c r="FV90" s="37"/>
      <c r="FW90" s="37"/>
      <c r="FX90" s="37"/>
      <c r="FY90" s="37"/>
      <c r="FZ90" s="37"/>
      <c r="GA90" s="37"/>
      <c r="GB90" s="37"/>
      <c r="GC90" s="37"/>
      <c r="GD90" s="37"/>
      <c r="GE90" s="37"/>
      <c r="GF90" s="37"/>
      <c r="GG90" s="37"/>
      <c r="GH90" s="37"/>
      <c r="GI90" s="37"/>
      <c r="GJ90" s="37"/>
      <c r="GK90" s="37"/>
      <c r="GL90" s="37"/>
      <c r="GM90" s="37"/>
      <c r="GN90" s="37"/>
      <c r="GO90" s="37"/>
      <c r="GP90" s="37"/>
      <c r="GQ90" s="37"/>
      <c r="GR90" s="37"/>
      <c r="GS90" s="37"/>
      <c r="GT90" s="37"/>
      <c r="GU90" s="37"/>
      <c r="GV90" s="37"/>
      <c r="GW90" s="37"/>
      <c r="GX90" s="37"/>
      <c r="GY90" s="37"/>
      <c r="GZ90" s="37"/>
      <c r="HA90" s="37"/>
      <c r="HB90" s="37"/>
      <c r="HC90" s="37"/>
      <c r="HD90" s="37"/>
      <c r="HE90" s="37"/>
      <c r="HF90" s="37"/>
      <c r="HG90" s="37"/>
      <c r="HH90" s="37"/>
      <c r="HI90" s="37"/>
      <c r="HJ90" s="37"/>
      <c r="HK90" s="37"/>
      <c r="HL90" s="37"/>
      <c r="HM90" s="37"/>
      <c r="HN90" s="37"/>
      <c r="HO90" s="37"/>
      <c r="HP90" s="37"/>
      <c r="HQ90" s="37"/>
      <c r="HR90" s="37"/>
      <c r="HS90" s="37"/>
      <c r="HT90" s="37"/>
      <c r="HU90" s="37"/>
      <c r="HV90" s="37"/>
      <c r="HW90" s="37"/>
      <c r="HX90" s="37"/>
      <c r="HY90" s="37"/>
      <c r="HZ90" s="37"/>
      <c r="IA90" s="37"/>
      <c r="IB90" s="37"/>
      <c r="IC90" s="37"/>
      <c r="ID90" s="37"/>
      <c r="IE90" s="37"/>
      <c r="IF90" s="37"/>
      <c r="IG90" s="37"/>
      <c r="IH90" s="37"/>
      <c r="II90" s="37"/>
      <c r="IJ90" s="37"/>
      <c r="IK90" s="37"/>
      <c r="IL90" s="37"/>
      <c r="IM90" s="37"/>
      <c r="IN90" s="37"/>
      <c r="IO90" s="37"/>
      <c r="IP90" s="37"/>
      <c r="IQ90" s="37"/>
      <c r="IR90" s="37"/>
      <c r="IS90" s="37"/>
      <c r="IT90" s="37"/>
      <c r="IU90" s="37"/>
      <c r="IV90" s="37"/>
    </row>
    <row r="91" spans="1:256" ht="17">
      <c r="A91" s="91" t="s">
        <v>278</v>
      </c>
      <c r="B91" s="3"/>
      <c r="C91" s="3"/>
      <c r="D91" s="3"/>
      <c r="E91" s="3"/>
      <c r="F91" s="3"/>
      <c r="G91" s="3"/>
      <c r="H91" s="3"/>
      <c r="J91" s="3"/>
      <c r="K91" s="3"/>
      <c r="L91" s="3"/>
      <c r="M91" s="3"/>
    </row>
    <row r="92" spans="1:256" ht="34">
      <c r="A92" s="5" t="s">
        <v>309</v>
      </c>
      <c r="B92" s="31">
        <v>1</v>
      </c>
      <c r="C92" s="3"/>
      <c r="D92" s="3"/>
      <c r="E92" s="3"/>
      <c r="F92" s="3"/>
      <c r="G92" s="3"/>
      <c r="H92" s="3"/>
      <c r="J92" s="3"/>
      <c r="K92" s="3"/>
      <c r="L92" s="3"/>
      <c r="M92" s="3"/>
    </row>
    <row r="93" spans="1:256" ht="51">
      <c r="A93" s="5" t="s">
        <v>306</v>
      </c>
      <c r="B93" s="31">
        <v>100</v>
      </c>
      <c r="C93" s="3"/>
      <c r="D93" s="3"/>
      <c r="E93" s="3"/>
      <c r="F93" s="3"/>
      <c r="G93" s="3"/>
      <c r="H93" s="3"/>
      <c r="J93" s="3"/>
      <c r="K93" s="3"/>
      <c r="L93" s="3"/>
      <c r="M93" s="3"/>
    </row>
    <row r="94" spans="1:256" ht="17">
      <c r="A94" s="5"/>
      <c r="B94" s="5" t="s">
        <v>311</v>
      </c>
      <c r="C94" s="3" t="s">
        <v>310</v>
      </c>
      <c r="D94" s="3"/>
      <c r="E94" s="3"/>
      <c r="F94" s="3"/>
      <c r="G94" s="3"/>
      <c r="H94" s="3"/>
      <c r="J94" s="3"/>
      <c r="K94" s="3"/>
      <c r="L94" s="3"/>
      <c r="M94" s="3"/>
    </row>
    <row r="95" spans="1:256">
      <c r="A95" s="37" t="s">
        <v>377</v>
      </c>
      <c r="B95" s="31">
        <v>25</v>
      </c>
      <c r="C95" s="31">
        <v>0</v>
      </c>
      <c r="D95" s="19"/>
      <c r="E95" s="19"/>
      <c r="F95" s="19"/>
      <c r="G95" s="19"/>
      <c r="H95" s="19"/>
      <c r="I95" s="19"/>
      <c r="J95" s="19"/>
      <c r="K95" s="19"/>
      <c r="L95" s="19"/>
      <c r="M95" s="19"/>
    </row>
    <row r="96" spans="1:256">
      <c r="A96" s="37" t="s">
        <v>378</v>
      </c>
      <c r="B96" s="31">
        <v>15</v>
      </c>
      <c r="C96" s="31">
        <v>0</v>
      </c>
      <c r="D96" s="19"/>
      <c r="E96" s="19"/>
      <c r="F96" s="19"/>
      <c r="G96" s="19"/>
      <c r="H96" s="19"/>
      <c r="I96" s="19"/>
      <c r="J96" s="19"/>
      <c r="K96" s="19"/>
      <c r="L96" s="19"/>
      <c r="M96" s="19"/>
    </row>
    <row r="97" spans="1:13">
      <c r="A97" s="37" t="s">
        <v>379</v>
      </c>
      <c r="B97" s="31">
        <v>10</v>
      </c>
      <c r="C97" s="31">
        <v>0</v>
      </c>
      <c r="D97" s="19"/>
      <c r="E97" s="19"/>
      <c r="F97" s="19"/>
      <c r="G97" s="19"/>
      <c r="H97" s="19"/>
      <c r="I97" s="19"/>
      <c r="J97" s="19"/>
      <c r="K97" s="19"/>
      <c r="L97" s="19"/>
      <c r="M97" s="19"/>
    </row>
    <row r="98" spans="1:13">
      <c r="A98" s="37" t="s">
        <v>380</v>
      </c>
      <c r="B98" s="31">
        <v>5</v>
      </c>
      <c r="C98" s="31">
        <v>0</v>
      </c>
      <c r="D98" s="3"/>
      <c r="E98" s="3"/>
      <c r="F98" s="3"/>
      <c r="G98" s="3"/>
      <c r="H98" s="3"/>
      <c r="J98" s="3"/>
      <c r="K98" s="3"/>
      <c r="L98" s="3"/>
      <c r="M98" s="3"/>
    </row>
    <row r="99" spans="1:13">
      <c r="A99" s="91"/>
      <c r="B99" s="3" t="s">
        <v>26</v>
      </c>
      <c r="C99" s="3" t="s">
        <v>29</v>
      </c>
      <c r="D99" s="3" t="s">
        <v>30</v>
      </c>
      <c r="E99" s="3" t="s">
        <v>33</v>
      </c>
      <c r="F99" s="3" t="s">
        <v>34</v>
      </c>
      <c r="G99" s="3" t="s">
        <v>35</v>
      </c>
      <c r="H99" s="3" t="s">
        <v>36</v>
      </c>
      <c r="I99" s="3" t="s">
        <v>37</v>
      </c>
      <c r="J99" s="3" t="s">
        <v>27</v>
      </c>
      <c r="K99" s="3" t="s">
        <v>32</v>
      </c>
      <c r="L99" s="3" t="s">
        <v>28</v>
      </c>
      <c r="M99" s="3" t="s">
        <v>31</v>
      </c>
    </row>
    <row r="100" spans="1:13">
      <c r="A100" s="37" t="s">
        <v>290</v>
      </c>
      <c r="B100" s="31">
        <v>95</v>
      </c>
      <c r="C100" s="31">
        <v>95</v>
      </c>
      <c r="D100" s="31">
        <v>95</v>
      </c>
      <c r="E100" s="31">
        <v>95</v>
      </c>
      <c r="F100" s="31">
        <v>95</v>
      </c>
      <c r="G100" s="31">
        <v>95</v>
      </c>
      <c r="H100" s="31">
        <v>95</v>
      </c>
      <c r="I100" s="31">
        <v>95</v>
      </c>
      <c r="J100" s="31">
        <v>95</v>
      </c>
      <c r="K100" s="31">
        <v>95</v>
      </c>
      <c r="L100" s="31">
        <v>95</v>
      </c>
      <c r="M100" s="31">
        <v>95</v>
      </c>
    </row>
    <row r="101" spans="1:13">
      <c r="A101" s="37" t="s">
        <v>291</v>
      </c>
      <c r="B101" s="31">
        <v>1</v>
      </c>
      <c r="C101" s="31">
        <v>1</v>
      </c>
      <c r="D101" s="31">
        <v>1</v>
      </c>
      <c r="E101" s="31">
        <v>1</v>
      </c>
      <c r="F101" s="31">
        <v>1</v>
      </c>
      <c r="G101" s="31">
        <v>1</v>
      </c>
      <c r="H101" s="31">
        <v>1</v>
      </c>
      <c r="I101" s="31">
        <v>1</v>
      </c>
      <c r="J101" s="31">
        <v>1</v>
      </c>
      <c r="K101" s="31">
        <v>1</v>
      </c>
      <c r="L101" s="31">
        <v>1</v>
      </c>
      <c r="M101" s="31">
        <v>1</v>
      </c>
    </row>
    <row r="102" spans="1:13">
      <c r="A102" s="91"/>
      <c r="B102" s="3"/>
      <c r="C102" s="3"/>
      <c r="D102" s="3"/>
      <c r="E102" s="3"/>
      <c r="F102" s="3"/>
      <c r="G102" s="3"/>
      <c r="H102" s="3"/>
      <c r="J102" s="3"/>
      <c r="K102" s="3"/>
      <c r="L102" s="3"/>
      <c r="M102" s="3"/>
    </row>
    <row r="103" spans="1:13" ht="17">
      <c r="A103" s="91" t="s">
        <v>293</v>
      </c>
    </row>
    <row r="104" spans="1:13">
      <c r="A104" s="37" t="s">
        <v>294</v>
      </c>
      <c r="B104" s="31">
        <v>100</v>
      </c>
      <c r="I104"/>
    </row>
    <row r="105" spans="1:13">
      <c r="A105" s="91"/>
      <c r="B105" s="3" t="s">
        <v>26</v>
      </c>
      <c r="C105" s="3" t="s">
        <v>29</v>
      </c>
      <c r="D105" s="3" t="s">
        <v>30</v>
      </c>
      <c r="E105" s="3" t="s">
        <v>33</v>
      </c>
      <c r="F105" s="3" t="s">
        <v>34</v>
      </c>
      <c r="G105" s="3" t="s">
        <v>35</v>
      </c>
      <c r="H105" s="3" t="s">
        <v>36</v>
      </c>
      <c r="I105" s="3" t="s">
        <v>37</v>
      </c>
      <c r="J105" s="3" t="s">
        <v>27</v>
      </c>
      <c r="K105" s="3" t="s">
        <v>32</v>
      </c>
      <c r="L105" s="3" t="s">
        <v>28</v>
      </c>
      <c r="M105" s="3" t="s">
        <v>31</v>
      </c>
    </row>
    <row r="106" spans="1:13">
      <c r="A106" s="37" t="s">
        <v>377</v>
      </c>
      <c r="B106" s="31">
        <v>15</v>
      </c>
      <c r="C106" s="31">
        <v>15</v>
      </c>
      <c r="D106" s="31">
        <v>15</v>
      </c>
      <c r="E106" s="31">
        <v>15</v>
      </c>
      <c r="F106" s="31">
        <v>15</v>
      </c>
      <c r="G106" s="31">
        <v>15</v>
      </c>
      <c r="H106" s="31">
        <v>15</v>
      </c>
      <c r="I106" s="31">
        <v>15</v>
      </c>
      <c r="J106" s="31">
        <v>15</v>
      </c>
      <c r="K106" s="31">
        <v>15</v>
      </c>
      <c r="L106" s="31">
        <v>15</v>
      </c>
      <c r="M106" s="31">
        <v>15</v>
      </c>
    </row>
    <row r="107" spans="1:13">
      <c r="A107" s="37" t="s">
        <v>378</v>
      </c>
      <c r="B107" s="31">
        <v>10</v>
      </c>
      <c r="C107" s="31">
        <v>10</v>
      </c>
      <c r="D107" s="31">
        <v>10</v>
      </c>
      <c r="E107" s="31">
        <v>10</v>
      </c>
      <c r="F107" s="31">
        <v>10</v>
      </c>
      <c r="G107" s="31">
        <v>10</v>
      </c>
      <c r="H107" s="31">
        <v>10</v>
      </c>
      <c r="I107" s="31">
        <v>10</v>
      </c>
      <c r="J107" s="31">
        <v>10</v>
      </c>
      <c r="K107" s="31">
        <v>10</v>
      </c>
      <c r="L107" s="31">
        <v>10</v>
      </c>
      <c r="M107" s="31">
        <v>10</v>
      </c>
    </row>
    <row r="108" spans="1:13">
      <c r="A108" s="37" t="s">
        <v>379</v>
      </c>
      <c r="B108" s="31">
        <v>2</v>
      </c>
      <c r="C108" s="31">
        <v>2</v>
      </c>
      <c r="D108" s="31">
        <v>2</v>
      </c>
      <c r="E108" s="31">
        <v>2</v>
      </c>
      <c r="F108" s="31">
        <v>2</v>
      </c>
      <c r="G108" s="31">
        <v>2</v>
      </c>
      <c r="H108" s="31">
        <v>2</v>
      </c>
      <c r="I108" s="31">
        <v>2</v>
      </c>
      <c r="J108" s="31">
        <v>2</v>
      </c>
      <c r="K108" s="31">
        <v>2</v>
      </c>
      <c r="L108" s="31">
        <v>2</v>
      </c>
      <c r="M108" s="31">
        <v>2</v>
      </c>
    </row>
    <row r="109" spans="1:13">
      <c r="A109" s="37" t="s">
        <v>380</v>
      </c>
      <c r="B109" s="31">
        <v>1</v>
      </c>
      <c r="C109" s="31">
        <v>1</v>
      </c>
      <c r="D109" s="31">
        <v>1</v>
      </c>
      <c r="E109" s="31">
        <v>1</v>
      </c>
      <c r="F109" s="31">
        <v>1</v>
      </c>
      <c r="G109" s="31">
        <v>1</v>
      </c>
      <c r="H109" s="31">
        <v>1</v>
      </c>
      <c r="I109" s="31">
        <v>1</v>
      </c>
      <c r="J109" s="31">
        <v>1</v>
      </c>
      <c r="K109" s="31">
        <v>1</v>
      </c>
      <c r="L109" s="31">
        <v>1</v>
      </c>
      <c r="M109" s="31">
        <v>1</v>
      </c>
    </row>
  </sheetData>
  <phoneticPr fontId="3" type="noConversion"/>
  <pageMargins left="0.75" right="0.75" top="1" bottom="1" header="0.5" footer="0.5"/>
  <pageSetup scale="28" orientation="portrait"/>
  <headerFooter alignWithMargins="0"/>
  <rowBreaks count="1" manualBreakCount="1">
    <brk id="54" max="20" man="1"/>
  </rowBreaks>
  <colBreaks count="1" manualBreakCount="1">
    <brk id="21" max="109" man="1"/>
  </colBreaks>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29"/>
  <sheetViews>
    <sheetView zoomScale="117" zoomScaleNormal="100" workbookViewId="0">
      <pane xSplit="1" ySplit="2" topLeftCell="B100" activePane="bottomRight" state="frozen"/>
      <selection pane="topRight" activeCell="B1" sqref="B1"/>
      <selection pane="bottomLeft" activeCell="A5" sqref="A5"/>
      <selection pane="bottomRight" activeCell="Q122" sqref="Q122"/>
    </sheetView>
  </sheetViews>
  <sheetFormatPr baseColWidth="10" defaultColWidth="16.59765625" defaultRowHeight="16"/>
  <cols>
    <col min="1" max="1" width="70.796875" style="3" customWidth="1"/>
    <col min="2" max="2" width="23.796875" style="3" customWidth="1"/>
    <col min="3" max="3" width="16.59765625" style="3" customWidth="1"/>
    <col min="4" max="4" width="17.3984375" style="3" customWidth="1"/>
    <col min="5" max="5" width="22.19921875" style="3" customWidth="1"/>
    <col min="6" max="16384" width="16.59765625" style="3"/>
  </cols>
  <sheetData>
    <row r="1" spans="1:38">
      <c r="A1" s="30" t="s">
        <v>8</v>
      </c>
    </row>
    <row r="2" spans="1:38" s="16" customFormat="1" ht="29.25" customHeight="1">
      <c r="A2" s="14"/>
      <c r="B2" s="14" t="str">
        <f>Data!B3</f>
        <v>All Banks</v>
      </c>
      <c r="C2" s="14" t="str">
        <f>Data!C3</f>
        <v>State Owned (SB)</v>
      </c>
      <c r="D2" s="14" t="str">
        <f>Data!D3</f>
        <v>Domestic Private (DB)</v>
      </c>
      <c r="E2" s="14" t="str">
        <f>Data!E3</f>
        <v>Foreign (FB)</v>
      </c>
      <c r="F2" s="15" t="str">
        <f>Data!F3</f>
        <v>SB1</v>
      </c>
      <c r="G2" s="15" t="str">
        <f>Data!G3</f>
        <v>SB2</v>
      </c>
      <c r="H2" s="15" t="str">
        <f>Data!H3</f>
        <v>SB3</v>
      </c>
      <c r="I2" s="15" t="str">
        <f>Data!I3</f>
        <v>DB1</v>
      </c>
      <c r="J2" s="15" t="str">
        <f>Data!J3</f>
        <v>DB2</v>
      </c>
      <c r="K2" s="15" t="str">
        <f>Data!K3</f>
        <v>DB3</v>
      </c>
      <c r="L2" s="15" t="str">
        <f>Data!L3</f>
        <v>DB4</v>
      </c>
      <c r="M2" s="15" t="str">
        <f>Data!M3</f>
        <v>DB5</v>
      </c>
      <c r="N2" s="15" t="str">
        <f>Data!N3</f>
        <v>FB1</v>
      </c>
      <c r="O2" s="15" t="str">
        <f>Data!O3</f>
        <v>FB2</v>
      </c>
      <c r="P2" s="15" t="str">
        <f>Data!P3</f>
        <v>FB3</v>
      </c>
      <c r="Q2" s="15" t="str">
        <f>Data!Q3</f>
        <v>FB4</v>
      </c>
      <c r="S2" s="17"/>
      <c r="T2" s="17"/>
      <c r="U2" s="17"/>
      <c r="V2" s="17"/>
      <c r="W2" s="17"/>
      <c r="X2" s="17"/>
      <c r="Y2" s="17"/>
      <c r="Z2" s="17"/>
      <c r="AA2" s="17"/>
      <c r="AB2" s="17"/>
      <c r="AC2" s="17"/>
      <c r="AD2" s="17"/>
      <c r="AE2" s="17"/>
      <c r="AF2" s="17"/>
      <c r="AG2" s="17"/>
      <c r="AH2" s="17"/>
      <c r="AI2" s="17"/>
      <c r="AJ2" s="17"/>
      <c r="AK2" s="17"/>
      <c r="AL2" s="17"/>
    </row>
    <row r="3" spans="1:38" ht="15" customHeight="1">
      <c r="A3" s="29" t="s">
        <v>420</v>
      </c>
    </row>
    <row r="4" spans="1:38" ht="15" customHeight="1">
      <c r="A4" s="3" t="s">
        <v>44</v>
      </c>
      <c r="B4" s="19">
        <f>Data!B8</f>
        <v>71444.894114847557</v>
      </c>
      <c r="C4" s="19">
        <f>Data!C8</f>
        <v>14627.461380355533</v>
      </c>
      <c r="D4" s="19">
        <f>Data!D8</f>
        <v>9981.075021204113</v>
      </c>
      <c r="E4" s="19">
        <f>Data!E8</f>
        <v>46836.357713287915</v>
      </c>
      <c r="F4" s="19">
        <f>Data!F8</f>
        <v>1591.8733035051191</v>
      </c>
      <c r="G4" s="19">
        <f>Data!G8</f>
        <v>2315.0706472504162</v>
      </c>
      <c r="H4" s="19">
        <f>Data!H8</f>
        <v>10720.517429599999</v>
      </c>
      <c r="I4" s="19">
        <f>Data!I8</f>
        <v>304.00639810339652</v>
      </c>
      <c r="J4" s="19">
        <f>Data!J8</f>
        <v>1020.805726497528</v>
      </c>
      <c r="K4" s="19">
        <f>Data!K8</f>
        <v>3854.7102397220365</v>
      </c>
      <c r="L4" s="19">
        <f>Data!L8</f>
        <v>1401.8883999999998</v>
      </c>
      <c r="M4" s="19">
        <f>Data!M8</f>
        <v>3399.6642568811517</v>
      </c>
      <c r="N4" s="19">
        <f>Data!N8</f>
        <v>10937.328100000002</v>
      </c>
      <c r="O4" s="19">
        <f>Data!O8</f>
        <v>15622.086799999999</v>
      </c>
      <c r="P4" s="19">
        <f>Data!P8</f>
        <v>3111.7515000000003</v>
      </c>
      <c r="Q4" s="19">
        <f>Data!Q8</f>
        <v>17165.191313287916</v>
      </c>
    </row>
    <row r="5" spans="1:38" ht="15" customHeight="1">
      <c r="A5" s="64" t="s">
        <v>80</v>
      </c>
      <c r="B5" s="19">
        <f>Data!B36</f>
        <v>57463.499125315167</v>
      </c>
      <c r="C5" s="19">
        <f>Data!C36</f>
        <v>12699.679100000001</v>
      </c>
      <c r="D5" s="19">
        <f>Data!D36</f>
        <v>9455.4190999999992</v>
      </c>
      <c r="E5" s="19">
        <f>Data!E36</f>
        <v>35308.400925315167</v>
      </c>
      <c r="F5" s="19">
        <f>Data!F36</f>
        <v>1098.712</v>
      </c>
      <c r="G5" s="19">
        <f>Data!G36</f>
        <v>1944.6608000000001</v>
      </c>
      <c r="H5" s="19">
        <f>Data!H36</f>
        <v>9656.3063000000002</v>
      </c>
      <c r="I5" s="19">
        <f>Data!I36</f>
        <v>262.24370000000005</v>
      </c>
      <c r="J5" s="19">
        <f>Data!J36</f>
        <v>950.4668999999999</v>
      </c>
      <c r="K5" s="19">
        <f>Data!K36</f>
        <v>3750.8381000000004</v>
      </c>
      <c r="L5" s="19">
        <f>Data!L36</f>
        <v>1135.3114</v>
      </c>
      <c r="M5" s="19">
        <f>Data!M36</f>
        <v>3356.5590000000002</v>
      </c>
      <c r="N5" s="19">
        <f>Data!N36</f>
        <v>10330.583100000002</v>
      </c>
      <c r="O5" s="19">
        <f>Data!O36</f>
        <v>15300.713800000001</v>
      </c>
      <c r="P5" s="19">
        <f>Data!P36</f>
        <v>2811.0275000000001</v>
      </c>
      <c r="Q5" s="19">
        <f>Data!Q36</f>
        <v>6866.0765253151676</v>
      </c>
    </row>
    <row r="6" spans="1:38" ht="15" customHeight="1">
      <c r="A6" s="63" t="s">
        <v>81</v>
      </c>
      <c r="B6" s="19">
        <f>Data!B37</f>
        <v>52170.082568481397</v>
      </c>
      <c r="C6" s="19">
        <f>Data!C37</f>
        <v>11849.650099999999</v>
      </c>
      <c r="D6" s="19">
        <f>Data!D37</f>
        <v>8793.7420999999995</v>
      </c>
      <c r="E6" s="19">
        <f>Data!E37</f>
        <v>31526.690368481399</v>
      </c>
      <c r="F6" s="19">
        <f>Data!F37</f>
        <v>970</v>
      </c>
      <c r="G6" s="19">
        <f>Data!G37</f>
        <v>1628.4268000000002</v>
      </c>
      <c r="H6" s="19">
        <f>Data!H37</f>
        <v>9251.2232999999997</v>
      </c>
      <c r="I6" s="19">
        <f>Data!I37</f>
        <v>240.32470000000006</v>
      </c>
      <c r="J6" s="19">
        <f>Data!J37</f>
        <v>610.59789999999987</v>
      </c>
      <c r="K6" s="19">
        <f>Data!K37</f>
        <v>3634.7421000000004</v>
      </c>
      <c r="L6" s="19">
        <f>Data!L37</f>
        <v>954.51839999999993</v>
      </c>
      <c r="M6" s="19">
        <f>Data!M37</f>
        <v>3353.5590000000002</v>
      </c>
      <c r="N6" s="19">
        <f>Data!N37</f>
        <v>9583.8721000000023</v>
      </c>
      <c r="O6" s="19">
        <f>Data!O37</f>
        <v>15283.683800000001</v>
      </c>
      <c r="P6" s="19">
        <f>Data!P37</f>
        <v>1853.0655000000002</v>
      </c>
      <c r="Q6" s="19">
        <f>Data!Q37</f>
        <v>4806.068968481396</v>
      </c>
    </row>
    <row r="7" spans="1:38" ht="15" customHeight="1">
      <c r="A7" s="63" t="s">
        <v>82</v>
      </c>
      <c r="B7" s="19">
        <f>Data!B38</f>
        <v>5293.4165568337721</v>
      </c>
      <c r="C7" s="19">
        <f>Data!C38</f>
        <v>850.029</v>
      </c>
      <c r="D7" s="19">
        <f>Data!D38</f>
        <v>661.67700000000002</v>
      </c>
      <c r="E7" s="19">
        <f>Data!E38</f>
        <v>3781.7105568337715</v>
      </c>
      <c r="F7" s="19">
        <f>Data!F38</f>
        <v>128.71199999999999</v>
      </c>
      <c r="G7" s="19">
        <f>Data!G38</f>
        <v>316.23399999999998</v>
      </c>
      <c r="H7" s="19">
        <f>Data!H38</f>
        <v>405.08300000000003</v>
      </c>
      <c r="I7" s="19">
        <f>Data!I38</f>
        <v>21.919</v>
      </c>
      <c r="J7" s="19">
        <f>Data!J38</f>
        <v>339.86900000000003</v>
      </c>
      <c r="K7" s="19">
        <f>Data!K38</f>
        <v>116.096</v>
      </c>
      <c r="L7" s="19">
        <f>Data!L38</f>
        <v>180.79300000000001</v>
      </c>
      <c r="M7" s="19">
        <f>Data!M38</f>
        <v>3</v>
      </c>
      <c r="N7" s="19">
        <f>Data!N38</f>
        <v>746.71100000000001</v>
      </c>
      <c r="O7" s="19">
        <f>Data!O38</f>
        <v>17.03</v>
      </c>
      <c r="P7" s="19">
        <f>Data!P38</f>
        <v>957.96199999999999</v>
      </c>
      <c r="Q7" s="19">
        <f>Data!Q38</f>
        <v>2060.0075568337716</v>
      </c>
    </row>
    <row r="8" spans="1:38" ht="17">
      <c r="A8" s="64" t="s">
        <v>21</v>
      </c>
      <c r="B8" s="19">
        <f>Data!B39</f>
        <v>18978.846787972754</v>
      </c>
      <c r="C8" s="19">
        <f>Data!C39</f>
        <v>4443.47</v>
      </c>
      <c r="D8" s="19">
        <f>Data!D39</f>
        <v>1267.5160000000001</v>
      </c>
      <c r="E8" s="19">
        <f>Data!E39</f>
        <v>13267.860787972753</v>
      </c>
      <c r="F8" s="19">
        <f>Data!F39</f>
        <v>1013.8779999999999</v>
      </c>
      <c r="G8" s="19">
        <f>Data!G39</f>
        <v>736.22800000000007</v>
      </c>
      <c r="H8" s="19">
        <f>Data!H39</f>
        <v>2693.364</v>
      </c>
      <c r="I8" s="19">
        <f>Data!I39</f>
        <v>54.353999999999999</v>
      </c>
      <c r="J8" s="19">
        <f>Data!J39</f>
        <v>389.34200000000004</v>
      </c>
      <c r="K8" s="19">
        <f>Data!K39</f>
        <v>225.363</v>
      </c>
      <c r="L8" s="19">
        <f>Data!L39</f>
        <v>421.45699999999999</v>
      </c>
      <c r="M8" s="19">
        <f>Data!M39</f>
        <v>177</v>
      </c>
      <c r="N8" s="19">
        <f>Data!N39</f>
        <v>1006.393</v>
      </c>
      <c r="O8" s="19">
        <f>Data!O39</f>
        <v>1233.277</v>
      </c>
      <c r="P8" s="19">
        <f>Data!P39</f>
        <v>729.07600000000002</v>
      </c>
      <c r="Q8" s="19">
        <f>Data!Q39</f>
        <v>10299.114787972752</v>
      </c>
    </row>
    <row r="9" spans="1:38" ht="17">
      <c r="A9" s="63" t="s">
        <v>83</v>
      </c>
      <c r="B9" s="19">
        <f>Data!B40</f>
        <v>7507.2820705180429</v>
      </c>
      <c r="C9" s="19">
        <f>Data!C40</f>
        <v>280.72800000000001</v>
      </c>
      <c r="D9" s="19">
        <f>Data!D40</f>
        <v>426.423</v>
      </c>
      <c r="E9" s="19">
        <f>Data!E40</f>
        <v>6800.1310705180431</v>
      </c>
      <c r="F9" s="19">
        <f>Data!F40</f>
        <v>111.048</v>
      </c>
      <c r="G9" s="19">
        <f>Data!G40</f>
        <v>54.316000000000003</v>
      </c>
      <c r="H9" s="19">
        <f>Data!H40</f>
        <v>115.364</v>
      </c>
      <c r="I9" s="19">
        <f>Data!I40</f>
        <v>54.353999999999999</v>
      </c>
      <c r="J9" s="19">
        <f>Data!J40</f>
        <v>18.893000000000001</v>
      </c>
      <c r="K9" s="19">
        <f>Data!K40</f>
        <v>0.17599999999999999</v>
      </c>
      <c r="L9" s="19">
        <f>Data!L40</f>
        <v>352</v>
      </c>
      <c r="M9" s="19">
        <f>Data!M40</f>
        <v>1</v>
      </c>
      <c r="N9" s="19">
        <f>Data!N40</f>
        <v>721</v>
      </c>
      <c r="O9" s="19">
        <f>Data!O40</f>
        <v>214.27699999999999</v>
      </c>
      <c r="P9" s="19">
        <f>Data!P40</f>
        <v>243.876</v>
      </c>
      <c r="Q9" s="19">
        <f>Data!Q40</f>
        <v>5620.9780705180428</v>
      </c>
    </row>
    <row r="10" spans="1:38" ht="17">
      <c r="A10" s="63" t="s">
        <v>84</v>
      </c>
      <c r="B10" s="19">
        <f>Data!B41</f>
        <v>2874.7501734281195</v>
      </c>
      <c r="C10" s="19">
        <f>Data!C41</f>
        <v>511.93299999999999</v>
      </c>
      <c r="D10" s="19">
        <f>Data!D41</f>
        <v>489.82</v>
      </c>
      <c r="E10" s="19">
        <f>Data!E41</f>
        <v>1872.9971734281198</v>
      </c>
      <c r="F10" s="19">
        <f>Data!F41</f>
        <v>456</v>
      </c>
      <c r="G10" s="19">
        <f>Data!G41</f>
        <v>55.933</v>
      </c>
      <c r="H10" s="19">
        <f>Data!H41</f>
        <v>0</v>
      </c>
      <c r="I10" s="19">
        <f>Data!I41</f>
        <v>0</v>
      </c>
      <c r="J10" s="19">
        <f>Data!J41</f>
        <v>80.176000000000002</v>
      </c>
      <c r="K10" s="19">
        <f>Data!K41</f>
        <v>225.18700000000001</v>
      </c>
      <c r="L10" s="19">
        <f>Data!L41</f>
        <v>69.456999999999994</v>
      </c>
      <c r="M10" s="19">
        <f>Data!M41</f>
        <v>115</v>
      </c>
      <c r="N10" s="19">
        <f>Data!N41</f>
        <v>282</v>
      </c>
      <c r="O10" s="19">
        <f>Data!O41</f>
        <v>262</v>
      </c>
      <c r="P10" s="19">
        <f>Data!P41</f>
        <v>322</v>
      </c>
      <c r="Q10" s="19">
        <f>Data!Q41</f>
        <v>1006.9971734281197</v>
      </c>
    </row>
    <row r="11" spans="1:38" ht="17">
      <c r="A11" s="63" t="s">
        <v>85</v>
      </c>
      <c r="B11" s="19">
        <f>Data!B42</f>
        <v>8596.8145440265889</v>
      </c>
      <c r="C11" s="19">
        <f>Data!C42</f>
        <v>3650.8090000000002</v>
      </c>
      <c r="D11" s="19">
        <f>Data!D42</f>
        <v>351.27300000000002</v>
      </c>
      <c r="E11" s="19">
        <f>Data!E42</f>
        <v>4594.7325440265886</v>
      </c>
      <c r="F11" s="19">
        <f>Data!F42</f>
        <v>446.83</v>
      </c>
      <c r="G11" s="19">
        <f>Data!G42</f>
        <v>625.97900000000004</v>
      </c>
      <c r="H11" s="19">
        <f>Data!H42</f>
        <v>2578</v>
      </c>
      <c r="I11" s="19">
        <f>Data!I42</f>
        <v>0</v>
      </c>
      <c r="J11" s="19">
        <f>Data!J42</f>
        <v>290.27300000000002</v>
      </c>
      <c r="K11" s="19">
        <f>Data!K42</f>
        <v>0</v>
      </c>
      <c r="L11" s="19">
        <f>Data!L42</f>
        <v>0</v>
      </c>
      <c r="M11" s="19">
        <f>Data!M42</f>
        <v>61</v>
      </c>
      <c r="N11" s="19">
        <f>Data!N42</f>
        <v>3.3929999999999998</v>
      </c>
      <c r="O11" s="19">
        <f>Data!O42</f>
        <v>757</v>
      </c>
      <c r="P11" s="19">
        <f>Data!P42</f>
        <v>163.19999999999999</v>
      </c>
      <c r="Q11" s="19">
        <f>Data!Q42</f>
        <v>3671.1395440265887</v>
      </c>
    </row>
    <row r="12" spans="1:38" ht="17">
      <c r="A12" s="64" t="s">
        <v>191</v>
      </c>
      <c r="B12" s="19"/>
      <c r="C12" s="19"/>
      <c r="D12" s="19"/>
      <c r="E12" s="19"/>
      <c r="F12" s="19"/>
      <c r="G12" s="19"/>
      <c r="H12" s="19"/>
      <c r="I12" s="19"/>
      <c r="J12" s="19"/>
      <c r="K12" s="19"/>
      <c r="L12" s="19"/>
      <c r="M12" s="19"/>
      <c r="N12" s="19"/>
      <c r="O12" s="19"/>
      <c r="P12" s="19"/>
      <c r="Q12" s="19"/>
    </row>
    <row r="13" spans="1:38" ht="17">
      <c r="A13" s="63" t="s">
        <v>83</v>
      </c>
      <c r="B13" s="19">
        <f>Data!B45</f>
        <v>2595.3123963137014</v>
      </c>
      <c r="C13" s="19">
        <f>Data!C45</f>
        <v>258.71892480000002</v>
      </c>
      <c r="D13" s="19">
        <f>Data!D45</f>
        <v>127.92689999999999</v>
      </c>
      <c r="E13" s="19">
        <f>Data!E45</f>
        <v>2208.666571513701</v>
      </c>
      <c r="F13" s="19">
        <f>Data!F45</f>
        <v>102.34183680000001</v>
      </c>
      <c r="G13" s="19">
        <f>Data!G45</f>
        <v>50.057625600000001</v>
      </c>
      <c r="H13" s="19">
        <f>Data!H45</f>
        <v>106.31946240000001</v>
      </c>
      <c r="I13" s="19">
        <f>Data!I45</f>
        <v>16.3062</v>
      </c>
      <c r="J13" s="19">
        <f>Data!J45</f>
        <v>5.6679000000000004</v>
      </c>
      <c r="K13" s="19">
        <f>Data!K45</f>
        <v>5.2799999999999993E-2</v>
      </c>
      <c r="L13" s="19">
        <f>Data!L45</f>
        <v>105.6</v>
      </c>
      <c r="M13" s="19">
        <f>Data!M45</f>
        <v>0.3</v>
      </c>
      <c r="N13" s="19">
        <f>Data!N45</f>
        <v>216.3</v>
      </c>
      <c r="O13" s="19">
        <f>Data!O45</f>
        <v>64.28309999999999</v>
      </c>
      <c r="P13" s="19">
        <f>Data!P45</f>
        <v>73.162800000000004</v>
      </c>
      <c r="Q13" s="19">
        <f>Data!Q45</f>
        <v>1854.9206715137011</v>
      </c>
    </row>
    <row r="14" spans="1:38" ht="17">
      <c r="A14" s="63" t="s">
        <v>84</v>
      </c>
      <c r="B14" s="19">
        <f>Data!B46</f>
        <v>1980.1033408881895</v>
      </c>
      <c r="C14" s="19">
        <f>Data!C46</f>
        <v>563.99431679999998</v>
      </c>
      <c r="D14" s="19">
        <f>Data!D46</f>
        <v>146.946</v>
      </c>
      <c r="E14" s="19">
        <f>Data!E46</f>
        <v>1269.1630240881891</v>
      </c>
      <c r="F14" s="19">
        <f>Data!F46</f>
        <v>512.44646399999999</v>
      </c>
      <c r="G14" s="19">
        <f>Data!G46</f>
        <v>51.547852800000001</v>
      </c>
      <c r="H14" s="19">
        <f>Data!H46</f>
        <v>0</v>
      </c>
      <c r="I14" s="19">
        <f>Data!I46</f>
        <v>0</v>
      </c>
      <c r="J14" s="19">
        <f>Data!J46</f>
        <v>24.052800000000001</v>
      </c>
      <c r="K14" s="19">
        <f>Data!K46</f>
        <v>67.556100000000001</v>
      </c>
      <c r="L14" s="19">
        <f>Data!L46</f>
        <v>20.837099999999996</v>
      </c>
      <c r="M14" s="19">
        <f>Data!M46</f>
        <v>34.5</v>
      </c>
      <c r="N14" s="19">
        <f>Data!N46</f>
        <v>84.6</v>
      </c>
      <c r="O14" s="19">
        <f>Data!O46</f>
        <v>78.599999999999994</v>
      </c>
      <c r="P14" s="19">
        <f>Data!P46</f>
        <v>96.6</v>
      </c>
      <c r="Q14" s="19">
        <f>Data!Q46</f>
        <v>1009.3630240881893</v>
      </c>
    </row>
    <row r="15" spans="1:38" ht="17">
      <c r="A15" s="63" t="s">
        <v>85</v>
      </c>
      <c r="B15" s="19">
        <f>Data!B47</f>
        <v>8911.3336037468707</v>
      </c>
      <c r="C15" s="19">
        <f>Data!C47</f>
        <v>3364.5855744</v>
      </c>
      <c r="D15" s="19">
        <f>Data!D47</f>
        <v>105.3819</v>
      </c>
      <c r="E15" s="19">
        <f>Data!E47</f>
        <v>5441.3661293468704</v>
      </c>
      <c r="F15" s="19">
        <f>Data!F47</f>
        <v>411.79852799999992</v>
      </c>
      <c r="G15" s="19">
        <f>Data!G47</f>
        <v>576.90224639999997</v>
      </c>
      <c r="H15" s="19">
        <f>Data!H47</f>
        <v>2375.8848000000003</v>
      </c>
      <c r="I15" s="19">
        <f>Data!I47</f>
        <v>0</v>
      </c>
      <c r="J15" s="19">
        <f>Data!J47</f>
        <v>87.081900000000005</v>
      </c>
      <c r="K15" s="19">
        <f>Data!K47</f>
        <v>0</v>
      </c>
      <c r="L15" s="19">
        <f>Data!L47</f>
        <v>0</v>
      </c>
      <c r="M15" s="19">
        <f>Data!M47</f>
        <v>18.3</v>
      </c>
      <c r="N15" s="19">
        <f>Data!N47</f>
        <v>1.0178999999999998</v>
      </c>
      <c r="O15" s="19">
        <f>Data!O47</f>
        <v>227.1</v>
      </c>
      <c r="P15" s="19">
        <f>Data!P47</f>
        <v>48.96</v>
      </c>
      <c r="Q15" s="19">
        <f>Data!Q47</f>
        <v>5164.2882293468701</v>
      </c>
    </row>
    <row r="16" spans="1:38">
      <c r="A16" s="3" t="s">
        <v>110</v>
      </c>
      <c r="B16" s="19">
        <f>Data!B43</f>
        <v>11216.799073772945</v>
      </c>
      <c r="C16" s="19">
        <f>Data!C43</f>
        <v>2515.6877196444657</v>
      </c>
      <c r="D16" s="19">
        <f>Data!D43</f>
        <v>741.86007879588749</v>
      </c>
      <c r="E16" s="19">
        <f>Data!E43</f>
        <v>7959.2512753325918</v>
      </c>
      <c r="F16" s="19">
        <f>Data!F43</f>
        <v>520.71669649488103</v>
      </c>
      <c r="G16" s="19">
        <f>Data!G43</f>
        <v>365.8181527495841</v>
      </c>
      <c r="H16" s="19">
        <f>Data!H43</f>
        <v>1629.1528704000004</v>
      </c>
      <c r="I16" s="19">
        <f>Data!I43</f>
        <v>12.591301896603518</v>
      </c>
      <c r="J16" s="19">
        <f>Data!J43</f>
        <v>319.00317350247195</v>
      </c>
      <c r="K16" s="19">
        <f>Data!K43</f>
        <v>121.49086027796365</v>
      </c>
      <c r="L16" s="19">
        <f>Data!L43</f>
        <v>154.88</v>
      </c>
      <c r="M16" s="19">
        <f>Data!M43</f>
        <v>133.89474311884837</v>
      </c>
      <c r="N16" s="19">
        <f>Data!N43</f>
        <v>399.64799999999997</v>
      </c>
      <c r="O16" s="19">
        <f>Data!O43</f>
        <v>911.904</v>
      </c>
      <c r="P16" s="19">
        <f>Data!P43</f>
        <v>428.35199999999998</v>
      </c>
      <c r="Q16" s="19">
        <f>Data!Q43</f>
        <v>6219.3472753325923</v>
      </c>
    </row>
    <row r="17" spans="1:17">
      <c r="A17" s="3" t="s">
        <v>132</v>
      </c>
      <c r="B17" s="19">
        <f>Data!B33</f>
        <v>5386.2080602629703</v>
      </c>
      <c r="C17" s="19">
        <f>Data!C33</f>
        <v>507.53374545121051</v>
      </c>
      <c r="D17" s="19">
        <f>Data!D33</f>
        <v>1217.0041642389833</v>
      </c>
      <c r="E17" s="19">
        <f>Data!E33</f>
        <v>3661.6701505727765</v>
      </c>
      <c r="F17" s="19">
        <f>Data!F33</f>
        <v>81.391216683900893</v>
      </c>
      <c r="G17" s="19">
        <f>Data!G33</f>
        <v>65.554295366735005</v>
      </c>
      <c r="H17" s="19">
        <f>Data!H33</f>
        <v>360.58823340057461</v>
      </c>
      <c r="I17" s="19">
        <f>Data!I33</f>
        <v>37.278013959775762</v>
      </c>
      <c r="J17" s="19">
        <f>Data!J33</f>
        <v>2.4504350649233402</v>
      </c>
      <c r="K17" s="19">
        <f>Data!K33</f>
        <v>526.80622271803077</v>
      </c>
      <c r="L17" s="19">
        <f>Data!L33</f>
        <v>56.145302614260117</v>
      </c>
      <c r="M17" s="19">
        <f>Data!M33</f>
        <v>594.32418988199333</v>
      </c>
      <c r="N17" s="19">
        <f>Data!N33</f>
        <v>1663.0387901601134</v>
      </c>
      <c r="O17" s="19">
        <f>Data!O33</f>
        <v>1714.6382806229649</v>
      </c>
      <c r="P17" s="19">
        <f>Data!P33</f>
        <v>283.23607978969812</v>
      </c>
      <c r="Q17" s="19">
        <f>Data!Q33</f>
        <v>0.75700000000000001</v>
      </c>
    </row>
    <row r="18" spans="1:17">
      <c r="A18" s="3" t="s">
        <v>133</v>
      </c>
      <c r="B18" s="19">
        <f>Data!B34</f>
        <v>45789.922258791914</v>
      </c>
      <c r="C18" s="19">
        <f>Data!C34</f>
        <v>10245.630392439874</v>
      </c>
      <c r="D18" s="19">
        <f>Data!D34</f>
        <v>6677.9425870271898</v>
      </c>
      <c r="E18" s="19">
        <f>Data!E34</f>
        <v>28866.349279324852</v>
      </c>
      <c r="F18" s="19">
        <f>Data!F34</f>
        <v>1030.268565618999</v>
      </c>
      <c r="G18" s="19">
        <f>Data!G34</f>
        <v>809.3122884782091</v>
      </c>
      <c r="H18" s="19">
        <f>Data!H34</f>
        <v>8406.049538342666</v>
      </c>
      <c r="I18" s="19">
        <f>Data!I34</f>
        <v>156.12894415322725</v>
      </c>
      <c r="J18" s="19">
        <f>Data!J34</f>
        <v>567.75967977706023</v>
      </c>
      <c r="K18" s="19">
        <f>Data!K34</f>
        <v>3148.4205138715688</v>
      </c>
      <c r="L18" s="19">
        <f>Data!L34</f>
        <v>676.44942908747134</v>
      </c>
      <c r="M18" s="19">
        <f>Data!M34</f>
        <v>2129.1840201378623</v>
      </c>
      <c r="N18" s="19">
        <f>Data!N34</f>
        <v>7755.1184366993966</v>
      </c>
      <c r="O18" s="19">
        <f>Data!O34</f>
        <v>9008.2549172611853</v>
      </c>
      <c r="P18" s="19">
        <f>Data!P34</f>
        <v>2327.621240680282</v>
      </c>
      <c r="Q18" s="19">
        <f>Data!Q34</f>
        <v>9775.3546846839909</v>
      </c>
    </row>
    <row r="19" spans="1:17">
      <c r="A19" s="3" t="s">
        <v>134</v>
      </c>
      <c r="B19" s="47">
        <f>100*B17/B18</f>
        <v>11.762867885692444</v>
      </c>
      <c r="C19" s="47">
        <f t="shared" ref="C19:P19" si="0">100*C17/C18</f>
        <v>4.9536604973151626</v>
      </c>
      <c r="D19" s="47">
        <f t="shared" si="0"/>
        <v>18.224238204790488</v>
      </c>
      <c r="E19" s="47">
        <f t="shared" si="0"/>
        <v>12.684909044578768</v>
      </c>
      <c r="F19" s="47">
        <f t="shared" si="0"/>
        <v>7.8999999999999977</v>
      </c>
      <c r="G19" s="47">
        <f t="shared" si="0"/>
        <v>8.1000000000000085</v>
      </c>
      <c r="H19" s="47">
        <f t="shared" si="0"/>
        <v>4.289627746729507</v>
      </c>
      <c r="I19" s="47">
        <f t="shared" si="0"/>
        <v>23.876427373511582</v>
      </c>
      <c r="J19" s="47">
        <f t="shared" si="0"/>
        <v>0.43159723245679266</v>
      </c>
      <c r="K19" s="47">
        <f t="shared" si="0"/>
        <v>16.732397098703455</v>
      </c>
      <c r="L19" s="47">
        <f t="shared" si="0"/>
        <v>8.2999999999999989</v>
      </c>
      <c r="M19" s="47">
        <f t="shared" si="0"/>
        <v>27.913237383939766</v>
      </c>
      <c r="N19" s="47">
        <f t="shared" si="0"/>
        <v>21.444402219444481</v>
      </c>
      <c r="O19" s="47">
        <f t="shared" si="0"/>
        <v>19.034078146894551</v>
      </c>
      <c r="P19" s="47">
        <f t="shared" si="0"/>
        <v>12.168478051305209</v>
      </c>
      <c r="Q19" s="47">
        <f>100*Q17/Q18</f>
        <v>7.7439645354870487E-3</v>
      </c>
    </row>
    <row r="20" spans="1:17">
      <c r="A20" s="3" t="s">
        <v>46</v>
      </c>
      <c r="B20" s="47">
        <f t="shared" ref="B20:Q20" si="1">100*B8/B4</f>
        <v>26.564315089423026</v>
      </c>
      <c r="C20" s="47">
        <f t="shared" si="1"/>
        <v>30.377588321426131</v>
      </c>
      <c r="D20" s="47">
        <f t="shared" si="1"/>
        <v>12.699193196196289</v>
      </c>
      <c r="E20" s="47">
        <f t="shared" si="1"/>
        <v>28.328122500884685</v>
      </c>
      <c r="F20" s="47">
        <f t="shared" si="1"/>
        <v>63.69087274518386</v>
      </c>
      <c r="G20" s="47">
        <f t="shared" si="1"/>
        <v>31.801534906695391</v>
      </c>
      <c r="H20" s="47">
        <f t="shared" si="1"/>
        <v>25.123451528220635</v>
      </c>
      <c r="I20" s="47">
        <f t="shared" si="1"/>
        <v>17.879228969882895</v>
      </c>
      <c r="J20" s="47">
        <f t="shared" si="1"/>
        <v>38.140655943992975</v>
      </c>
      <c r="K20" s="47">
        <f t="shared" si="1"/>
        <v>5.8464316637260634</v>
      </c>
      <c r="L20" s="47">
        <f t="shared" si="1"/>
        <v>30.063520034833019</v>
      </c>
      <c r="M20" s="47">
        <f t="shared" si="1"/>
        <v>5.2063964740559294</v>
      </c>
      <c r="N20" s="47">
        <f t="shared" si="1"/>
        <v>9.20145204384972</v>
      </c>
      <c r="O20" s="47">
        <f t="shared" si="1"/>
        <v>7.8944446781591315</v>
      </c>
      <c r="P20" s="47">
        <f t="shared" si="1"/>
        <v>23.429762948615917</v>
      </c>
      <c r="Q20" s="47">
        <f t="shared" si="1"/>
        <v>60.000000000000014</v>
      </c>
    </row>
    <row r="21" spans="1:17">
      <c r="A21" s="3" t="s">
        <v>45</v>
      </c>
      <c r="B21" s="47">
        <f t="shared" ref="B21:Q21" si="2">100*(B8-B16)/B17</f>
        <v>144.10968955070115</v>
      </c>
      <c r="C21" s="47">
        <f t="shared" si="2"/>
        <v>379.83332096305963</v>
      </c>
      <c r="D21" s="47">
        <f t="shared" si="2"/>
        <v>43.192614836516654</v>
      </c>
      <c r="E21" s="47">
        <f t="shared" si="2"/>
        <v>144.9778187095788</v>
      </c>
      <c r="F21" s="47">
        <f t="shared" si="2"/>
        <v>605.91464730206667</v>
      </c>
      <c r="G21" s="47">
        <f t="shared" si="2"/>
        <v>565.04283232426815</v>
      </c>
      <c r="H21" s="47">
        <f t="shared" si="2"/>
        <v>295.13196245030434</v>
      </c>
      <c r="I21" s="47">
        <f t="shared" si="2"/>
        <v>112.0303730463212</v>
      </c>
      <c r="J21" s="47">
        <f t="shared" si="2"/>
        <v>2870.4627804421571</v>
      </c>
      <c r="K21" s="47">
        <f t="shared" si="2"/>
        <v>19.717333479113659</v>
      </c>
      <c r="L21" s="47">
        <f t="shared" si="2"/>
        <v>474.79840269360875</v>
      </c>
      <c r="M21" s="47">
        <f t="shared" si="2"/>
        <v>7.2528188512250269</v>
      </c>
      <c r="N21" s="47">
        <f t="shared" si="2"/>
        <v>36.484115920205575</v>
      </c>
      <c r="O21" s="47">
        <f t="shared" si="2"/>
        <v>18.742903598491825</v>
      </c>
      <c r="P21" s="47">
        <f t="shared" si="2"/>
        <v>106.17432645702718</v>
      </c>
      <c r="Q21" s="47">
        <f t="shared" si="2"/>
        <v>538938.90523648087</v>
      </c>
    </row>
    <row r="23" spans="1:17">
      <c r="A23" s="30" t="s">
        <v>422</v>
      </c>
    </row>
    <row r="24" spans="1:17">
      <c r="A24" s="55" t="s">
        <v>187</v>
      </c>
    </row>
    <row r="25" spans="1:17">
      <c r="A25" s="3" t="s">
        <v>240</v>
      </c>
    </row>
    <row r="26" spans="1:17" ht="17">
      <c r="A26" s="51" t="s">
        <v>81</v>
      </c>
      <c r="B26" s="81">
        <f>Assumptions!B27</f>
        <v>1</v>
      </c>
    </row>
    <row r="27" spans="1:17" ht="17">
      <c r="A27" s="51" t="s">
        <v>82</v>
      </c>
      <c r="B27" s="81">
        <f>Assumptions!B28</f>
        <v>3</v>
      </c>
    </row>
    <row r="28" spans="1:17" ht="17">
      <c r="A28" s="51" t="s">
        <v>83</v>
      </c>
      <c r="B28" s="81">
        <f>Assumptions!B29</f>
        <v>20</v>
      </c>
    </row>
    <row r="29" spans="1:17" ht="17">
      <c r="A29" s="51" t="s">
        <v>84</v>
      </c>
      <c r="B29" s="81">
        <f>Assumptions!B30</f>
        <v>45</v>
      </c>
    </row>
    <row r="30" spans="1:17" ht="17">
      <c r="A30" s="51" t="s">
        <v>85</v>
      </c>
      <c r="B30" s="81">
        <f>Assumptions!B31</f>
        <v>100</v>
      </c>
    </row>
    <row r="31" spans="1:17">
      <c r="A31" s="3" t="s">
        <v>192</v>
      </c>
      <c r="B31" s="81">
        <f>Assumptions!B32</f>
        <v>75</v>
      </c>
    </row>
    <row r="32" spans="1:17">
      <c r="A32" s="3" t="s">
        <v>195</v>
      </c>
    </row>
    <row r="33" spans="1:17" ht="17">
      <c r="A33" s="51" t="s">
        <v>83</v>
      </c>
      <c r="B33" s="19">
        <f t="shared" ref="B33:B39" si="3">SUM(C33:E33)</f>
        <v>648.82809907842523</v>
      </c>
      <c r="C33" s="19">
        <f t="shared" ref="C33:C39" si="4">SUM(F33:H33)</f>
        <v>64.679731200000006</v>
      </c>
      <c r="D33" s="19">
        <f t="shared" ref="D33:D39" si="5">SUM(I33:M33)</f>
        <v>31.981724999999997</v>
      </c>
      <c r="E33" s="19">
        <f t="shared" ref="E33:E39" si="6">SUM(N33:Q33)</f>
        <v>552.16664287842525</v>
      </c>
      <c r="F33" s="19">
        <f>F13*(1-$B$31/100)</f>
        <v>25.585459200000003</v>
      </c>
      <c r="G33" s="19">
        <f t="shared" ref="G33:Q33" si="7">G13*(1-$B$31/100)</f>
        <v>12.5144064</v>
      </c>
      <c r="H33" s="19">
        <f t="shared" si="7"/>
        <v>26.579865600000002</v>
      </c>
      <c r="I33" s="19">
        <f t="shared" si="7"/>
        <v>4.0765500000000001</v>
      </c>
      <c r="J33" s="19">
        <f t="shared" si="7"/>
        <v>1.4169750000000001</v>
      </c>
      <c r="K33" s="19">
        <f t="shared" si="7"/>
        <v>1.3199999999999998E-2</v>
      </c>
      <c r="L33" s="19">
        <f t="shared" si="7"/>
        <v>26.4</v>
      </c>
      <c r="M33" s="19">
        <f t="shared" si="7"/>
        <v>7.4999999999999997E-2</v>
      </c>
      <c r="N33" s="19">
        <f t="shared" si="7"/>
        <v>54.075000000000003</v>
      </c>
      <c r="O33" s="19">
        <f t="shared" si="7"/>
        <v>16.070774999999998</v>
      </c>
      <c r="P33" s="19">
        <f t="shared" si="7"/>
        <v>18.290700000000001</v>
      </c>
      <c r="Q33" s="19">
        <f t="shared" si="7"/>
        <v>463.73016787842528</v>
      </c>
    </row>
    <row r="34" spans="1:17" ht="17">
      <c r="A34" s="51" t="s">
        <v>84</v>
      </c>
      <c r="B34" s="19">
        <f t="shared" si="3"/>
        <v>495.02583522204725</v>
      </c>
      <c r="C34" s="19">
        <f t="shared" si="4"/>
        <v>140.99857919999999</v>
      </c>
      <c r="D34" s="19">
        <f t="shared" si="5"/>
        <v>36.736499999999999</v>
      </c>
      <c r="E34" s="19">
        <f t="shared" si="6"/>
        <v>317.29075602204728</v>
      </c>
      <c r="F34" s="19">
        <f t="shared" ref="F34:Q35" si="8">F14*(1-$B$31/100)</f>
        <v>128.111616</v>
      </c>
      <c r="G34" s="19">
        <f t="shared" si="8"/>
        <v>12.8869632</v>
      </c>
      <c r="H34" s="19">
        <f t="shared" si="8"/>
        <v>0</v>
      </c>
      <c r="I34" s="19">
        <f t="shared" si="8"/>
        <v>0</v>
      </c>
      <c r="J34" s="19">
        <f t="shared" si="8"/>
        <v>6.0132000000000003</v>
      </c>
      <c r="K34" s="19">
        <f t="shared" si="8"/>
        <v>16.889025</v>
      </c>
      <c r="L34" s="19">
        <f t="shared" si="8"/>
        <v>5.209274999999999</v>
      </c>
      <c r="M34" s="19">
        <f t="shared" si="8"/>
        <v>8.625</v>
      </c>
      <c r="N34" s="19">
        <f t="shared" si="8"/>
        <v>21.15</v>
      </c>
      <c r="O34" s="19">
        <f t="shared" si="8"/>
        <v>19.649999999999999</v>
      </c>
      <c r="P34" s="19">
        <f t="shared" si="8"/>
        <v>24.15</v>
      </c>
      <c r="Q34" s="19">
        <f t="shared" si="8"/>
        <v>252.34075602204732</v>
      </c>
    </row>
    <row r="35" spans="1:17" ht="17">
      <c r="A35" s="51" t="s">
        <v>85</v>
      </c>
      <c r="B35" s="19">
        <f t="shared" si="3"/>
        <v>2227.8334009367177</v>
      </c>
      <c r="C35" s="19">
        <f t="shared" si="4"/>
        <v>841.14639360000001</v>
      </c>
      <c r="D35" s="19">
        <f t="shared" si="5"/>
        <v>26.345475</v>
      </c>
      <c r="E35" s="19">
        <f t="shared" si="6"/>
        <v>1360.3415323367176</v>
      </c>
      <c r="F35" s="19">
        <f t="shared" si="8"/>
        <v>102.94963199999998</v>
      </c>
      <c r="G35" s="19">
        <f t="shared" si="8"/>
        <v>144.22556159999999</v>
      </c>
      <c r="H35" s="19">
        <f t="shared" si="8"/>
        <v>593.97120000000007</v>
      </c>
      <c r="I35" s="19">
        <f t="shared" si="8"/>
        <v>0</v>
      </c>
      <c r="J35" s="19">
        <f t="shared" si="8"/>
        <v>21.770475000000001</v>
      </c>
      <c r="K35" s="19">
        <f t="shared" si="8"/>
        <v>0</v>
      </c>
      <c r="L35" s="19">
        <f t="shared" si="8"/>
        <v>0</v>
      </c>
      <c r="M35" s="19">
        <f t="shared" si="8"/>
        <v>4.5750000000000002</v>
      </c>
      <c r="N35" s="19">
        <f t="shared" si="8"/>
        <v>0.25447499999999995</v>
      </c>
      <c r="O35" s="19">
        <f t="shared" si="8"/>
        <v>56.774999999999999</v>
      </c>
      <c r="P35" s="19">
        <f t="shared" si="8"/>
        <v>12.24</v>
      </c>
      <c r="Q35" s="19">
        <f t="shared" si="8"/>
        <v>1291.0720573367175</v>
      </c>
    </row>
    <row r="36" spans="1:17">
      <c r="A36" s="3" t="s">
        <v>109</v>
      </c>
      <c r="B36" s="19">
        <f t="shared" si="3"/>
        <v>9492.0512119603536</v>
      </c>
      <c r="C36" s="19">
        <f t="shared" si="4"/>
        <v>3163.7901205199996</v>
      </c>
      <c r="D36" s="19">
        <f t="shared" si="5"/>
        <v>715.49108600000011</v>
      </c>
      <c r="E36" s="19">
        <f t="shared" si="6"/>
        <v>5612.770005440354</v>
      </c>
      <c r="F36" s="19">
        <f>(F6*$B26+F7*$B27+(F9-F33)*$B28+(F10-F34)*$B29+(F11-F35)*$B30)/100</f>
        <v>522.08400895999989</v>
      </c>
      <c r="G36" s="19">
        <f t="shared" ref="G36:Q36" si="9">(G6*$B26+G7*$B27+(G9-G33)*$B28+(G10-G34)*$B29+(G11-G35)*$B30)/100</f>
        <v>535.25576167999998</v>
      </c>
      <c r="H36" s="19">
        <f t="shared" si="9"/>
        <v>2106.45034988</v>
      </c>
      <c r="I36" s="19">
        <f t="shared" si="9"/>
        <v>13.116307000000001</v>
      </c>
      <c r="J36" s="19">
        <f t="shared" si="9"/>
        <v>321.67303900000007</v>
      </c>
      <c r="K36" s="19">
        <f t="shared" si="9"/>
        <v>133.59694975000002</v>
      </c>
      <c r="L36" s="19">
        <f t="shared" si="9"/>
        <v>109.00045025</v>
      </c>
      <c r="M36" s="19">
        <f t="shared" si="9"/>
        <v>138.10434000000001</v>
      </c>
      <c r="N36" s="19">
        <f t="shared" si="9"/>
        <v>372.14607600000005</v>
      </c>
      <c r="O36" s="19">
        <f t="shared" si="9"/>
        <v>1002.271483</v>
      </c>
      <c r="P36" s="19">
        <f t="shared" si="9"/>
        <v>377.379075</v>
      </c>
      <c r="Q36" s="19">
        <f t="shared" si="9"/>
        <v>3860.9733714403542</v>
      </c>
    </row>
    <row r="37" spans="1:17">
      <c r="A37" s="3" t="s">
        <v>110</v>
      </c>
      <c r="B37" s="19">
        <f t="shared" si="3"/>
        <v>11216.799073772945</v>
      </c>
      <c r="C37" s="19">
        <f t="shared" si="4"/>
        <v>2515.6877196444657</v>
      </c>
      <c r="D37" s="19">
        <f t="shared" si="5"/>
        <v>741.86007879588749</v>
      </c>
      <c r="E37" s="19">
        <f t="shared" si="6"/>
        <v>7959.2512753325918</v>
      </c>
      <c r="F37" s="19">
        <f>F16</f>
        <v>520.71669649488103</v>
      </c>
      <c r="G37" s="19">
        <f t="shared" ref="G37:Q37" si="10">G16</f>
        <v>365.8181527495841</v>
      </c>
      <c r="H37" s="19">
        <f t="shared" si="10"/>
        <v>1629.1528704000004</v>
      </c>
      <c r="I37" s="19">
        <f t="shared" si="10"/>
        <v>12.591301896603518</v>
      </c>
      <c r="J37" s="19">
        <f t="shared" si="10"/>
        <v>319.00317350247195</v>
      </c>
      <c r="K37" s="19">
        <f t="shared" si="10"/>
        <v>121.49086027796365</v>
      </c>
      <c r="L37" s="19">
        <f t="shared" si="10"/>
        <v>154.88</v>
      </c>
      <c r="M37" s="19">
        <f t="shared" si="10"/>
        <v>133.89474311884837</v>
      </c>
      <c r="N37" s="19">
        <f t="shared" si="10"/>
        <v>399.64799999999997</v>
      </c>
      <c r="O37" s="19">
        <f t="shared" si="10"/>
        <v>911.904</v>
      </c>
      <c r="P37" s="19">
        <f t="shared" si="10"/>
        <v>428.35199999999998</v>
      </c>
      <c r="Q37" s="19">
        <f t="shared" si="10"/>
        <v>6219.3472753325923</v>
      </c>
    </row>
    <row r="38" spans="1:17">
      <c r="A38" s="3" t="s">
        <v>111</v>
      </c>
      <c r="B38" s="19">
        <f t="shared" si="3"/>
        <v>757.98044082964691</v>
      </c>
      <c r="C38" s="19">
        <f t="shared" si="4"/>
        <v>648.10240087553427</v>
      </c>
      <c r="D38" s="19">
        <f t="shared" si="5"/>
        <v>19.510556954112616</v>
      </c>
      <c r="E38" s="19">
        <f t="shared" si="6"/>
        <v>90.367482999999993</v>
      </c>
      <c r="F38" s="19">
        <f>IF(F36&gt;F37,F36-F37,0)</f>
        <v>1.3673124651188573</v>
      </c>
      <c r="G38" s="19">
        <f t="shared" ref="G38:Q38" si="11">IF(G36&gt;G37,G36-G37,0)</f>
        <v>169.43760893041588</v>
      </c>
      <c r="H38" s="19">
        <f t="shared" si="11"/>
        <v>477.29747947999954</v>
      </c>
      <c r="I38" s="19">
        <f t="shared" si="11"/>
        <v>0.52500510339648265</v>
      </c>
      <c r="J38" s="19">
        <f t="shared" si="11"/>
        <v>2.6698654975281215</v>
      </c>
      <c r="K38" s="19">
        <f t="shared" si="11"/>
        <v>12.106089472036373</v>
      </c>
      <c r="L38" s="19">
        <f t="shared" si="11"/>
        <v>0</v>
      </c>
      <c r="M38" s="19">
        <f t="shared" si="11"/>
        <v>4.20959688115164</v>
      </c>
      <c r="N38" s="19">
        <f t="shared" si="11"/>
        <v>0</v>
      </c>
      <c r="O38" s="19">
        <f t="shared" si="11"/>
        <v>90.367482999999993</v>
      </c>
      <c r="P38" s="19">
        <f t="shared" si="11"/>
        <v>0</v>
      </c>
      <c r="Q38" s="19">
        <f t="shared" si="11"/>
        <v>0</v>
      </c>
    </row>
    <row r="39" spans="1:17">
      <c r="A39" s="3" t="s">
        <v>112</v>
      </c>
      <c r="B39" s="19">
        <f t="shared" si="3"/>
        <v>4628.2276194333235</v>
      </c>
      <c r="C39" s="19">
        <f t="shared" si="4"/>
        <v>-140.56865542432377</v>
      </c>
      <c r="D39" s="19">
        <f t="shared" si="5"/>
        <v>1197.4936072848709</v>
      </c>
      <c r="E39" s="19">
        <f t="shared" si="6"/>
        <v>3571.3026675727765</v>
      </c>
      <c r="F39" s="19">
        <f t="shared" ref="F39:Q39" si="12">F17-F38</f>
        <v>80.023904218782036</v>
      </c>
      <c r="G39" s="19">
        <f t="shared" si="12"/>
        <v>-103.88331356368087</v>
      </c>
      <c r="H39" s="19">
        <f t="shared" si="12"/>
        <v>-116.70924607942493</v>
      </c>
      <c r="I39" s="19">
        <f t="shared" si="12"/>
        <v>36.753008856379282</v>
      </c>
      <c r="J39" s="19">
        <f t="shared" si="12"/>
        <v>-0.21943043260478134</v>
      </c>
      <c r="K39" s="19">
        <f t="shared" si="12"/>
        <v>514.70013324599438</v>
      </c>
      <c r="L39" s="19">
        <f t="shared" si="12"/>
        <v>56.145302614260117</v>
      </c>
      <c r="M39" s="19">
        <f t="shared" si="12"/>
        <v>590.11459300084175</v>
      </c>
      <c r="N39" s="19">
        <f t="shared" si="12"/>
        <v>1663.0387901601134</v>
      </c>
      <c r="O39" s="19">
        <f t="shared" si="12"/>
        <v>1624.2707976229649</v>
      </c>
      <c r="P39" s="19">
        <f t="shared" si="12"/>
        <v>283.23607978969812</v>
      </c>
      <c r="Q39" s="19">
        <f t="shared" si="12"/>
        <v>0.75700000000000001</v>
      </c>
    </row>
    <row r="40" spans="1:17">
      <c r="A40" s="3" t="s">
        <v>181</v>
      </c>
      <c r="B40" s="81">
        <f>Assumptions!B33</f>
        <v>100</v>
      </c>
      <c r="C40" s="19"/>
      <c r="D40" s="19"/>
      <c r="E40" s="19"/>
      <c r="F40" s="19"/>
      <c r="G40" s="19"/>
      <c r="H40" s="19"/>
      <c r="I40" s="19"/>
      <c r="J40" s="19"/>
      <c r="K40" s="19"/>
      <c r="L40" s="19"/>
      <c r="M40" s="19"/>
      <c r="N40" s="19"/>
      <c r="O40" s="19"/>
      <c r="P40" s="19"/>
      <c r="Q40" s="19"/>
    </row>
    <row r="41" spans="1:17">
      <c r="A41" s="3" t="s">
        <v>113</v>
      </c>
      <c r="B41" s="19">
        <f>SUM(C41:E41)</f>
        <v>45031.941817962266</v>
      </c>
      <c r="C41" s="19">
        <f>SUM(F41:H41)</f>
        <v>9597.5279915643405</v>
      </c>
      <c r="D41" s="19">
        <f>SUM(I41:M41)</f>
        <v>6658.432030073076</v>
      </c>
      <c r="E41" s="19">
        <f>SUM(N41:Q41)</f>
        <v>28775.98179632485</v>
      </c>
      <c r="F41" s="19">
        <f t="shared" ref="F41:Q41" si="13">F18-F38*$B40/100</f>
        <v>1028.9012531538801</v>
      </c>
      <c r="G41" s="19">
        <f t="shared" si="13"/>
        <v>639.87467954779322</v>
      </c>
      <c r="H41" s="19">
        <f t="shared" si="13"/>
        <v>7928.7520588626667</v>
      </c>
      <c r="I41" s="19">
        <f t="shared" si="13"/>
        <v>155.60393904983076</v>
      </c>
      <c r="J41" s="19">
        <f t="shared" si="13"/>
        <v>565.08981427953211</v>
      </c>
      <c r="K41" s="19">
        <f t="shared" si="13"/>
        <v>3136.3144243995325</v>
      </c>
      <c r="L41" s="19">
        <f t="shared" si="13"/>
        <v>676.44942908747134</v>
      </c>
      <c r="M41" s="19">
        <f t="shared" si="13"/>
        <v>2124.9744232567105</v>
      </c>
      <c r="N41" s="19">
        <f t="shared" si="13"/>
        <v>7755.1184366993966</v>
      </c>
      <c r="O41" s="19">
        <f t="shared" si="13"/>
        <v>8917.8874342611853</v>
      </c>
      <c r="P41" s="19">
        <f t="shared" si="13"/>
        <v>2327.621240680282</v>
      </c>
      <c r="Q41" s="19">
        <f t="shared" si="13"/>
        <v>9775.3546846839909</v>
      </c>
    </row>
    <row r="42" spans="1:17">
      <c r="A42" s="3" t="s">
        <v>48</v>
      </c>
      <c r="B42" s="47">
        <f>100*B39/B41</f>
        <v>10.277654999072732</v>
      </c>
      <c r="C42" s="47">
        <f t="shared" ref="C42:Q42" si="14">100*C39/C41</f>
        <v>-1.4646339718714581</v>
      </c>
      <c r="D42" s="47">
        <f t="shared" si="14"/>
        <v>17.984618629075779</v>
      </c>
      <c r="E42" s="47">
        <f t="shared" si="14"/>
        <v>12.410706584575642</v>
      </c>
      <c r="F42" s="47">
        <f t="shared" si="14"/>
        <v>7.7776078096401973</v>
      </c>
      <c r="G42" s="47">
        <f t="shared" si="14"/>
        <v>-16.234946761309011</v>
      </c>
      <c r="H42" s="47">
        <f t="shared" si="14"/>
        <v>-1.4719749742832313</v>
      </c>
      <c r="I42" s="47">
        <f t="shared" si="14"/>
        <v>23.619587705044836</v>
      </c>
      <c r="J42" s="47">
        <f t="shared" si="14"/>
        <v>-3.8831071992431285E-2</v>
      </c>
      <c r="K42" s="47">
        <f t="shared" si="14"/>
        <v>16.410986387136138</v>
      </c>
      <c r="L42" s="47">
        <f t="shared" si="14"/>
        <v>8.2999999999999989</v>
      </c>
      <c r="M42" s="47">
        <f t="shared" si="14"/>
        <v>27.770432742265161</v>
      </c>
      <c r="N42" s="47">
        <f t="shared" si="14"/>
        <v>21.444402219444481</v>
      </c>
      <c r="O42" s="47">
        <f t="shared" si="14"/>
        <v>18.213627494139029</v>
      </c>
      <c r="P42" s="47">
        <f t="shared" si="14"/>
        <v>12.168478051305209</v>
      </c>
      <c r="Q42" s="47">
        <f t="shared" si="14"/>
        <v>7.7439645354870487E-3</v>
      </c>
    </row>
    <row r="43" spans="1:17">
      <c r="A43" s="3" t="s">
        <v>114</v>
      </c>
      <c r="B43" s="47">
        <f t="shared" ref="B43:Q43" si="15">B42-B19</f>
        <v>-1.4852128866197116</v>
      </c>
      <c r="C43" s="47">
        <f t="shared" si="15"/>
        <v>-6.4182944691866206</v>
      </c>
      <c r="D43" s="47">
        <f t="shared" si="15"/>
        <v>-0.23961957571470904</v>
      </c>
      <c r="E43" s="47">
        <f t="shared" si="15"/>
        <v>-0.27420246000312609</v>
      </c>
      <c r="F43" s="47">
        <f t="shared" si="15"/>
        <v>-0.12239219035980042</v>
      </c>
      <c r="G43" s="47">
        <f t="shared" si="15"/>
        <v>-24.33494676130902</v>
      </c>
      <c r="H43" s="47">
        <f t="shared" si="15"/>
        <v>-5.7616027210127383</v>
      </c>
      <c r="I43" s="47">
        <f t="shared" si="15"/>
        <v>-0.25683966846674622</v>
      </c>
      <c r="J43" s="47">
        <f t="shared" si="15"/>
        <v>-0.47042830444922396</v>
      </c>
      <c r="K43" s="47">
        <f t="shared" si="15"/>
        <v>-0.32141071156731726</v>
      </c>
      <c r="L43" s="47">
        <f t="shared" si="15"/>
        <v>0</v>
      </c>
      <c r="M43" s="47">
        <f t="shared" si="15"/>
        <v>-0.14280464167460494</v>
      </c>
      <c r="N43" s="47">
        <f t="shared" si="15"/>
        <v>0</v>
      </c>
      <c r="O43" s="47">
        <f t="shared" si="15"/>
        <v>-0.82045065275552176</v>
      </c>
      <c r="P43" s="47">
        <f t="shared" si="15"/>
        <v>0</v>
      </c>
      <c r="Q43" s="47">
        <f t="shared" si="15"/>
        <v>0</v>
      </c>
    </row>
    <row r="45" spans="1:17">
      <c r="A45" s="55" t="s">
        <v>188</v>
      </c>
    </row>
    <row r="46" spans="1:17">
      <c r="A46" s="3" t="s">
        <v>47</v>
      </c>
      <c r="B46" s="82">
        <f>Assumptions!B35</f>
        <v>25</v>
      </c>
    </row>
    <row r="47" spans="1:17">
      <c r="A47" s="3" t="s">
        <v>183</v>
      </c>
    </row>
    <row r="48" spans="1:17">
      <c r="A48" s="37" t="s">
        <v>184</v>
      </c>
      <c r="B48" s="81">
        <f>Assumptions!B37</f>
        <v>0</v>
      </c>
    </row>
    <row r="49" spans="1:17">
      <c r="A49" s="37" t="s">
        <v>185</v>
      </c>
      <c r="B49" s="81">
        <f>Assumptions!B38</f>
        <v>1</v>
      </c>
    </row>
    <row r="50" spans="1:17">
      <c r="A50" s="3" t="s">
        <v>298</v>
      </c>
      <c r="B50" s="19">
        <f>SUM(C50:E50)</f>
        <v>14365.874781328792</v>
      </c>
      <c r="C50" s="19">
        <f>SUM(F50:H50)</f>
        <v>3174.9197750000003</v>
      </c>
      <c r="D50" s="19">
        <f>SUM(I50:M50)</f>
        <v>2363.8547749999998</v>
      </c>
      <c r="E50" s="19">
        <f>SUM(N50:Q50)</f>
        <v>8827.1002313287918</v>
      </c>
      <c r="F50" s="19">
        <f t="shared" ref="F50:Q50" si="16">(F8*$B48+F5*$B49)*$B46/100</f>
        <v>274.678</v>
      </c>
      <c r="G50" s="19">
        <f t="shared" si="16"/>
        <v>486.16520000000003</v>
      </c>
      <c r="H50" s="19">
        <f t="shared" si="16"/>
        <v>2414.076575</v>
      </c>
      <c r="I50" s="19">
        <f t="shared" si="16"/>
        <v>65.560925000000012</v>
      </c>
      <c r="J50" s="19">
        <f t="shared" si="16"/>
        <v>237.61672499999997</v>
      </c>
      <c r="K50" s="19">
        <f t="shared" si="16"/>
        <v>937.7095250000001</v>
      </c>
      <c r="L50" s="19">
        <f t="shared" si="16"/>
        <v>283.82785000000001</v>
      </c>
      <c r="M50" s="19">
        <f t="shared" si="16"/>
        <v>839.13975000000005</v>
      </c>
      <c r="N50" s="19">
        <f t="shared" si="16"/>
        <v>2582.6457750000004</v>
      </c>
      <c r="O50" s="19">
        <f t="shared" si="16"/>
        <v>3825.1784500000003</v>
      </c>
      <c r="P50" s="19">
        <f t="shared" si="16"/>
        <v>702.75687500000004</v>
      </c>
      <c r="Q50" s="19">
        <f t="shared" si="16"/>
        <v>1716.5191313287919</v>
      </c>
    </row>
    <row r="51" spans="1:17">
      <c r="A51" s="3" t="s">
        <v>299</v>
      </c>
      <c r="B51" s="81">
        <f>Assumptions!B39</f>
        <v>25</v>
      </c>
      <c r="C51" s="19"/>
      <c r="D51" s="19"/>
      <c r="E51" s="19"/>
      <c r="F51" s="19"/>
      <c r="G51" s="19"/>
      <c r="H51" s="19"/>
      <c r="I51" s="19"/>
      <c r="J51" s="19"/>
      <c r="K51" s="19"/>
      <c r="L51" s="19"/>
      <c r="M51" s="19"/>
      <c r="N51" s="19"/>
      <c r="O51" s="19"/>
      <c r="P51" s="19"/>
      <c r="Q51" s="19"/>
    </row>
    <row r="52" spans="1:17">
      <c r="A52" s="3" t="s">
        <v>304</v>
      </c>
      <c r="B52" s="19">
        <f>SUM(C52:E52)</f>
        <v>3591.468695332198</v>
      </c>
      <c r="C52" s="19">
        <f>SUM(F52:H52)</f>
        <v>793.72994375000007</v>
      </c>
      <c r="D52" s="19">
        <f>SUM(I52:M52)</f>
        <v>590.96369374999995</v>
      </c>
      <c r="E52" s="19">
        <f>SUM(N52:Q52)</f>
        <v>2206.7750578321979</v>
      </c>
      <c r="F52" s="19">
        <f t="shared" ref="F52:Q52" si="17">F50*$B51/100</f>
        <v>68.669499999999999</v>
      </c>
      <c r="G52" s="19">
        <f t="shared" si="17"/>
        <v>121.54130000000001</v>
      </c>
      <c r="H52" s="19">
        <f t="shared" si="17"/>
        <v>603.51914375000001</v>
      </c>
      <c r="I52" s="19">
        <f t="shared" si="17"/>
        <v>16.390231250000003</v>
      </c>
      <c r="J52" s="19">
        <f t="shared" si="17"/>
        <v>59.404181249999993</v>
      </c>
      <c r="K52" s="19">
        <f t="shared" si="17"/>
        <v>234.42738125000002</v>
      </c>
      <c r="L52" s="19">
        <f t="shared" si="17"/>
        <v>70.956962500000003</v>
      </c>
      <c r="M52" s="19">
        <f t="shared" si="17"/>
        <v>209.78493750000001</v>
      </c>
      <c r="N52" s="19">
        <f t="shared" si="17"/>
        <v>645.6614437500001</v>
      </c>
      <c r="O52" s="19">
        <f t="shared" si="17"/>
        <v>956.29461250000008</v>
      </c>
      <c r="P52" s="19">
        <f t="shared" si="17"/>
        <v>175.68921875000001</v>
      </c>
      <c r="Q52" s="19">
        <f t="shared" si="17"/>
        <v>429.12978283219798</v>
      </c>
    </row>
    <row r="53" spans="1:17">
      <c r="A53" s="3" t="s">
        <v>112</v>
      </c>
      <c r="B53" s="19">
        <f>SUM(C53:E53)</f>
        <v>1036.7589241011253</v>
      </c>
      <c r="C53" s="19">
        <f>SUM(F53:H53)</f>
        <v>-934.29859917432373</v>
      </c>
      <c r="D53" s="19">
        <f>SUM(I53:M53)</f>
        <v>606.52991353487073</v>
      </c>
      <c r="E53" s="19">
        <f>SUM(N53:Q53)</f>
        <v>1364.5276097405783</v>
      </c>
      <c r="F53" s="19">
        <f t="shared" ref="F53:Q53" si="18">F39-F52</f>
        <v>11.354404218782037</v>
      </c>
      <c r="G53" s="19">
        <f t="shared" si="18"/>
        <v>-225.42461356368088</v>
      </c>
      <c r="H53" s="19">
        <f t="shared" si="18"/>
        <v>-720.22838982942494</v>
      </c>
      <c r="I53" s="19">
        <f t="shared" si="18"/>
        <v>20.362777606379279</v>
      </c>
      <c r="J53" s="19">
        <f t="shared" si="18"/>
        <v>-59.623611682604775</v>
      </c>
      <c r="K53" s="19">
        <f t="shared" si="18"/>
        <v>280.27275199599433</v>
      </c>
      <c r="L53" s="19">
        <f t="shared" si="18"/>
        <v>-14.811659885739886</v>
      </c>
      <c r="M53" s="19">
        <f t="shared" si="18"/>
        <v>380.32965550084174</v>
      </c>
      <c r="N53" s="19">
        <f t="shared" si="18"/>
        <v>1017.3773464101133</v>
      </c>
      <c r="O53" s="19">
        <f t="shared" si="18"/>
        <v>667.97618512296481</v>
      </c>
      <c r="P53" s="19">
        <f t="shared" si="18"/>
        <v>107.54686103969811</v>
      </c>
      <c r="Q53" s="19">
        <f t="shared" si="18"/>
        <v>-428.37278283219797</v>
      </c>
    </row>
    <row r="54" spans="1:17">
      <c r="A54" s="3" t="s">
        <v>181</v>
      </c>
      <c r="B54" s="81">
        <f>Assumptions!B40</f>
        <v>100</v>
      </c>
      <c r="C54" s="19"/>
      <c r="D54" s="19"/>
      <c r="E54" s="19"/>
      <c r="F54" s="19"/>
      <c r="G54" s="19"/>
      <c r="H54" s="19"/>
      <c r="I54" s="19"/>
      <c r="J54" s="19"/>
      <c r="K54" s="19"/>
      <c r="L54" s="19"/>
      <c r="M54" s="19"/>
      <c r="N54" s="19"/>
      <c r="O54" s="19"/>
      <c r="P54" s="19"/>
      <c r="Q54" s="19"/>
    </row>
    <row r="55" spans="1:17">
      <c r="A55" s="3" t="s">
        <v>113</v>
      </c>
      <c r="B55" s="19">
        <f>SUM(C55:E55)</f>
        <v>41440.473122630072</v>
      </c>
      <c r="C55" s="19">
        <f>SUM(F55:H55)</f>
        <v>8803.79804781434</v>
      </c>
      <c r="D55" s="19">
        <f>SUM(I55:M55)</f>
        <v>6067.468336323077</v>
      </c>
      <c r="E55" s="19">
        <f>SUM(N55:Q55)</f>
        <v>26569.206738492656</v>
      </c>
      <c r="F55" s="19">
        <f t="shared" ref="F55:Q55" si="19">F41-F52*$B54/100</f>
        <v>960.23175315388016</v>
      </c>
      <c r="G55" s="19">
        <f t="shared" si="19"/>
        <v>518.33337954779324</v>
      </c>
      <c r="H55" s="19">
        <f t="shared" si="19"/>
        <v>7325.2329151126669</v>
      </c>
      <c r="I55" s="19">
        <f t="shared" si="19"/>
        <v>139.21370779983076</v>
      </c>
      <c r="J55" s="19">
        <f t="shared" si="19"/>
        <v>505.68563302953214</v>
      </c>
      <c r="K55" s="19">
        <f t="shared" si="19"/>
        <v>2901.8870431495325</v>
      </c>
      <c r="L55" s="19">
        <f t="shared" si="19"/>
        <v>605.49246658747131</v>
      </c>
      <c r="M55" s="19">
        <f t="shared" si="19"/>
        <v>1915.1894857567104</v>
      </c>
      <c r="N55" s="19">
        <f t="shared" si="19"/>
        <v>7109.4569929493964</v>
      </c>
      <c r="O55" s="19">
        <f t="shared" si="19"/>
        <v>7961.5928217611854</v>
      </c>
      <c r="P55" s="19">
        <f t="shared" si="19"/>
        <v>2151.9320219302817</v>
      </c>
      <c r="Q55" s="19">
        <f t="shared" si="19"/>
        <v>9346.2249018517923</v>
      </c>
    </row>
    <row r="56" spans="1:17">
      <c r="A56" s="3" t="s">
        <v>48</v>
      </c>
      <c r="B56" s="21">
        <f>100*B53/B55</f>
        <v>2.5018028173403395</v>
      </c>
      <c r="C56" s="21">
        <f t="shared" ref="C56:Q56" si="20">100*C53/C55</f>
        <v>-10.612449241793726</v>
      </c>
      <c r="D56" s="21">
        <f t="shared" si="20"/>
        <v>9.9964248664284181</v>
      </c>
      <c r="E56" s="21">
        <f t="shared" si="20"/>
        <v>5.1357483991559763</v>
      </c>
      <c r="F56" s="21">
        <f t="shared" si="20"/>
        <v>1.1824649811348675</v>
      </c>
      <c r="G56" s="21">
        <f t="shared" si="20"/>
        <v>-43.49027526653731</v>
      </c>
      <c r="H56" s="21">
        <f t="shared" si="20"/>
        <v>-9.8321568498323639</v>
      </c>
      <c r="I56" s="21">
        <f t="shared" si="20"/>
        <v>14.626991787086094</v>
      </c>
      <c r="J56" s="21">
        <f t="shared" si="20"/>
        <v>-11.790647744015054</v>
      </c>
      <c r="K56" s="21">
        <f t="shared" si="20"/>
        <v>9.6582929600114014</v>
      </c>
      <c r="L56" s="21">
        <f t="shared" si="20"/>
        <v>-2.4462170387053277</v>
      </c>
      <c r="M56" s="21">
        <f t="shared" si="20"/>
        <v>19.858591451621809</v>
      </c>
      <c r="N56" s="21">
        <f t="shared" si="20"/>
        <v>14.310197634208473</v>
      </c>
      <c r="O56" s="21">
        <f t="shared" si="20"/>
        <v>8.3899817546208251</v>
      </c>
      <c r="P56" s="21">
        <f t="shared" si="20"/>
        <v>4.997688586056201</v>
      </c>
      <c r="Q56" s="21">
        <f t="shared" si="20"/>
        <v>-4.5833776453134929</v>
      </c>
    </row>
    <row r="57" spans="1:17">
      <c r="A57" s="3" t="s">
        <v>114</v>
      </c>
      <c r="B57" s="47">
        <f t="shared" ref="B57:Q57" si="21">B56-B42</f>
        <v>-7.7758521817323931</v>
      </c>
      <c r="C57" s="47">
        <f t="shared" si="21"/>
        <v>-9.147815269922269</v>
      </c>
      <c r="D57" s="47">
        <f t="shared" si="21"/>
        <v>-7.9881937626473611</v>
      </c>
      <c r="E57" s="47">
        <f t="shared" si="21"/>
        <v>-7.2749581854196661</v>
      </c>
      <c r="F57" s="47">
        <f t="shared" si="21"/>
        <v>-6.5951428285053293</v>
      </c>
      <c r="G57" s="47">
        <f t="shared" si="21"/>
        <v>-27.255328505228299</v>
      </c>
      <c r="H57" s="47">
        <f t="shared" si="21"/>
        <v>-8.3601818755491326</v>
      </c>
      <c r="I57" s="47">
        <f t="shared" si="21"/>
        <v>-8.9925959179587416</v>
      </c>
      <c r="J57" s="47">
        <f t="shared" si="21"/>
        <v>-11.751816672022622</v>
      </c>
      <c r="K57" s="47">
        <f t="shared" si="21"/>
        <v>-6.7526934271247363</v>
      </c>
      <c r="L57" s="47">
        <f t="shared" si="21"/>
        <v>-10.746217038705327</v>
      </c>
      <c r="M57" s="47">
        <f t="shared" si="21"/>
        <v>-7.911841290643352</v>
      </c>
      <c r="N57" s="47">
        <f t="shared" si="21"/>
        <v>-7.1342045852360076</v>
      </c>
      <c r="O57" s="47">
        <f t="shared" si="21"/>
        <v>-9.823645739518204</v>
      </c>
      <c r="P57" s="47">
        <f t="shared" si="21"/>
        <v>-7.1707894652490083</v>
      </c>
      <c r="Q57" s="47">
        <f t="shared" si="21"/>
        <v>-4.5911216098489795</v>
      </c>
    </row>
    <row r="58" spans="1:17">
      <c r="A58" s="3" t="s">
        <v>116</v>
      </c>
      <c r="B58" s="47">
        <f t="shared" ref="B58:Q58" si="22">B57+B43</f>
        <v>-9.2610650683521047</v>
      </c>
      <c r="C58" s="47">
        <f t="shared" si="22"/>
        <v>-15.566109739108889</v>
      </c>
      <c r="D58" s="47">
        <f t="shared" si="22"/>
        <v>-8.2278133383620702</v>
      </c>
      <c r="E58" s="47">
        <f t="shared" si="22"/>
        <v>-7.5491606454227922</v>
      </c>
      <c r="F58" s="47">
        <f t="shared" si="22"/>
        <v>-6.7175350188651297</v>
      </c>
      <c r="G58" s="47">
        <f t="shared" si="22"/>
        <v>-51.590275266537319</v>
      </c>
      <c r="H58" s="47">
        <f t="shared" si="22"/>
        <v>-14.12178459656187</v>
      </c>
      <c r="I58" s="47">
        <f t="shared" si="22"/>
        <v>-9.2494355864254878</v>
      </c>
      <c r="J58" s="47">
        <f t="shared" si="22"/>
        <v>-12.222244976471845</v>
      </c>
      <c r="K58" s="47">
        <f t="shared" si="22"/>
        <v>-7.0741041386920536</v>
      </c>
      <c r="L58" s="47">
        <f t="shared" si="22"/>
        <v>-10.746217038705327</v>
      </c>
      <c r="M58" s="47">
        <f t="shared" si="22"/>
        <v>-8.0546459323179569</v>
      </c>
      <c r="N58" s="47">
        <f t="shared" si="22"/>
        <v>-7.1342045852360076</v>
      </c>
      <c r="O58" s="47">
        <f t="shared" si="22"/>
        <v>-10.644096392273726</v>
      </c>
      <c r="P58" s="47">
        <f t="shared" si="22"/>
        <v>-7.1707894652490083</v>
      </c>
      <c r="Q58" s="47">
        <f t="shared" si="22"/>
        <v>-4.5911216098489795</v>
      </c>
    </row>
    <row r="59" spans="1:17">
      <c r="A59" s="3" t="s">
        <v>302</v>
      </c>
      <c r="B59" s="47"/>
      <c r="C59" s="47"/>
      <c r="D59" s="47"/>
      <c r="E59" s="47"/>
      <c r="F59" s="47"/>
      <c r="G59" s="47"/>
      <c r="H59" s="47"/>
      <c r="I59" s="47"/>
      <c r="J59" s="47"/>
      <c r="K59" s="47"/>
      <c r="L59" s="47"/>
      <c r="M59" s="47"/>
      <c r="N59" s="47"/>
      <c r="O59" s="47"/>
      <c r="P59" s="47"/>
      <c r="Q59" s="47"/>
    </row>
    <row r="60" spans="1:17">
      <c r="A60" s="37" t="s">
        <v>300</v>
      </c>
      <c r="B60" s="19">
        <f>SUM(C60:E60)</f>
        <v>33344.721569301546</v>
      </c>
      <c r="C60" s="19">
        <f>SUM(F60:H60)</f>
        <v>7618.3897750000006</v>
      </c>
      <c r="D60" s="19">
        <f>SUM(I60:M60)</f>
        <v>3631.3707750000003</v>
      </c>
      <c r="E60" s="19">
        <f>SUM(N60:Q60)</f>
        <v>22094.961019301547</v>
      </c>
      <c r="F60" s="19">
        <f t="shared" ref="F60:Q60" si="23">F8+F50</f>
        <v>1288.556</v>
      </c>
      <c r="G60" s="19">
        <f t="shared" si="23"/>
        <v>1222.3932</v>
      </c>
      <c r="H60" s="19">
        <f t="shared" si="23"/>
        <v>5107.4405750000005</v>
      </c>
      <c r="I60" s="19">
        <f t="shared" si="23"/>
        <v>119.91492500000001</v>
      </c>
      <c r="J60" s="19">
        <f t="shared" si="23"/>
        <v>626.95872499999996</v>
      </c>
      <c r="K60" s="19">
        <f t="shared" si="23"/>
        <v>1163.072525</v>
      </c>
      <c r="L60" s="19">
        <f t="shared" si="23"/>
        <v>705.28485000000001</v>
      </c>
      <c r="M60" s="19">
        <f t="shared" si="23"/>
        <v>1016.13975</v>
      </c>
      <c r="N60" s="19">
        <f t="shared" si="23"/>
        <v>3589.0387750000004</v>
      </c>
      <c r="O60" s="19">
        <f t="shared" si="23"/>
        <v>5058.4554500000004</v>
      </c>
      <c r="P60" s="19">
        <f t="shared" si="23"/>
        <v>1431.8328750000001</v>
      </c>
      <c r="Q60" s="19">
        <f t="shared" si="23"/>
        <v>12015.633919301545</v>
      </c>
    </row>
    <row r="61" spans="1:17">
      <c r="A61" s="37" t="s">
        <v>301</v>
      </c>
      <c r="B61" s="19">
        <f t="shared" ref="B61:Q61" si="24">100*B60/B4</f>
        <v>46.671944835833834</v>
      </c>
      <c r="C61" s="19">
        <f t="shared" si="24"/>
        <v>52.082788509230909</v>
      </c>
      <c r="D61" s="19">
        <f t="shared" si="24"/>
        <v>36.382561670816024</v>
      </c>
      <c r="E61" s="19">
        <f t="shared" si="24"/>
        <v>47.174806278825983</v>
      </c>
      <c r="F61" s="19">
        <f t="shared" si="24"/>
        <v>80.945889171126254</v>
      </c>
      <c r="G61" s="19">
        <f t="shared" si="24"/>
        <v>52.801550633101535</v>
      </c>
      <c r="H61" s="19">
        <f t="shared" si="24"/>
        <v>47.641735658187983</v>
      </c>
      <c r="I61" s="19">
        <f t="shared" si="24"/>
        <v>39.444868840956232</v>
      </c>
      <c r="J61" s="19">
        <f t="shared" si="24"/>
        <v>61.418025852103035</v>
      </c>
      <c r="K61" s="19">
        <f t="shared" si="24"/>
        <v>30.172761444291318</v>
      </c>
      <c r="L61" s="19">
        <f t="shared" si="24"/>
        <v>50.309628783575079</v>
      </c>
      <c r="M61" s="19">
        <f t="shared" si="24"/>
        <v>29.889414754508891</v>
      </c>
      <c r="N61" s="19">
        <f t="shared" si="24"/>
        <v>32.814584532761707</v>
      </c>
      <c r="O61" s="19">
        <f t="shared" si="24"/>
        <v>32.380151990961927</v>
      </c>
      <c r="P61" s="19">
        <f t="shared" si="24"/>
        <v>46.013728120642021</v>
      </c>
      <c r="Q61" s="19">
        <f t="shared" si="24"/>
        <v>70.000000000000028</v>
      </c>
    </row>
    <row r="62" spans="1:17">
      <c r="A62" s="37" t="s">
        <v>303</v>
      </c>
      <c r="B62" s="19">
        <f>100*(B16+B52)/B60</f>
        <v>44.40963088664148</v>
      </c>
      <c r="C62" s="19">
        <f t="shared" ref="C62:Q62" si="25">100*(C16+C52)/C60</f>
        <v>43.43985751758764</v>
      </c>
      <c r="D62" s="19">
        <f t="shared" si="25"/>
        <v>36.703048383867866</v>
      </c>
      <c r="E62" s="19">
        <f t="shared" si="25"/>
        <v>46.010609949861554</v>
      </c>
      <c r="F62" s="19">
        <f t="shared" si="25"/>
        <v>45.740052934826345</v>
      </c>
      <c r="G62" s="19">
        <f t="shared" si="25"/>
        <v>39.869286965076711</v>
      </c>
      <c r="H62" s="19">
        <f t="shared" si="25"/>
        <v>43.714106534660957</v>
      </c>
      <c r="I62" s="19">
        <f t="shared" si="25"/>
        <v>24.168412019274097</v>
      </c>
      <c r="J62" s="19">
        <f t="shared" si="25"/>
        <v>60.356023397309286</v>
      </c>
      <c r="K62" s="19">
        <f t="shared" si="25"/>
        <v>30.601551827386146</v>
      </c>
      <c r="L62" s="19">
        <f t="shared" si="25"/>
        <v>32.020673987254938</v>
      </c>
      <c r="M62" s="19">
        <f t="shared" si="25"/>
        <v>33.822088016815435</v>
      </c>
      <c r="N62" s="19">
        <f t="shared" si="25"/>
        <v>29.125052953767543</v>
      </c>
      <c r="O62" s="19">
        <f t="shared" si="25"/>
        <v>36.932194638582814</v>
      </c>
      <c r="P62" s="19">
        <f t="shared" si="25"/>
        <v>42.186572839375543</v>
      </c>
      <c r="Q62" s="19">
        <f t="shared" si="25"/>
        <v>55.331887629206818</v>
      </c>
    </row>
    <row r="64" spans="1:17">
      <c r="A64" s="55" t="s">
        <v>189</v>
      </c>
    </row>
    <row r="65" spans="1:17" ht="15" customHeight="1">
      <c r="A65" s="62" t="s">
        <v>156</v>
      </c>
    </row>
    <row r="66" spans="1:17" ht="15" customHeight="1">
      <c r="A66" s="62" t="s">
        <v>14</v>
      </c>
      <c r="B66" s="19">
        <f>Data!B50</f>
        <v>71444.894114847557</v>
      </c>
      <c r="C66" s="19">
        <f>Data!C50</f>
        <v>14627.461380355533</v>
      </c>
      <c r="D66" s="19">
        <f>Data!D50</f>
        <v>9981.075021204113</v>
      </c>
      <c r="E66" s="19">
        <f>Data!E50</f>
        <v>46836.357713287915</v>
      </c>
      <c r="F66" s="19">
        <f>Data!F50</f>
        <v>1591.8733035051191</v>
      </c>
      <c r="G66" s="19">
        <f>Data!G50</f>
        <v>2315.0706472504162</v>
      </c>
      <c r="H66" s="19">
        <f>Data!H50</f>
        <v>10720.517429599999</v>
      </c>
      <c r="I66" s="19">
        <f>Data!I50</f>
        <v>304.00639810339652</v>
      </c>
      <c r="J66" s="19">
        <f>Data!J50</f>
        <v>1020.805726497528</v>
      </c>
      <c r="K66" s="19">
        <f>Data!K50</f>
        <v>3854.7102397220365</v>
      </c>
      <c r="L66" s="19">
        <f>Data!L50</f>
        <v>1401.8883999999998</v>
      </c>
      <c r="M66" s="19">
        <f>Data!M50</f>
        <v>3399.6642568811517</v>
      </c>
      <c r="N66" s="19">
        <f>Data!N50</f>
        <v>10937.328100000002</v>
      </c>
      <c r="O66" s="19">
        <f>Data!O50</f>
        <v>15622.086799999999</v>
      </c>
      <c r="P66" s="19">
        <f>Data!P50</f>
        <v>3111.7515000000003</v>
      </c>
      <c r="Q66" s="19">
        <f>Data!Q50</f>
        <v>17165.191313287916</v>
      </c>
    </row>
    <row r="67" spans="1:17" ht="17">
      <c r="A67" s="63" t="s">
        <v>148</v>
      </c>
      <c r="B67" s="19">
        <f>Data!B51</f>
        <v>4112.0252306569791</v>
      </c>
      <c r="C67" s="19">
        <f>Data!C51</f>
        <v>815.69290000000001</v>
      </c>
      <c r="D67" s="19">
        <f>Data!D51</f>
        <v>335.82730000000004</v>
      </c>
      <c r="E67" s="19">
        <f>Data!E51</f>
        <v>2960.5050306569792</v>
      </c>
      <c r="F67" s="19">
        <f>Data!F51</f>
        <v>81.349199999999996</v>
      </c>
      <c r="G67" s="19">
        <f>Data!G51</f>
        <v>25.328500000000005</v>
      </c>
      <c r="H67" s="19">
        <f>Data!H51</f>
        <v>709.01520000000005</v>
      </c>
      <c r="I67" s="19">
        <f>Data!I51</f>
        <v>14.737500000000001</v>
      </c>
      <c r="J67" s="19">
        <f>Data!J51</f>
        <v>12.843</v>
      </c>
      <c r="K67" s="19">
        <f>Data!K51</f>
        <v>72.915400000000005</v>
      </c>
      <c r="L67" s="19">
        <f>Data!L51</f>
        <v>106.18379999999999</v>
      </c>
      <c r="M67" s="19">
        <f>Data!M51</f>
        <v>129.14760000000001</v>
      </c>
      <c r="N67" s="19">
        <f>Data!N51</f>
        <v>332.82569999999998</v>
      </c>
      <c r="O67" s="19">
        <f>Data!O51</f>
        <v>469.36860000000001</v>
      </c>
      <c r="P67" s="19">
        <f>Data!P51</f>
        <v>138.8612</v>
      </c>
      <c r="Q67" s="19">
        <f>Data!Q51</f>
        <v>2019.4495306569795</v>
      </c>
    </row>
    <row r="68" spans="1:17" ht="17">
      <c r="A68" s="63" t="s">
        <v>149</v>
      </c>
      <c r="B68" s="19">
        <f>Data!B52</f>
        <v>22273.595332708788</v>
      </c>
      <c r="C68" s="19">
        <f>Data!C52</f>
        <v>6161.9274999999998</v>
      </c>
      <c r="D68" s="19">
        <f>Data!D52</f>
        <v>3498.2055999999998</v>
      </c>
      <c r="E68" s="19">
        <f>Data!E52</f>
        <v>12613.462232708784</v>
      </c>
      <c r="F68" s="19">
        <f>Data!F52</f>
        <v>892</v>
      </c>
      <c r="G68" s="19">
        <f>Data!G52</f>
        <v>379.92750000000001</v>
      </c>
      <c r="H68" s="19">
        <f>Data!H52</f>
        <v>4890</v>
      </c>
      <c r="I68" s="19">
        <f>Data!I52</f>
        <v>70.739999999999995</v>
      </c>
      <c r="J68" s="19">
        <f>Data!J52</f>
        <v>268</v>
      </c>
      <c r="K68" s="19">
        <f>Data!K52</f>
        <v>1421.8503000000001</v>
      </c>
      <c r="L68" s="19">
        <f>Data!L52</f>
        <v>543</v>
      </c>
      <c r="M68" s="19">
        <f>Data!M52</f>
        <v>1194.6152999999999</v>
      </c>
      <c r="N68" s="19">
        <f>Data!N52</f>
        <v>3550.1408000000001</v>
      </c>
      <c r="O68" s="19">
        <f>Data!O52</f>
        <v>4850.1422000000002</v>
      </c>
      <c r="P68" s="19">
        <f>Data!P52</f>
        <v>1113</v>
      </c>
      <c r="Q68" s="19">
        <f>Data!Q52</f>
        <v>3100.1792327087846</v>
      </c>
    </row>
    <row r="69" spans="1:17" ht="17">
      <c r="A69" s="63" t="s">
        <v>154</v>
      </c>
      <c r="B69" s="19">
        <f>Data!B53</f>
        <v>7361.0470772883546</v>
      </c>
      <c r="C69" s="19">
        <f>Data!C53</f>
        <v>1607.9769999999999</v>
      </c>
      <c r="D69" s="19">
        <f>Data!D53</f>
        <v>1008.894</v>
      </c>
      <c r="E69" s="19">
        <f>Data!E53</f>
        <v>4744.1760772883536</v>
      </c>
      <c r="F69" s="19">
        <f>Data!F53</f>
        <v>173</v>
      </c>
      <c r="G69" s="19">
        <f>Data!G53</f>
        <v>253.285</v>
      </c>
      <c r="H69" s="19">
        <f>Data!H53</f>
        <v>1181.692</v>
      </c>
      <c r="I69" s="19">
        <f>Data!I53</f>
        <v>29.475000000000001</v>
      </c>
      <c r="J69" s="19">
        <f>Data!J53</f>
        <v>115</v>
      </c>
      <c r="K69" s="19">
        <f>Data!K53</f>
        <v>364.577</v>
      </c>
      <c r="L69" s="19">
        <f>Data!L53</f>
        <v>176.97299999999998</v>
      </c>
      <c r="M69" s="19">
        <f>Data!M53</f>
        <v>322.86900000000003</v>
      </c>
      <c r="N69" s="19">
        <f>Data!N53</f>
        <v>1109.4190000000001</v>
      </c>
      <c r="O69" s="19">
        <f>Data!O53</f>
        <v>1564.5620000000001</v>
      </c>
      <c r="P69" s="19">
        <f>Data!P53</f>
        <v>347.15299999999996</v>
      </c>
      <c r="Q69" s="19">
        <f>Data!Q53</f>
        <v>1723.042077288354</v>
      </c>
    </row>
    <row r="70" spans="1:17" ht="17">
      <c r="A70" s="63" t="s">
        <v>152</v>
      </c>
      <c r="B70" s="19">
        <f>Data!B54</f>
        <v>15379.854186308454</v>
      </c>
      <c r="C70" s="19">
        <f>Data!C54</f>
        <v>2828.5844999999999</v>
      </c>
      <c r="D70" s="19">
        <f>Data!D54</f>
        <v>2304.3442</v>
      </c>
      <c r="E70" s="19">
        <f>Data!E54</f>
        <v>10246.925486308453</v>
      </c>
      <c r="F70" s="19">
        <f>Data!F54</f>
        <v>116</v>
      </c>
      <c r="G70" s="19">
        <f>Data!G54</f>
        <v>430.58450000000005</v>
      </c>
      <c r="H70" s="19">
        <f>Data!H54</f>
        <v>2282</v>
      </c>
      <c r="I70" s="19">
        <f>Data!I54</f>
        <v>56.002499999999998</v>
      </c>
      <c r="J70" s="19">
        <f>Data!J54</f>
        <v>321.07499999999999</v>
      </c>
      <c r="K70" s="19">
        <f>Data!K54</f>
        <v>1020.8156</v>
      </c>
      <c r="L70" s="19">
        <f>Data!L54</f>
        <v>293</v>
      </c>
      <c r="M70" s="19">
        <f>Data!M54</f>
        <v>613.4511</v>
      </c>
      <c r="N70" s="19">
        <f>Data!N54</f>
        <v>2329.7799</v>
      </c>
      <c r="O70" s="19">
        <f>Data!O54</f>
        <v>3129.1240000000003</v>
      </c>
      <c r="P70" s="19">
        <f>Data!P54</f>
        <v>867.88250000000005</v>
      </c>
      <c r="Q70" s="19">
        <f>Data!Q54</f>
        <v>3920.1390863084544</v>
      </c>
    </row>
    <row r="71" spans="1:17" ht="17">
      <c r="A71" s="63" t="s">
        <v>153</v>
      </c>
      <c r="B71" s="19">
        <f>Data!B55</f>
        <v>7711.4696726765451</v>
      </c>
      <c r="C71" s="19">
        <f>Data!C55</f>
        <v>1559</v>
      </c>
      <c r="D71" s="19">
        <f>Data!D55</f>
        <v>1186.8811000000001</v>
      </c>
      <c r="E71" s="19">
        <f>Data!E55</f>
        <v>4965.5885726765446</v>
      </c>
      <c r="F71" s="19">
        <f>Data!F55</f>
        <v>153</v>
      </c>
      <c r="G71" s="19">
        <f>Data!G55</f>
        <v>479</v>
      </c>
      <c r="H71" s="19">
        <f>Data!H55</f>
        <v>927</v>
      </c>
      <c r="I71" s="19">
        <f>Data!I55</f>
        <v>54</v>
      </c>
      <c r="J71" s="19">
        <f>Data!J55</f>
        <v>151</v>
      </c>
      <c r="K71" s="19">
        <f>Data!K55</f>
        <v>428</v>
      </c>
      <c r="L71" s="19">
        <f>Data!L55</f>
        <v>123.88109999999999</v>
      </c>
      <c r="M71" s="19">
        <f>Data!M55</f>
        <v>430</v>
      </c>
      <c r="N71" s="19">
        <f>Data!N55</f>
        <v>1088</v>
      </c>
      <c r="O71" s="19">
        <f>Data!O55</f>
        <v>1405</v>
      </c>
      <c r="P71" s="19">
        <f>Data!P55</f>
        <v>392</v>
      </c>
      <c r="Q71" s="19">
        <f>Data!Q55</f>
        <v>2080.5885726765446</v>
      </c>
    </row>
    <row r="72" spans="1:17" ht="17">
      <c r="A72" s="63" t="s">
        <v>150</v>
      </c>
      <c r="B72" s="19">
        <f>Data!B56</f>
        <v>5810.6582919211205</v>
      </c>
      <c r="C72" s="19">
        <f>Data!C56</f>
        <v>762</v>
      </c>
      <c r="D72" s="19">
        <f>Data!D56</f>
        <v>795</v>
      </c>
      <c r="E72" s="19">
        <f>Data!E56</f>
        <v>4253.6582919211205</v>
      </c>
      <c r="F72" s="19">
        <f>Data!F56</f>
        <v>0</v>
      </c>
      <c r="G72" s="19">
        <f>Data!G56</f>
        <v>153</v>
      </c>
      <c r="H72" s="19">
        <f>Data!H56</f>
        <v>609</v>
      </c>
      <c r="I72" s="19">
        <f>Data!I56</f>
        <v>0</v>
      </c>
      <c r="J72" s="19">
        <f>Data!J56</f>
        <v>118</v>
      </c>
      <c r="K72" s="19">
        <f>Data!K56</f>
        <v>282</v>
      </c>
      <c r="L72" s="19">
        <f>Data!L56</f>
        <v>114</v>
      </c>
      <c r="M72" s="19">
        <f>Data!M56</f>
        <v>281</v>
      </c>
      <c r="N72" s="19">
        <f>Data!N56</f>
        <v>1554</v>
      </c>
      <c r="O72" s="19">
        <f>Data!O56</f>
        <v>1677</v>
      </c>
      <c r="P72" s="19">
        <f>Data!P56</f>
        <v>233</v>
      </c>
      <c r="Q72" s="19">
        <f>Data!Q56</f>
        <v>789.65829192112039</v>
      </c>
    </row>
    <row r="73" spans="1:17" ht="17">
      <c r="A73" s="63" t="s">
        <v>151</v>
      </c>
      <c r="B73" s="19">
        <f>Data!B57</f>
        <v>8796.2443232873302</v>
      </c>
      <c r="C73" s="19">
        <f>Data!C57</f>
        <v>892.279480355533</v>
      </c>
      <c r="D73" s="19">
        <f>Data!D57</f>
        <v>851.92282120411278</v>
      </c>
      <c r="E73" s="19">
        <f>Data!E57</f>
        <v>7052.0420217276842</v>
      </c>
      <c r="F73" s="19">
        <f>Data!F57</f>
        <v>176.524103505119</v>
      </c>
      <c r="G73" s="19">
        <f>Data!G57</f>
        <v>593.94514725041608</v>
      </c>
      <c r="H73" s="19">
        <f>Data!H57</f>
        <v>121.81022959999791</v>
      </c>
      <c r="I73" s="19">
        <f>Data!I57</f>
        <v>79.051398103396536</v>
      </c>
      <c r="J73" s="19">
        <f>Data!J57</f>
        <v>34.887726497527979</v>
      </c>
      <c r="K73" s="19">
        <f>Data!K57</f>
        <v>264.55193972203642</v>
      </c>
      <c r="L73" s="19">
        <f>Data!L57</f>
        <v>44.850499999999784</v>
      </c>
      <c r="M73" s="19">
        <f>Data!M57</f>
        <v>428.58125688115206</v>
      </c>
      <c r="N73" s="19">
        <f>Data!N57</f>
        <v>973.16270000000259</v>
      </c>
      <c r="O73" s="19">
        <f>Data!O57</f>
        <v>2526.8899999999994</v>
      </c>
      <c r="P73" s="19">
        <f>Data!P57</f>
        <v>19.854800000000068</v>
      </c>
      <c r="Q73" s="19">
        <f>Data!Q57</f>
        <v>3532.1345217276817</v>
      </c>
    </row>
    <row r="74" spans="1:17" ht="15" customHeight="1">
      <c r="A74" s="62" t="s">
        <v>199</v>
      </c>
      <c r="B74" s="19">
        <f>Data!B58</f>
        <v>18978.846787972754</v>
      </c>
      <c r="C74" s="19">
        <f>Data!C58</f>
        <v>4443.47</v>
      </c>
      <c r="D74" s="19">
        <f>Data!D58</f>
        <v>1267.5160000000001</v>
      </c>
      <c r="E74" s="19">
        <f>Data!E58</f>
        <v>13267.860787972753</v>
      </c>
      <c r="F74" s="19">
        <f>Data!F58</f>
        <v>1013.8779999999999</v>
      </c>
      <c r="G74" s="19">
        <f>Data!G58</f>
        <v>736.22800000000007</v>
      </c>
      <c r="H74" s="19">
        <f>Data!H58</f>
        <v>2693.364</v>
      </c>
      <c r="I74" s="19">
        <f>Data!I58</f>
        <v>54.353999999999999</v>
      </c>
      <c r="J74" s="19">
        <f>Data!J58</f>
        <v>389.34200000000004</v>
      </c>
      <c r="K74" s="19">
        <f>Data!K58</f>
        <v>225.363</v>
      </c>
      <c r="L74" s="19">
        <f>Data!L58</f>
        <v>421.45699999999999</v>
      </c>
      <c r="M74" s="19">
        <f>Data!M58</f>
        <v>177</v>
      </c>
      <c r="N74" s="19">
        <f>Data!N58</f>
        <v>1006.393</v>
      </c>
      <c r="O74" s="19">
        <f>Data!O58</f>
        <v>1233.277</v>
      </c>
      <c r="P74" s="19">
        <f>Data!P58</f>
        <v>729.07600000000002</v>
      </c>
      <c r="Q74" s="19">
        <f>Data!Q58</f>
        <v>10299.114787972752</v>
      </c>
    </row>
    <row r="75" spans="1:17" ht="17">
      <c r="A75" s="63" t="s">
        <v>148</v>
      </c>
      <c r="B75" s="19">
        <f>Data!B59</f>
        <v>2414.7253802287082</v>
      </c>
      <c r="C75" s="19">
        <f>Data!C59</f>
        <v>276.15112741237118</v>
      </c>
      <c r="D75" s="19">
        <f>Data!D59</f>
        <v>65.470992300000006</v>
      </c>
      <c r="E75" s="19">
        <f>Data!E59</f>
        <v>2073.1032605163373</v>
      </c>
      <c r="F75" s="19">
        <f>Data!F59</f>
        <v>52.711283519999995</v>
      </c>
      <c r="G75" s="19">
        <f>Data!G59</f>
        <v>9.2339005500000031</v>
      </c>
      <c r="H75" s="19">
        <f>Data!H59</f>
        <v>214.2059433423712</v>
      </c>
      <c r="I75" s="19">
        <f>Data!I59</f>
        <v>3.6461880000000004</v>
      </c>
      <c r="J75" s="19">
        <f>Data!J59</f>
        <v>4.8588718499999999</v>
      </c>
      <c r="K75" s="19">
        <f>Data!K59</f>
        <v>8.1848232900000006</v>
      </c>
      <c r="L75" s="19">
        <f>Data!L59</f>
        <v>35.28</v>
      </c>
      <c r="M75" s="19">
        <f>Data!M59</f>
        <v>13.501109159999999</v>
      </c>
      <c r="N75" s="19">
        <f>Data!N59</f>
        <v>49.962941109849616</v>
      </c>
      <c r="O75" s="19">
        <f>Data!O59</f>
        <v>62.839342352839942</v>
      </c>
      <c r="P75" s="19">
        <f>Data!P59</f>
        <v>39.228560771740547</v>
      </c>
      <c r="Q75" s="19">
        <f>Data!Q59</f>
        <v>1921.072416281907</v>
      </c>
    </row>
    <row r="76" spans="1:17" ht="17">
      <c r="A76" s="63" t="s">
        <v>149</v>
      </c>
      <c r="B76" s="19">
        <f>Data!B60</f>
        <v>5942.2056615710171</v>
      </c>
      <c r="C76" s="19">
        <f>Data!C60</f>
        <v>1826.5650048124999</v>
      </c>
      <c r="D76" s="19">
        <f>Data!D60</f>
        <v>459.71404888500001</v>
      </c>
      <c r="E76" s="19">
        <f>Data!E60</f>
        <v>3655.9266078735154</v>
      </c>
      <c r="F76" s="19">
        <f>Data!F60</f>
        <v>479</v>
      </c>
      <c r="G76" s="19">
        <f>Data!G60</f>
        <v>117.56500481250002</v>
      </c>
      <c r="H76" s="19">
        <f>Data!H60</f>
        <v>1230</v>
      </c>
      <c r="I76" s="19">
        <f>Data!I60</f>
        <v>13.602159899999998</v>
      </c>
      <c r="J76" s="19">
        <f>Data!J60</f>
        <v>116.22524130000002</v>
      </c>
      <c r="K76" s="19">
        <f>Data!K60</f>
        <v>81.2245563675</v>
      </c>
      <c r="L76" s="19">
        <f>Data!L60</f>
        <v>189.63</v>
      </c>
      <c r="M76" s="19">
        <f>Data!M60</f>
        <v>59.032091317499976</v>
      </c>
      <c r="N76" s="19">
        <f>Data!N60</f>
        <v>337.23652690506265</v>
      </c>
      <c r="O76" s="19">
        <f>Data!O60</f>
        <v>381.97578220434599</v>
      </c>
      <c r="P76" s="19">
        <f>Data!P60</f>
        <v>276.27107481522972</v>
      </c>
      <c r="Q76" s="19">
        <f>Data!Q60</f>
        <v>2660.4432239488774</v>
      </c>
    </row>
    <row r="77" spans="1:17" ht="17">
      <c r="A77" s="63" t="s">
        <v>154</v>
      </c>
      <c r="B77" s="19">
        <f>Data!B61</f>
        <v>2527.8334115056914</v>
      </c>
      <c r="C77" s="19">
        <f>Data!C61</f>
        <v>581.12711987061869</v>
      </c>
      <c r="D77" s="19">
        <f>Data!D61</f>
        <v>182.55798385</v>
      </c>
      <c r="E77" s="19">
        <f>Data!E61</f>
        <v>1764.1483077850726</v>
      </c>
      <c r="F77" s="19">
        <f>Data!F61</f>
        <v>131.77820879999999</v>
      </c>
      <c r="G77" s="19">
        <f>Data!G61</f>
        <v>92.339005500000013</v>
      </c>
      <c r="H77" s="19">
        <f>Data!H61</f>
        <v>357.00990557061868</v>
      </c>
      <c r="I77" s="19">
        <f>Data!I61</f>
        <v>7.2923760000000009</v>
      </c>
      <c r="J77" s="19">
        <f>Data!J61</f>
        <v>48.588718500000006</v>
      </c>
      <c r="K77" s="19">
        <f>Data!K61</f>
        <v>40.92411645</v>
      </c>
      <c r="L77" s="19">
        <f>Data!L61</f>
        <v>52</v>
      </c>
      <c r="M77" s="19">
        <f>Data!M61</f>
        <v>33.752772899999997</v>
      </c>
      <c r="N77" s="19">
        <f>Data!N61</f>
        <v>166.54313703283208</v>
      </c>
      <c r="O77" s="19">
        <f>Data!O61</f>
        <v>209.46447450946647</v>
      </c>
      <c r="P77" s="19">
        <f>Data!P61</f>
        <v>98.071401929351325</v>
      </c>
      <c r="Q77" s="19">
        <f>Data!Q61</f>
        <v>1290.0692943134227</v>
      </c>
    </row>
    <row r="78" spans="1:17" ht="17">
      <c r="A78" s="63" t="s">
        <v>152</v>
      </c>
      <c r="B78" s="19">
        <f>Data!B62</f>
        <v>3273.152202417793</v>
      </c>
      <c r="C78" s="19">
        <f>Data!C62</f>
        <v>749.66843294829926</v>
      </c>
      <c r="D78" s="19">
        <f>Data!D62</f>
        <v>168.79712243500001</v>
      </c>
      <c r="E78" s="19">
        <f>Data!E62</f>
        <v>2354.6866470344939</v>
      </c>
      <c r="F78" s="19">
        <f>Data!F62</f>
        <v>164.034503325</v>
      </c>
      <c r="G78" s="19">
        <f>Data!G62</f>
        <v>109.50436822500002</v>
      </c>
      <c r="H78" s="19">
        <f>Data!H62</f>
        <v>476.12956139829924</v>
      </c>
      <c r="I78" s="19">
        <f>Data!I62</f>
        <v>7.6812387749999971</v>
      </c>
      <c r="J78" s="19">
        <f>Data!J62</f>
        <v>86.073277500000017</v>
      </c>
      <c r="K78" s="19">
        <f>Data!K62</f>
        <v>2.0426061599999961</v>
      </c>
      <c r="L78" s="19">
        <f>Data!L62</f>
        <v>73</v>
      </c>
      <c r="M78" s="19">
        <f>Data!M62</f>
        <v>0</v>
      </c>
      <c r="N78" s="19">
        <f>Data!N62</f>
        <v>92.88235379394736</v>
      </c>
      <c r="O78" s="19">
        <f>Data!O62</f>
        <v>73.943028018932893</v>
      </c>
      <c r="P78" s="19">
        <f>Data!P62</f>
        <v>149.49445919837837</v>
      </c>
      <c r="Q78" s="19">
        <f>Data!Q62</f>
        <v>2038.3668060232353</v>
      </c>
    </row>
    <row r="79" spans="1:17" ht="17">
      <c r="A79" s="63" t="s">
        <v>153</v>
      </c>
      <c r="B79" s="19">
        <f>Data!B63</f>
        <v>1493.5690246622366</v>
      </c>
      <c r="C79" s="19">
        <f>Data!C63</f>
        <v>544.48885326080267</v>
      </c>
      <c r="D79" s="19">
        <f>Data!D63</f>
        <v>178.63169124428757</v>
      </c>
      <c r="E79" s="19">
        <f>Data!E63</f>
        <v>770.44848015714683</v>
      </c>
      <c r="F79" s="19">
        <f>Data!F63</f>
        <v>120.80123709120679</v>
      </c>
      <c r="G79" s="19">
        <f>Data!G63</f>
        <v>164.06498659119177</v>
      </c>
      <c r="H79" s="19">
        <f>Data!H63</f>
        <v>259.62262957840414</v>
      </c>
      <c r="I79" s="19">
        <f>Data!I63</f>
        <v>12.16937816793893</v>
      </c>
      <c r="J79" s="19">
        <f>Data!J63</f>
        <v>53.798040854940432</v>
      </c>
      <c r="K79" s="19">
        <f>Data!K63</f>
        <v>38.606008774003847</v>
      </c>
      <c r="L79" s="19">
        <f>Data!L63</f>
        <v>38.587499999999999</v>
      </c>
      <c r="M79" s="19">
        <f>Data!M63</f>
        <v>35.470763447404359</v>
      </c>
      <c r="N79" s="19">
        <f>Data!N63</f>
        <v>139.33737164598887</v>
      </c>
      <c r="O79" s="19">
        <f>Data!O63</f>
        <v>157.12197074024576</v>
      </c>
      <c r="P79" s="19">
        <f>Data!P63</f>
        <v>102.09716720150979</v>
      </c>
      <c r="Q79" s="19">
        <f>Data!Q63</f>
        <v>371.89197056940236</v>
      </c>
    </row>
    <row r="80" spans="1:17" ht="17">
      <c r="A80" s="63" t="s">
        <v>150</v>
      </c>
      <c r="B80" s="19">
        <f>Data!B64</f>
        <v>793.95229880457146</v>
      </c>
      <c r="C80" s="19">
        <f>Data!C64</f>
        <v>138.95553633099604</v>
      </c>
      <c r="D80" s="19">
        <f>Data!D64</f>
        <v>55.011273698922452</v>
      </c>
      <c r="E80" s="19">
        <f>Data!E64</f>
        <v>599.98548877465305</v>
      </c>
      <c r="F80" s="19">
        <f>Data!F64</f>
        <v>0</v>
      </c>
      <c r="G80" s="19">
        <f>Data!G64</f>
        <v>35.536641332885878</v>
      </c>
      <c r="H80" s="19">
        <f>Data!H64</f>
        <v>103.41889499811016</v>
      </c>
      <c r="I80" s="19">
        <f>Data!I64</f>
        <v>0</v>
      </c>
      <c r="J80" s="19">
        <f>Data!J64</f>
        <v>29.031353118430275</v>
      </c>
      <c r="K80" s="19">
        <f>Data!K64</f>
        <v>0</v>
      </c>
      <c r="L80" s="19">
        <f>Data!L64</f>
        <v>25.979920580492177</v>
      </c>
      <c r="M80" s="19">
        <f>Data!M64</f>
        <v>0</v>
      </c>
      <c r="N80" s="19">
        <f>Data!N64</f>
        <v>27.688297369362733</v>
      </c>
      <c r="O80" s="19">
        <f>Data!O64</f>
        <v>2.6506396308840645</v>
      </c>
      <c r="P80" s="19">
        <f>Data!P64</f>
        <v>34.997056015183112</v>
      </c>
      <c r="Q80" s="19">
        <f>Data!Q64</f>
        <v>534.6494957592231</v>
      </c>
    </row>
    <row r="81" spans="1:17" ht="17">
      <c r="A81" s="63" t="s">
        <v>151</v>
      </c>
      <c r="B81" s="19">
        <f>Data!B65</f>
        <v>2533.4088087827349</v>
      </c>
      <c r="C81" s="19">
        <f>Data!C65</f>
        <v>326.51392536441222</v>
      </c>
      <c r="D81" s="19">
        <f>Data!D65</f>
        <v>157.33288758679009</v>
      </c>
      <c r="E81" s="19">
        <f>Data!E65</f>
        <v>2049.5619958315324</v>
      </c>
      <c r="F81" s="19">
        <f>Data!F65</f>
        <v>65.552767263793157</v>
      </c>
      <c r="G81" s="19">
        <f>Data!G65</f>
        <v>207.98409298842239</v>
      </c>
      <c r="H81" s="19">
        <f>Data!H65</f>
        <v>52.977065112196669</v>
      </c>
      <c r="I81" s="19">
        <f>Data!I65</f>
        <v>9.9626591570610685</v>
      </c>
      <c r="J81" s="19">
        <f>Data!J65</f>
        <v>50.766496876629276</v>
      </c>
      <c r="K81" s="19">
        <f>Data!K65</f>
        <v>54.380888958496172</v>
      </c>
      <c r="L81" s="19">
        <f>Data!L65</f>
        <v>6.9795794195078997</v>
      </c>
      <c r="M81" s="19">
        <f>Data!M65</f>
        <v>35.243263175095677</v>
      </c>
      <c r="N81" s="19">
        <f>Data!N65</f>
        <v>192.74237214295681</v>
      </c>
      <c r="O81" s="19">
        <f>Data!O65</f>
        <v>345.28176254328503</v>
      </c>
      <c r="P81" s="19">
        <f>Data!P65</f>
        <v>28.91628006860708</v>
      </c>
      <c r="Q81" s="19">
        <f>Data!Q65</f>
        <v>1482.6215810766835</v>
      </c>
    </row>
    <row r="82" spans="1:17" ht="15" customHeight="1">
      <c r="A82" s="62" t="s">
        <v>200</v>
      </c>
      <c r="B82" s="19">
        <f>B66-B74</f>
        <v>52466.047326874803</v>
      </c>
      <c r="C82" s="19">
        <f t="shared" ref="C82:Q82" si="26">C66-C74</f>
        <v>10183.991380355532</v>
      </c>
      <c r="D82" s="19">
        <f t="shared" si="26"/>
        <v>8713.5590212041134</v>
      </c>
      <c r="E82" s="19">
        <f t="shared" si="26"/>
        <v>33568.496925315165</v>
      </c>
      <c r="F82" s="19">
        <f t="shared" si="26"/>
        <v>577.99530350511918</v>
      </c>
      <c r="G82" s="19">
        <f t="shared" si="26"/>
        <v>1578.8426472504161</v>
      </c>
      <c r="H82" s="19">
        <f t="shared" si="26"/>
        <v>8027.1534295999991</v>
      </c>
      <c r="I82" s="19">
        <f t="shared" si="26"/>
        <v>249.65239810339654</v>
      </c>
      <c r="J82" s="19">
        <f t="shared" si="26"/>
        <v>631.46372649752789</v>
      </c>
      <c r="K82" s="19">
        <f t="shared" si="26"/>
        <v>3629.3472397220366</v>
      </c>
      <c r="L82" s="19">
        <f t="shared" si="26"/>
        <v>980.43139999999983</v>
      </c>
      <c r="M82" s="19">
        <f t="shared" si="26"/>
        <v>3222.6642568811517</v>
      </c>
      <c r="N82" s="19">
        <f t="shared" si="26"/>
        <v>9930.9351000000024</v>
      </c>
      <c r="O82" s="19">
        <f t="shared" si="26"/>
        <v>14388.809799999999</v>
      </c>
      <c r="P82" s="19">
        <f t="shared" si="26"/>
        <v>2382.6755000000003</v>
      </c>
      <c r="Q82" s="19">
        <f t="shared" si="26"/>
        <v>6866.076525315164</v>
      </c>
    </row>
    <row r="83" spans="1:17" ht="17">
      <c r="A83" s="63" t="s">
        <v>148</v>
      </c>
      <c r="B83" s="19">
        <f t="shared" ref="B83:Q89" si="27">B67-B75</f>
        <v>1697.2998504282709</v>
      </c>
      <c r="C83" s="19">
        <f t="shared" si="27"/>
        <v>539.54177258762888</v>
      </c>
      <c r="D83" s="19">
        <f t="shared" si="27"/>
        <v>270.3563077</v>
      </c>
      <c r="E83" s="19">
        <f t="shared" si="27"/>
        <v>887.40177014064193</v>
      </c>
      <c r="F83" s="19">
        <f t="shared" si="27"/>
        <v>28.637916480000001</v>
      </c>
      <c r="G83" s="19">
        <f t="shared" si="27"/>
        <v>16.094599450000004</v>
      </c>
      <c r="H83" s="19">
        <f t="shared" si="27"/>
        <v>494.80925665762885</v>
      </c>
      <c r="I83" s="19">
        <f t="shared" si="27"/>
        <v>11.091312</v>
      </c>
      <c r="J83" s="19">
        <f t="shared" si="27"/>
        <v>7.9841281500000001</v>
      </c>
      <c r="K83" s="19">
        <f t="shared" si="27"/>
        <v>64.730576710000008</v>
      </c>
      <c r="L83" s="19">
        <f t="shared" si="27"/>
        <v>70.90379999999999</v>
      </c>
      <c r="M83" s="19">
        <f t="shared" si="27"/>
        <v>115.64649084000001</v>
      </c>
      <c r="N83" s="19">
        <f t="shared" si="27"/>
        <v>282.86275889015036</v>
      </c>
      <c r="O83" s="19">
        <f t="shared" si="27"/>
        <v>406.52925764716008</v>
      </c>
      <c r="P83" s="19">
        <f t="shared" si="27"/>
        <v>99.63263922825945</v>
      </c>
      <c r="Q83" s="19">
        <f t="shared" si="27"/>
        <v>98.377114375072551</v>
      </c>
    </row>
    <row r="84" spans="1:17" ht="17">
      <c r="A84" s="63" t="s">
        <v>149</v>
      </c>
      <c r="B84" s="19">
        <f t="shared" si="27"/>
        <v>16331.389671137771</v>
      </c>
      <c r="C84" s="19">
        <f t="shared" si="27"/>
        <v>4335.3624951874999</v>
      </c>
      <c r="D84" s="19">
        <f t="shared" si="27"/>
        <v>3038.4915511149998</v>
      </c>
      <c r="E84" s="19">
        <f t="shared" si="27"/>
        <v>8957.5356248352691</v>
      </c>
      <c r="F84" s="19">
        <f t="shared" si="27"/>
        <v>413</v>
      </c>
      <c r="G84" s="19">
        <f t="shared" si="27"/>
        <v>262.36249518749997</v>
      </c>
      <c r="H84" s="19">
        <f t="shared" si="27"/>
        <v>3660</v>
      </c>
      <c r="I84" s="19">
        <f t="shared" si="27"/>
        <v>57.137840099999998</v>
      </c>
      <c r="J84" s="19">
        <f t="shared" si="27"/>
        <v>151.77475869999998</v>
      </c>
      <c r="K84" s="19">
        <f t="shared" si="27"/>
        <v>1340.6257436325</v>
      </c>
      <c r="L84" s="19">
        <f t="shared" si="27"/>
        <v>353.37</v>
      </c>
      <c r="M84" s="19">
        <f t="shared" si="27"/>
        <v>1135.5832086824998</v>
      </c>
      <c r="N84" s="19">
        <f t="shared" si="27"/>
        <v>3212.9042730949377</v>
      </c>
      <c r="O84" s="19">
        <f t="shared" si="27"/>
        <v>4468.1664177956545</v>
      </c>
      <c r="P84" s="19">
        <f t="shared" si="27"/>
        <v>836.72892518477033</v>
      </c>
      <c r="Q84" s="19">
        <f t="shared" si="27"/>
        <v>439.73600875990724</v>
      </c>
    </row>
    <row r="85" spans="1:17" ht="17">
      <c r="A85" s="63" t="s">
        <v>154</v>
      </c>
      <c r="B85" s="19">
        <f t="shared" si="27"/>
        <v>4833.2136657826632</v>
      </c>
      <c r="C85" s="19">
        <f t="shared" si="27"/>
        <v>1026.8498801293813</v>
      </c>
      <c r="D85" s="19">
        <f t="shared" si="27"/>
        <v>826.33601614999998</v>
      </c>
      <c r="E85" s="19">
        <f t="shared" si="27"/>
        <v>2980.027769503281</v>
      </c>
      <c r="F85" s="19">
        <f t="shared" si="27"/>
        <v>41.221791200000013</v>
      </c>
      <c r="G85" s="19">
        <f t="shared" si="27"/>
        <v>160.94599449999998</v>
      </c>
      <c r="H85" s="19">
        <f t="shared" si="27"/>
        <v>824.68209442938132</v>
      </c>
      <c r="I85" s="19">
        <f t="shared" si="27"/>
        <v>22.182624000000001</v>
      </c>
      <c r="J85" s="19">
        <f t="shared" si="27"/>
        <v>66.411281500000001</v>
      </c>
      <c r="K85" s="19">
        <f t="shared" si="27"/>
        <v>323.65288355000001</v>
      </c>
      <c r="L85" s="19">
        <f t="shared" si="27"/>
        <v>124.97299999999998</v>
      </c>
      <c r="M85" s="19">
        <f t="shared" si="27"/>
        <v>289.11622710000006</v>
      </c>
      <c r="N85" s="19">
        <f t="shared" si="27"/>
        <v>942.87586296716802</v>
      </c>
      <c r="O85" s="19">
        <f t="shared" si="27"/>
        <v>1355.0975254905336</v>
      </c>
      <c r="P85" s="19">
        <f t="shared" si="27"/>
        <v>249.08159807064862</v>
      </c>
      <c r="Q85" s="19">
        <f t="shared" si="27"/>
        <v>432.97278297493131</v>
      </c>
    </row>
    <row r="86" spans="1:17" ht="17">
      <c r="A86" s="63" t="s">
        <v>152</v>
      </c>
      <c r="B86" s="19">
        <f t="shared" si="27"/>
        <v>12106.70198389066</v>
      </c>
      <c r="C86" s="19">
        <f t="shared" si="27"/>
        <v>2078.9160670517008</v>
      </c>
      <c r="D86" s="19">
        <f t="shared" si="27"/>
        <v>2135.5470775650001</v>
      </c>
      <c r="E86" s="19">
        <f t="shared" si="27"/>
        <v>7892.2388392739595</v>
      </c>
      <c r="F86" s="19">
        <f t="shared" si="27"/>
        <v>-48.034503325000003</v>
      </c>
      <c r="G86" s="19">
        <f t="shared" si="27"/>
        <v>321.08013177500004</v>
      </c>
      <c r="H86" s="19">
        <f t="shared" si="27"/>
        <v>1805.8704386017007</v>
      </c>
      <c r="I86" s="19">
        <f t="shared" si="27"/>
        <v>48.321261225000001</v>
      </c>
      <c r="J86" s="19">
        <f t="shared" si="27"/>
        <v>235.00172249999997</v>
      </c>
      <c r="K86" s="19">
        <f t="shared" si="27"/>
        <v>1018.77299384</v>
      </c>
      <c r="L86" s="19">
        <f t="shared" si="27"/>
        <v>220</v>
      </c>
      <c r="M86" s="19">
        <f t="shared" si="27"/>
        <v>613.4511</v>
      </c>
      <c r="N86" s="19">
        <f t="shared" si="27"/>
        <v>2236.8975462060525</v>
      </c>
      <c r="O86" s="19">
        <f t="shared" si="27"/>
        <v>3055.1809719810672</v>
      </c>
      <c r="P86" s="19">
        <f t="shared" si="27"/>
        <v>718.38804080162163</v>
      </c>
      <c r="Q86" s="19">
        <f t="shared" si="27"/>
        <v>1881.772280285219</v>
      </c>
    </row>
    <row r="87" spans="1:17" ht="17">
      <c r="A87" s="63" t="s">
        <v>153</v>
      </c>
      <c r="B87" s="19">
        <f t="shared" si="27"/>
        <v>6217.9006480143089</v>
      </c>
      <c r="C87" s="19">
        <f t="shared" si="27"/>
        <v>1014.5111467391973</v>
      </c>
      <c r="D87" s="19">
        <f t="shared" si="27"/>
        <v>1008.2494087557125</v>
      </c>
      <c r="E87" s="19">
        <f t="shared" si="27"/>
        <v>4195.1400925193975</v>
      </c>
      <c r="F87" s="19">
        <f t="shared" si="27"/>
        <v>32.198762908793213</v>
      </c>
      <c r="G87" s="19">
        <f t="shared" si="27"/>
        <v>314.93501340880823</v>
      </c>
      <c r="H87" s="19">
        <f t="shared" si="27"/>
        <v>667.37737042159586</v>
      </c>
      <c r="I87" s="19">
        <f t="shared" si="27"/>
        <v>41.83062183206107</v>
      </c>
      <c r="J87" s="19">
        <f t="shared" si="27"/>
        <v>97.201959145059561</v>
      </c>
      <c r="K87" s="19">
        <f t="shared" si="27"/>
        <v>389.39399122599616</v>
      </c>
      <c r="L87" s="19">
        <f t="shared" si="27"/>
        <v>85.293599999999998</v>
      </c>
      <c r="M87" s="19">
        <f t="shared" si="27"/>
        <v>394.52923655259565</v>
      </c>
      <c r="N87" s="19">
        <f t="shared" si="27"/>
        <v>948.66262835401108</v>
      </c>
      <c r="O87" s="19">
        <f t="shared" si="27"/>
        <v>1247.8780292597542</v>
      </c>
      <c r="P87" s="19">
        <f t="shared" si="27"/>
        <v>289.90283279849018</v>
      </c>
      <c r="Q87" s="19">
        <f t="shared" si="27"/>
        <v>1708.6966021071421</v>
      </c>
    </row>
    <row r="88" spans="1:17" ht="17">
      <c r="A88" s="63" t="s">
        <v>150</v>
      </c>
      <c r="B88" s="19">
        <f t="shared" si="27"/>
        <v>5016.7059931165495</v>
      </c>
      <c r="C88" s="19">
        <f t="shared" si="27"/>
        <v>623.04446366900402</v>
      </c>
      <c r="D88" s="19">
        <f t="shared" si="27"/>
        <v>739.98872630107758</v>
      </c>
      <c r="E88" s="19">
        <f t="shared" si="27"/>
        <v>3653.6728031464672</v>
      </c>
      <c r="F88" s="19">
        <f t="shared" si="27"/>
        <v>0</v>
      </c>
      <c r="G88" s="19">
        <f t="shared" si="27"/>
        <v>117.46335866711412</v>
      </c>
      <c r="H88" s="19">
        <f t="shared" si="27"/>
        <v>505.58110500188985</v>
      </c>
      <c r="I88" s="19">
        <f t="shared" si="27"/>
        <v>0</v>
      </c>
      <c r="J88" s="19">
        <f t="shared" si="27"/>
        <v>88.968646881569725</v>
      </c>
      <c r="K88" s="19">
        <f t="shared" si="27"/>
        <v>282</v>
      </c>
      <c r="L88" s="19">
        <f t="shared" si="27"/>
        <v>88.020079419507823</v>
      </c>
      <c r="M88" s="19">
        <f t="shared" si="27"/>
        <v>281</v>
      </c>
      <c r="N88" s="19">
        <f t="shared" si="27"/>
        <v>1526.3117026306372</v>
      </c>
      <c r="O88" s="19">
        <f t="shared" si="27"/>
        <v>1674.3493603691159</v>
      </c>
      <c r="P88" s="19">
        <f t="shared" si="27"/>
        <v>198.00294398481688</v>
      </c>
      <c r="Q88" s="19">
        <f t="shared" si="27"/>
        <v>255.00879616189729</v>
      </c>
    </row>
    <row r="89" spans="1:17" ht="17">
      <c r="A89" s="63" t="s">
        <v>151</v>
      </c>
      <c r="B89" s="19">
        <f t="shared" si="27"/>
        <v>6262.8355145045953</v>
      </c>
      <c r="C89" s="19">
        <f t="shared" si="27"/>
        <v>565.76555499112078</v>
      </c>
      <c r="D89" s="19">
        <f t="shared" si="27"/>
        <v>694.58993361732269</v>
      </c>
      <c r="E89" s="19">
        <f t="shared" si="27"/>
        <v>5002.4800258961513</v>
      </c>
      <c r="F89" s="19">
        <f t="shared" si="27"/>
        <v>110.97133624132584</v>
      </c>
      <c r="G89" s="19">
        <f t="shared" si="27"/>
        <v>385.9610542619937</v>
      </c>
      <c r="H89" s="19">
        <f t="shared" si="27"/>
        <v>68.833164487801241</v>
      </c>
      <c r="I89" s="19">
        <f t="shared" si="27"/>
        <v>69.088738946335468</v>
      </c>
      <c r="J89" s="19">
        <f t="shared" si="27"/>
        <v>-15.878770379101297</v>
      </c>
      <c r="K89" s="19">
        <f t="shared" si="27"/>
        <v>210.17105076354025</v>
      </c>
      <c r="L89" s="19">
        <f t="shared" si="27"/>
        <v>37.870920580491884</v>
      </c>
      <c r="M89" s="19">
        <f t="shared" si="27"/>
        <v>393.33799370605641</v>
      </c>
      <c r="N89" s="19">
        <f t="shared" si="27"/>
        <v>780.42032785704578</v>
      </c>
      <c r="O89" s="19">
        <f t="shared" si="27"/>
        <v>2181.6082374567145</v>
      </c>
      <c r="P89" s="19">
        <f t="shared" si="27"/>
        <v>-9.0614800686070112</v>
      </c>
      <c r="Q89" s="19">
        <f t="shared" si="27"/>
        <v>2049.5129406509982</v>
      </c>
    </row>
    <row r="90" spans="1:17" ht="15" customHeight="1">
      <c r="A90" s="44" t="s">
        <v>157</v>
      </c>
      <c r="B90" s="32">
        <f>100*B66/B$4</f>
        <v>100</v>
      </c>
      <c r="C90" s="32">
        <f t="shared" ref="C90:Q90" si="28">100*C66/C$4</f>
        <v>100</v>
      </c>
      <c r="D90" s="32">
        <f t="shared" si="28"/>
        <v>100</v>
      </c>
      <c r="E90" s="32">
        <f t="shared" si="28"/>
        <v>99.999999999999986</v>
      </c>
      <c r="F90" s="32">
        <f t="shared" si="28"/>
        <v>100</v>
      </c>
      <c r="G90" s="32">
        <f t="shared" si="28"/>
        <v>100</v>
      </c>
      <c r="H90" s="32">
        <f t="shared" si="28"/>
        <v>100.00000000000001</v>
      </c>
      <c r="I90" s="32">
        <f t="shared" si="28"/>
        <v>100</v>
      </c>
      <c r="J90" s="32">
        <f t="shared" si="28"/>
        <v>100</v>
      </c>
      <c r="K90" s="32">
        <f t="shared" si="28"/>
        <v>100</v>
      </c>
      <c r="L90" s="32">
        <f t="shared" si="28"/>
        <v>99.999999999999986</v>
      </c>
      <c r="M90" s="32">
        <f t="shared" si="28"/>
        <v>100</v>
      </c>
      <c r="N90" s="32">
        <f t="shared" si="28"/>
        <v>100</v>
      </c>
      <c r="O90" s="32">
        <f t="shared" si="28"/>
        <v>100</v>
      </c>
      <c r="P90" s="32">
        <f t="shared" si="28"/>
        <v>100</v>
      </c>
      <c r="Q90" s="32">
        <f t="shared" si="28"/>
        <v>100</v>
      </c>
    </row>
    <row r="91" spans="1:17" ht="17">
      <c r="A91" s="63" t="s">
        <v>148</v>
      </c>
      <c r="B91" s="32">
        <f>100*B67/B$4</f>
        <v>5.755520085237869</v>
      </c>
      <c r="C91" s="32">
        <f t="shared" ref="C91:Q91" si="29">100*C67/C$4</f>
        <v>5.5764488368122693</v>
      </c>
      <c r="D91" s="32">
        <f t="shared" si="29"/>
        <v>3.3646405751540573</v>
      </c>
      <c r="E91" s="32">
        <f t="shared" si="29"/>
        <v>6.3209548632707957</v>
      </c>
      <c r="F91" s="32">
        <f t="shared" si="29"/>
        <v>5.1102810645092527</v>
      </c>
      <c r="G91" s="32">
        <f t="shared" si="29"/>
        <v>1.0940702837765397</v>
      </c>
      <c r="H91" s="32">
        <f t="shared" si="29"/>
        <v>6.6136285366447529</v>
      </c>
      <c r="I91" s="32">
        <f t="shared" si="29"/>
        <v>4.8477598142482465</v>
      </c>
      <c r="J91" s="32">
        <f t="shared" si="29"/>
        <v>1.2581238199030715</v>
      </c>
      <c r="K91" s="32">
        <f t="shared" si="29"/>
        <v>1.8915922459909191</v>
      </c>
      <c r="L91" s="32">
        <f t="shared" si="29"/>
        <v>7.5743404396526861</v>
      </c>
      <c r="M91" s="32">
        <f t="shared" si="29"/>
        <v>3.7988339506937043</v>
      </c>
      <c r="N91" s="32">
        <f t="shared" si="29"/>
        <v>3.043025654501486</v>
      </c>
      <c r="O91" s="32">
        <f t="shared" si="29"/>
        <v>3.004519216984507</v>
      </c>
      <c r="P91" s="32">
        <f t="shared" si="29"/>
        <v>4.4624771611743412</v>
      </c>
      <c r="Q91" s="32">
        <f t="shared" si="29"/>
        <v>11.764794774490415</v>
      </c>
    </row>
    <row r="92" spans="1:17" ht="17">
      <c r="A92" s="63" t="s">
        <v>149</v>
      </c>
      <c r="B92" s="32">
        <f t="shared" ref="B92:Q92" si="30">100*B68/B$4</f>
        <v>31.17590922159394</v>
      </c>
      <c r="C92" s="32">
        <f t="shared" si="30"/>
        <v>42.125747864050958</v>
      </c>
      <c r="D92" s="32">
        <f t="shared" si="30"/>
        <v>35.048384994284689</v>
      </c>
      <c r="E92" s="32">
        <f t="shared" si="30"/>
        <v>26.930920439891992</v>
      </c>
      <c r="F92" s="32">
        <f t="shared" si="30"/>
        <v>56.034610168781661</v>
      </c>
      <c r="G92" s="32">
        <f t="shared" si="30"/>
        <v>16.411054256648093</v>
      </c>
      <c r="H92" s="32">
        <f t="shared" si="30"/>
        <v>45.61346998511857</v>
      </c>
      <c r="I92" s="32">
        <f t="shared" si="30"/>
        <v>23.269247108391582</v>
      </c>
      <c r="J92" s="32">
        <f t="shared" si="30"/>
        <v>26.253771216539995</v>
      </c>
      <c r="K92" s="32">
        <f t="shared" si="30"/>
        <v>36.886048796822919</v>
      </c>
      <c r="L92" s="32">
        <f t="shared" si="30"/>
        <v>38.733468370235464</v>
      </c>
      <c r="M92" s="32">
        <f t="shared" si="30"/>
        <v>35.139214043916759</v>
      </c>
      <c r="N92" s="32">
        <f t="shared" si="30"/>
        <v>32.458940314682515</v>
      </c>
      <c r="O92" s="32">
        <f t="shared" si="30"/>
        <v>31.046698575506575</v>
      </c>
      <c r="P92" s="32">
        <f t="shared" si="30"/>
        <v>35.767637615021634</v>
      </c>
      <c r="Q92" s="32">
        <f t="shared" si="30"/>
        <v>18.06084870320597</v>
      </c>
    </row>
    <row r="93" spans="1:17" ht="17">
      <c r="A93" s="63" t="s">
        <v>154</v>
      </c>
      <c r="B93" s="32">
        <f t="shared" ref="B93:Q93" si="31">100*B69/B$4</f>
        <v>10.303111465817953</v>
      </c>
      <c r="C93" s="32">
        <f t="shared" si="31"/>
        <v>10.992864436200046</v>
      </c>
      <c r="D93" s="32">
        <f t="shared" si="31"/>
        <v>10.108069500095665</v>
      </c>
      <c r="E93" s="32">
        <f t="shared" si="31"/>
        <v>10.129259209971373</v>
      </c>
      <c r="F93" s="32">
        <f t="shared" si="31"/>
        <v>10.867699057398237</v>
      </c>
      <c r="G93" s="32">
        <f t="shared" si="31"/>
        <v>10.940702837765397</v>
      </c>
      <c r="H93" s="32">
        <f t="shared" si="31"/>
        <v>11.022714227741254</v>
      </c>
      <c r="I93" s="32">
        <f t="shared" si="31"/>
        <v>9.6955196284964931</v>
      </c>
      <c r="J93" s="32">
        <f t="shared" si="31"/>
        <v>11.26561078321679</v>
      </c>
      <c r="K93" s="32">
        <f t="shared" si="31"/>
        <v>9.4579612299545932</v>
      </c>
      <c r="L93" s="32">
        <f t="shared" si="31"/>
        <v>12.623900732754477</v>
      </c>
      <c r="M93" s="32">
        <f t="shared" si="31"/>
        <v>9.4970848767342595</v>
      </c>
      <c r="N93" s="32">
        <f t="shared" si="31"/>
        <v>10.143418848338287</v>
      </c>
      <c r="O93" s="32">
        <f t="shared" si="31"/>
        <v>10.015064056615024</v>
      </c>
      <c r="P93" s="32">
        <f t="shared" si="31"/>
        <v>11.156192902935851</v>
      </c>
      <c r="Q93" s="32">
        <f t="shared" si="31"/>
        <v>10.038001009371291</v>
      </c>
    </row>
    <row r="94" spans="1:17" ht="17">
      <c r="A94" s="63" t="s">
        <v>152</v>
      </c>
      <c r="B94" s="32">
        <f t="shared" ref="B94:Q94" si="32">100*B70/B$4</f>
        <v>21.526876590488556</v>
      </c>
      <c r="C94" s="32">
        <f t="shared" si="32"/>
        <v>19.337494227116863</v>
      </c>
      <c r="D94" s="32">
        <f t="shared" si="32"/>
        <v>23.087134352808469</v>
      </c>
      <c r="E94" s="32">
        <f t="shared" si="32"/>
        <v>21.878143362546965</v>
      </c>
      <c r="F94" s="32">
        <f t="shared" si="32"/>
        <v>7.2870120847294535</v>
      </c>
      <c r="G94" s="32">
        <f t="shared" si="32"/>
        <v>18.599194824201174</v>
      </c>
      <c r="H94" s="32">
        <f t="shared" si="32"/>
        <v>21.286285993055333</v>
      </c>
      <c r="I94" s="32">
        <f t="shared" si="32"/>
        <v>18.421487294143336</v>
      </c>
      <c r="J94" s="32">
        <f t="shared" si="32"/>
        <v>31.45309549757679</v>
      </c>
      <c r="K94" s="32">
        <f t="shared" si="32"/>
        <v>26.482291443872864</v>
      </c>
      <c r="L94" s="32">
        <f t="shared" si="32"/>
        <v>20.900379801987093</v>
      </c>
      <c r="M94" s="32">
        <f t="shared" si="32"/>
        <v>18.044461265795093</v>
      </c>
      <c r="N94" s="32">
        <f t="shared" si="32"/>
        <v>21.3011795815104</v>
      </c>
      <c r="O94" s="32">
        <f t="shared" si="32"/>
        <v>20.030128113230049</v>
      </c>
      <c r="P94" s="32">
        <f t="shared" si="32"/>
        <v>27.890482257339634</v>
      </c>
      <c r="Q94" s="32">
        <f t="shared" si="32"/>
        <v>22.837724408429963</v>
      </c>
    </row>
    <row r="95" spans="1:17" ht="17">
      <c r="A95" s="63" t="s">
        <v>153</v>
      </c>
      <c r="B95" s="32">
        <f t="shared" ref="B95:Q95" si="33">100*B71/B$4</f>
        <v>10.793591016147872</v>
      </c>
      <c r="C95" s="32">
        <f t="shared" si="33"/>
        <v>10.658035317691656</v>
      </c>
      <c r="D95" s="32">
        <f t="shared" si="33"/>
        <v>11.891315288969896</v>
      </c>
      <c r="E95" s="32">
        <f t="shared" si="33"/>
        <v>10.601995575902267</v>
      </c>
      <c r="F95" s="32">
        <f t="shared" si="33"/>
        <v>9.6113176634793653</v>
      </c>
      <c r="G95" s="32">
        <f t="shared" si="33"/>
        <v>20.690513292495112</v>
      </c>
      <c r="H95" s="32">
        <f t="shared" si="33"/>
        <v>8.646970690430452</v>
      </c>
      <c r="I95" s="32">
        <f t="shared" si="33"/>
        <v>17.762784052207316</v>
      </c>
      <c r="J95" s="32">
        <f t="shared" si="33"/>
        <v>14.792236767528133</v>
      </c>
      <c r="K95" s="32">
        <f t="shared" si="33"/>
        <v>11.103298909203176</v>
      </c>
      <c r="L95" s="32">
        <f t="shared" si="33"/>
        <v>8.8367305129281331</v>
      </c>
      <c r="M95" s="32">
        <f t="shared" si="33"/>
        <v>12.648307818327964</v>
      </c>
      <c r="N95" s="32">
        <f t="shared" si="33"/>
        <v>9.9475849133574012</v>
      </c>
      <c r="O95" s="32">
        <f t="shared" si="33"/>
        <v>8.9936768242767666</v>
      </c>
      <c r="P95" s="32">
        <f t="shared" si="33"/>
        <v>12.597406958749758</v>
      </c>
      <c r="Q95" s="32">
        <f t="shared" si="33"/>
        <v>12.12097514500709</v>
      </c>
    </row>
    <row r="96" spans="1:17" ht="17">
      <c r="A96" s="63" t="s">
        <v>150</v>
      </c>
      <c r="B96" s="32">
        <f t="shared" ref="B96:Q96" si="34">100*B72/B$4</f>
        <v>8.1330630605743455</v>
      </c>
      <c r="C96" s="32">
        <f t="shared" si="34"/>
        <v>5.2093796742020793</v>
      </c>
      <c r="D96" s="32">
        <f t="shared" si="34"/>
        <v>7.9650738854389607</v>
      </c>
      <c r="E96" s="32">
        <f t="shared" si="34"/>
        <v>9.0819579053524855</v>
      </c>
      <c r="F96" s="32">
        <f t="shared" si="34"/>
        <v>0</v>
      </c>
      <c r="G96" s="32">
        <f t="shared" si="34"/>
        <v>6.6088695902959333</v>
      </c>
      <c r="H96" s="32">
        <f t="shared" si="34"/>
        <v>5.680695955201883</v>
      </c>
      <c r="I96" s="32">
        <f t="shared" si="34"/>
        <v>0</v>
      </c>
      <c r="J96" s="32">
        <f t="shared" si="34"/>
        <v>11.559496281909402</v>
      </c>
      <c r="K96" s="32">
        <f t="shared" si="34"/>
        <v>7.3157249822319992</v>
      </c>
      <c r="L96" s="32">
        <f t="shared" si="34"/>
        <v>8.1318883871212577</v>
      </c>
      <c r="M96" s="32">
        <f t="shared" si="34"/>
        <v>8.2655220859306002</v>
      </c>
      <c r="N96" s="32">
        <f t="shared" si="34"/>
        <v>14.208223304556435</v>
      </c>
      <c r="O96" s="32">
        <f t="shared" si="34"/>
        <v>10.734801447908996</v>
      </c>
      <c r="P96" s="32">
        <f t="shared" si="34"/>
        <v>7.4877444423180961</v>
      </c>
      <c r="Q96" s="32">
        <f t="shared" si="34"/>
        <v>4.6003465822710066</v>
      </c>
    </row>
    <row r="97" spans="1:17" ht="17">
      <c r="A97" s="63" t="s">
        <v>151</v>
      </c>
      <c r="B97" s="32">
        <f t="shared" ref="B97:Q97" si="35">100*B73/B$4</f>
        <v>12.311928560139485</v>
      </c>
      <c r="C97" s="32">
        <f t="shared" si="35"/>
        <v>6.100029643926125</v>
      </c>
      <c r="D97" s="32">
        <f t="shared" si="35"/>
        <v>8.5353814032482571</v>
      </c>
      <c r="E97" s="32">
        <f t="shared" si="35"/>
        <v>15.056768643064133</v>
      </c>
      <c r="F97" s="32">
        <f t="shared" si="35"/>
        <v>11.089079961102025</v>
      </c>
      <c r="G97" s="32">
        <f t="shared" si="35"/>
        <v>25.655594914817744</v>
      </c>
      <c r="H97" s="32">
        <f t="shared" si="35"/>
        <v>1.1362346118077518</v>
      </c>
      <c r="I97" s="32">
        <f t="shared" si="35"/>
        <v>26.003202102513029</v>
      </c>
      <c r="J97" s="32">
        <f t="shared" si="35"/>
        <v>3.4176656333258202</v>
      </c>
      <c r="K97" s="32">
        <f t="shared" si="35"/>
        <v>6.8630823919235304</v>
      </c>
      <c r="L97" s="32">
        <f t="shared" si="35"/>
        <v>3.1992917553208793</v>
      </c>
      <c r="M97" s="32">
        <f t="shared" si="35"/>
        <v>12.606575958601631</v>
      </c>
      <c r="N97" s="32">
        <f t="shared" si="35"/>
        <v>8.8976273830534751</v>
      </c>
      <c r="O97" s="32">
        <f t="shared" si="35"/>
        <v>16.175111765478089</v>
      </c>
      <c r="P97" s="32">
        <f t="shared" si="35"/>
        <v>0.63805866246067744</v>
      </c>
      <c r="Q97" s="32">
        <f t="shared" si="35"/>
        <v>20.577309377224278</v>
      </c>
    </row>
    <row r="98" spans="1:17">
      <c r="A98" s="44" t="s">
        <v>198</v>
      </c>
      <c r="B98" s="32">
        <f>IF(B66&gt;0,100*B74/B66,0)</f>
        <v>26.564315089423026</v>
      </c>
      <c r="C98" s="32">
        <f t="shared" ref="C98:Q98" si="36">IF(C66&gt;0,100*C74/C66,0)</f>
        <v>30.377588321426131</v>
      </c>
      <c r="D98" s="32">
        <f t="shared" si="36"/>
        <v>12.699193196196289</v>
      </c>
      <c r="E98" s="32">
        <f t="shared" si="36"/>
        <v>28.328122500884685</v>
      </c>
      <c r="F98" s="32">
        <f t="shared" si="36"/>
        <v>63.69087274518386</v>
      </c>
      <c r="G98" s="32">
        <f t="shared" si="36"/>
        <v>31.801534906695391</v>
      </c>
      <c r="H98" s="32">
        <f t="shared" si="36"/>
        <v>25.123451528220635</v>
      </c>
      <c r="I98" s="32">
        <f t="shared" si="36"/>
        <v>17.879228969882895</v>
      </c>
      <c r="J98" s="32">
        <f t="shared" si="36"/>
        <v>38.140655943992975</v>
      </c>
      <c r="K98" s="32">
        <f t="shared" si="36"/>
        <v>5.8464316637260634</v>
      </c>
      <c r="L98" s="32">
        <f t="shared" si="36"/>
        <v>30.063520034833019</v>
      </c>
      <c r="M98" s="32">
        <f t="shared" si="36"/>
        <v>5.2063964740559294</v>
      </c>
      <c r="N98" s="32">
        <f t="shared" si="36"/>
        <v>9.20145204384972</v>
      </c>
      <c r="O98" s="32">
        <f t="shared" si="36"/>
        <v>7.8944446781591315</v>
      </c>
      <c r="P98" s="32">
        <f t="shared" si="36"/>
        <v>23.429762948615917</v>
      </c>
      <c r="Q98" s="32">
        <f t="shared" si="36"/>
        <v>60.000000000000014</v>
      </c>
    </row>
    <row r="99" spans="1:17" ht="17">
      <c r="A99" s="63" t="s">
        <v>148</v>
      </c>
      <c r="B99" s="32">
        <f t="shared" ref="B99:Q105" si="37">IF(B67&gt;0,100*B75/B67,0)</f>
        <v>58.723505931477639</v>
      </c>
      <c r="C99" s="32">
        <f t="shared" si="37"/>
        <v>33.854791112239809</v>
      </c>
      <c r="D99" s="32">
        <f t="shared" si="37"/>
        <v>19.49543479639684</v>
      </c>
      <c r="E99" s="32">
        <f t="shared" si="37"/>
        <v>70.025324701315753</v>
      </c>
      <c r="F99" s="32">
        <f t="shared" si="37"/>
        <v>64.796314555029426</v>
      </c>
      <c r="G99" s="32">
        <f t="shared" si="37"/>
        <v>36.45656296267051</v>
      </c>
      <c r="H99" s="32">
        <f t="shared" si="37"/>
        <v>30.211756157325144</v>
      </c>
      <c r="I99" s="32">
        <f t="shared" si="37"/>
        <v>24.740885496183207</v>
      </c>
      <c r="J99" s="32">
        <f t="shared" si="37"/>
        <v>37.832841625788369</v>
      </c>
      <c r="K99" s="32">
        <f t="shared" si="37"/>
        <v>11.225095507944824</v>
      </c>
      <c r="L99" s="32">
        <f t="shared" si="37"/>
        <v>33.225407265515081</v>
      </c>
      <c r="M99" s="32">
        <f t="shared" si="37"/>
        <v>10.454014755210315</v>
      </c>
      <c r="N99" s="32">
        <f t="shared" si="37"/>
        <v>15.01174371746221</v>
      </c>
      <c r="O99" s="32">
        <f t="shared" si="37"/>
        <v>13.388058415675854</v>
      </c>
      <c r="P99" s="32">
        <f t="shared" si="37"/>
        <v>28.250195714670873</v>
      </c>
      <c r="Q99" s="32">
        <f t="shared" si="37"/>
        <v>95.128518297604202</v>
      </c>
    </row>
    <row r="100" spans="1:17" ht="17">
      <c r="A100" s="63" t="s">
        <v>149</v>
      </c>
      <c r="B100" s="32">
        <f t="shared" si="37"/>
        <v>26.678250964023235</v>
      </c>
      <c r="C100" s="32">
        <f t="shared" si="37"/>
        <v>29.642753907969546</v>
      </c>
      <c r="D100" s="32">
        <f t="shared" si="37"/>
        <v>13.141424531622729</v>
      </c>
      <c r="E100" s="32">
        <f t="shared" si="37"/>
        <v>28.984322784850427</v>
      </c>
      <c r="F100" s="32">
        <f t="shared" si="37"/>
        <v>53.699551569506724</v>
      </c>
      <c r="G100" s="32">
        <f t="shared" si="37"/>
        <v>30.944062962670515</v>
      </c>
      <c r="H100" s="32">
        <f t="shared" si="37"/>
        <v>25.153374233128833</v>
      </c>
      <c r="I100" s="32">
        <f t="shared" si="37"/>
        <v>19.228385496183208</v>
      </c>
      <c r="J100" s="32">
        <f t="shared" si="37"/>
        <v>43.367627350746275</v>
      </c>
      <c r="K100" s="32">
        <f t="shared" si="37"/>
        <v>5.7125955079448234</v>
      </c>
      <c r="L100" s="32">
        <f t="shared" si="37"/>
        <v>34.922651933701658</v>
      </c>
      <c r="M100" s="32">
        <f t="shared" si="37"/>
        <v>4.9415147552103162</v>
      </c>
      <c r="N100" s="32">
        <f t="shared" si="37"/>
        <v>9.4992437174622104</v>
      </c>
      <c r="O100" s="32">
        <f t="shared" si="37"/>
        <v>7.8755584156758527</v>
      </c>
      <c r="P100" s="32">
        <f t="shared" si="37"/>
        <v>24.822198995079042</v>
      </c>
      <c r="Q100" s="32">
        <f t="shared" si="37"/>
        <v>85.815787548009368</v>
      </c>
    </row>
    <row r="101" spans="1:17" ht="17">
      <c r="A101" s="63" t="s">
        <v>154</v>
      </c>
      <c r="B101" s="32">
        <f t="shared" si="37"/>
        <v>34.340677147752857</v>
      </c>
      <c r="C101" s="32">
        <f t="shared" si="37"/>
        <v>36.140263192235878</v>
      </c>
      <c r="D101" s="32">
        <f t="shared" si="37"/>
        <v>18.094862676356485</v>
      </c>
      <c r="E101" s="32">
        <f t="shared" si="37"/>
        <v>37.185557176735593</v>
      </c>
      <c r="F101" s="32">
        <f t="shared" si="37"/>
        <v>76.172375028901726</v>
      </c>
      <c r="G101" s="32">
        <f t="shared" si="37"/>
        <v>36.456562962670517</v>
      </c>
      <c r="H101" s="32">
        <f t="shared" si="37"/>
        <v>30.211756157325151</v>
      </c>
      <c r="I101" s="32">
        <f t="shared" si="37"/>
        <v>24.740885496183207</v>
      </c>
      <c r="J101" s="32">
        <f t="shared" si="37"/>
        <v>42.251059565217396</v>
      </c>
      <c r="K101" s="32">
        <f t="shared" si="37"/>
        <v>11.225095507944824</v>
      </c>
      <c r="L101" s="32">
        <f t="shared" si="37"/>
        <v>29.383013228006536</v>
      </c>
      <c r="M101" s="32">
        <f t="shared" si="37"/>
        <v>10.454014755210315</v>
      </c>
      <c r="N101" s="32">
        <f t="shared" si="37"/>
        <v>15.01174371746221</v>
      </c>
      <c r="O101" s="32">
        <f t="shared" si="37"/>
        <v>13.388058415675854</v>
      </c>
      <c r="P101" s="32">
        <f t="shared" si="37"/>
        <v>28.250195714670859</v>
      </c>
      <c r="Q101" s="32">
        <f t="shared" si="37"/>
        <v>74.871607102229078</v>
      </c>
    </row>
    <row r="102" spans="1:17" ht="17">
      <c r="A102" s="63" t="s">
        <v>152</v>
      </c>
      <c r="B102" s="32">
        <f t="shared" si="37"/>
        <v>21.282075647580832</v>
      </c>
      <c r="C102" s="32">
        <f t="shared" si="37"/>
        <v>26.503306970263726</v>
      </c>
      <c r="D102" s="32">
        <f t="shared" si="37"/>
        <v>7.3251696701820856</v>
      </c>
      <c r="E102" s="32">
        <f t="shared" si="37"/>
        <v>22.979445397360756</v>
      </c>
      <c r="F102" s="32">
        <f t="shared" si="37"/>
        <v>141.40905459051726</v>
      </c>
      <c r="G102" s="32">
        <f t="shared" si="37"/>
        <v>25.431562962670512</v>
      </c>
      <c r="H102" s="32">
        <f t="shared" si="37"/>
        <v>20.864573242694973</v>
      </c>
      <c r="I102" s="32">
        <f t="shared" si="37"/>
        <v>13.715885496183201</v>
      </c>
      <c r="J102" s="32">
        <f t="shared" si="37"/>
        <v>26.807841625788374</v>
      </c>
      <c r="K102" s="32">
        <f t="shared" si="37"/>
        <v>0.20009550794482334</v>
      </c>
      <c r="L102" s="32">
        <f t="shared" si="37"/>
        <v>24.914675767918087</v>
      </c>
      <c r="M102" s="32">
        <f t="shared" si="37"/>
        <v>0</v>
      </c>
      <c r="N102" s="32">
        <f t="shared" si="37"/>
        <v>3.9867437174622102</v>
      </c>
      <c r="O102" s="32">
        <f t="shared" si="37"/>
        <v>2.3630584156758534</v>
      </c>
      <c r="P102" s="32">
        <f t="shared" si="37"/>
        <v>17.225195714670864</v>
      </c>
      <c r="Q102" s="32">
        <f t="shared" si="37"/>
        <v>51.99730828792454</v>
      </c>
    </row>
    <row r="103" spans="1:17" ht="17">
      <c r="A103" s="63" t="s">
        <v>153</v>
      </c>
      <c r="B103" s="32">
        <f t="shared" si="37"/>
        <v>19.368150145935015</v>
      </c>
      <c r="C103" s="32">
        <f t="shared" si="37"/>
        <v>34.925519772982852</v>
      </c>
      <c r="D103" s="32">
        <f t="shared" si="37"/>
        <v>15.050512746751766</v>
      </c>
      <c r="E103" s="32">
        <f t="shared" si="37"/>
        <v>15.515753447568871</v>
      </c>
      <c r="F103" s="32">
        <f t="shared" si="37"/>
        <v>78.955056922357372</v>
      </c>
      <c r="G103" s="32">
        <f t="shared" si="37"/>
        <v>34.251562962670519</v>
      </c>
      <c r="H103" s="32">
        <f t="shared" si="37"/>
        <v>28.006756157325153</v>
      </c>
      <c r="I103" s="32">
        <f t="shared" si="37"/>
        <v>22.535885496183205</v>
      </c>
      <c r="J103" s="32">
        <f t="shared" si="37"/>
        <v>35.627841625788363</v>
      </c>
      <c r="K103" s="32">
        <f t="shared" si="37"/>
        <v>9.0200955079448253</v>
      </c>
      <c r="L103" s="32">
        <f t="shared" si="37"/>
        <v>31.14881931142039</v>
      </c>
      <c r="M103" s="32">
        <f t="shared" si="37"/>
        <v>8.2490147552103164</v>
      </c>
      <c r="N103" s="32">
        <f t="shared" si="37"/>
        <v>12.806743717462211</v>
      </c>
      <c r="O103" s="32">
        <f t="shared" si="37"/>
        <v>11.183058415675855</v>
      </c>
      <c r="P103" s="32">
        <f t="shared" si="37"/>
        <v>26.045195714670864</v>
      </c>
      <c r="Q103" s="32">
        <f t="shared" si="37"/>
        <v>17.874363795576702</v>
      </c>
    </row>
    <row r="104" spans="1:17" ht="17">
      <c r="A104" s="63" t="s">
        <v>150</v>
      </c>
      <c r="B104" s="32">
        <f t="shared" si="37"/>
        <v>13.66372377994499</v>
      </c>
      <c r="C104" s="32">
        <f t="shared" si="37"/>
        <v>18.235634689107091</v>
      </c>
      <c r="D104" s="32">
        <f t="shared" si="37"/>
        <v>6.9196570690468491</v>
      </c>
      <c r="E104" s="32">
        <f t="shared" si="37"/>
        <v>14.105164251538312</v>
      </c>
      <c r="F104" s="32">
        <f t="shared" si="37"/>
        <v>0</v>
      </c>
      <c r="G104" s="32">
        <f t="shared" si="37"/>
        <v>23.22656296267051</v>
      </c>
      <c r="H104" s="32">
        <f t="shared" si="37"/>
        <v>16.981756157325147</v>
      </c>
      <c r="I104" s="32">
        <f t="shared" si="37"/>
        <v>0</v>
      </c>
      <c r="J104" s="32">
        <f t="shared" si="37"/>
        <v>24.602841625788368</v>
      </c>
      <c r="K104" s="32">
        <f t="shared" si="37"/>
        <v>0</v>
      </c>
      <c r="L104" s="32">
        <f t="shared" si="37"/>
        <v>22.789404017975592</v>
      </c>
      <c r="M104" s="32">
        <f t="shared" si="37"/>
        <v>0</v>
      </c>
      <c r="N104" s="32">
        <f t="shared" si="37"/>
        <v>1.7817437174622093</v>
      </c>
      <c r="O104" s="32">
        <f t="shared" si="37"/>
        <v>0.15805841567585358</v>
      </c>
      <c r="P104" s="32">
        <f t="shared" si="37"/>
        <v>15.020195714670864</v>
      </c>
      <c r="Q104" s="32">
        <f t="shared" si="37"/>
        <v>67.706437231033291</v>
      </c>
    </row>
    <row r="105" spans="1:17" ht="17">
      <c r="A105" s="63" t="s">
        <v>151</v>
      </c>
      <c r="B105" s="32">
        <f t="shared" si="37"/>
        <v>28.801028207865308</v>
      </c>
      <c r="C105" s="32">
        <f t="shared" si="37"/>
        <v>36.593234805120836</v>
      </c>
      <c r="D105" s="32">
        <f t="shared" si="37"/>
        <v>18.46797428955065</v>
      </c>
      <c r="E105" s="32">
        <f t="shared" si="37"/>
        <v>29.063383194778652</v>
      </c>
      <c r="F105" s="32">
        <f t="shared" si="37"/>
        <v>37.135306715715565</v>
      </c>
      <c r="G105" s="32">
        <f t="shared" si="37"/>
        <v>35.017390739069917</v>
      </c>
      <c r="H105" s="32">
        <f t="shared" si="37"/>
        <v>43.491474637362948</v>
      </c>
      <c r="I105" s="32">
        <f t="shared" si="37"/>
        <v>12.602761489468218</v>
      </c>
      <c r="J105" s="32">
        <f t="shared" si="37"/>
        <v>145.5139155606096</v>
      </c>
      <c r="K105" s="32">
        <f t="shared" si="37"/>
        <v>20.555845863626605</v>
      </c>
      <c r="L105" s="32">
        <f t="shared" si="37"/>
        <v>15.561876499722263</v>
      </c>
      <c r="M105" s="32">
        <f t="shared" si="37"/>
        <v>8.2232394929181023</v>
      </c>
      <c r="N105" s="32">
        <f t="shared" si="37"/>
        <v>19.805770622215206</v>
      </c>
      <c r="O105" s="32">
        <f t="shared" si="37"/>
        <v>13.664297319760063</v>
      </c>
      <c r="P105" s="32">
        <f t="shared" si="37"/>
        <v>145.63873757785009</v>
      </c>
      <c r="Q105" s="32">
        <f t="shared" si="37"/>
        <v>41.975229764224409</v>
      </c>
    </row>
    <row r="106" spans="1:17">
      <c r="A106" s="55" t="s">
        <v>197</v>
      </c>
    </row>
    <row r="107" spans="1:17" ht="17">
      <c r="A107" s="63" t="s">
        <v>148</v>
      </c>
      <c r="B107" s="82">
        <f>Assumptions!B43</f>
        <v>4</v>
      </c>
    </row>
    <row r="108" spans="1:17" ht="17">
      <c r="A108" s="63" t="s">
        <v>149</v>
      </c>
      <c r="B108" s="82">
        <f>Assumptions!B44</f>
        <v>50</v>
      </c>
    </row>
    <row r="109" spans="1:17" ht="17">
      <c r="A109" s="63" t="s">
        <v>154</v>
      </c>
      <c r="B109" s="82">
        <f>Assumptions!B45</f>
        <v>54</v>
      </c>
    </row>
    <row r="110" spans="1:17" ht="17">
      <c r="A110" s="63" t="s">
        <v>152</v>
      </c>
      <c r="B110" s="82">
        <f>Assumptions!B46</f>
        <v>10</v>
      </c>
    </row>
    <row r="111" spans="1:17" ht="17">
      <c r="A111" s="63" t="s">
        <v>153</v>
      </c>
      <c r="B111" s="82">
        <f>Assumptions!B47</f>
        <v>20</v>
      </c>
    </row>
    <row r="112" spans="1:17" ht="17">
      <c r="A112" s="63" t="s">
        <v>150</v>
      </c>
      <c r="B112" s="82">
        <f>Assumptions!B48</f>
        <v>54</v>
      </c>
    </row>
    <row r="113" spans="1:17" ht="17">
      <c r="A113" s="63" t="s">
        <v>151</v>
      </c>
      <c r="B113" s="82">
        <f>Assumptions!B49</f>
        <v>54</v>
      </c>
    </row>
    <row r="115" spans="1:17">
      <c r="A115" s="3" t="s">
        <v>186</v>
      </c>
      <c r="B115" s="19">
        <f>SUM(C115:E115)</f>
        <v>19388.724951215998</v>
      </c>
      <c r="C115" s="19">
        <f>SUM(F115:H115)</f>
        <v>3796.5130998965988</v>
      </c>
      <c r="D115" s="19">
        <f>SUM(I115:M115)</f>
        <v>3166.1585424500786</v>
      </c>
      <c r="E115" s="19">
        <f>SUM(N115:Q115)</f>
        <v>12426.053308869323</v>
      </c>
      <c r="F115" s="19">
        <f>SUMPRODUCT(F83:F89,$B107:$B113)/100</f>
        <v>291.46610772677462</v>
      </c>
      <c r="G115" s="19">
        <f>SUMPRODUCT(G83:G89,$B107:$B113)/100</f>
        <v>585.68006744272986</v>
      </c>
      <c r="H115" s="19">
        <f t="shared" ref="H115:Q115" si="38">SUMPRODUCT(H83:H89,$B107:$B113)/100</f>
        <v>2919.3669247270941</v>
      </c>
      <c r="I115" s="19">
        <f t="shared" si="38"/>
        <v>91.497359009933376</v>
      </c>
      <c r="J115" s="19">
        <f t="shared" si="38"/>
        <v>194.47793387634482</v>
      </c>
      <c r="K115" s="19">
        <f t="shared" si="38"/>
        <v>1293.203117043161</v>
      </c>
      <c r="L115" s="19">
        <f t="shared" si="38"/>
        <v>354.04643199999992</v>
      </c>
      <c r="M115" s="19">
        <f t="shared" si="38"/>
        <v>1232.9337005206396</v>
      </c>
      <c r="N115" s="19">
        <f t="shared" si="38"/>
        <v>3785.9771896601019</v>
      </c>
      <c r="O115" s="19">
        <f t="shared" si="38"/>
        <v>5619.4078488446075</v>
      </c>
      <c r="P115" s="19">
        <f t="shared" si="38"/>
        <v>788.70159227427928</v>
      </c>
      <c r="Q115" s="19">
        <f t="shared" si="38"/>
        <v>2231.9666780903335</v>
      </c>
    </row>
    <row r="116" spans="1:17">
      <c r="A116" s="3" t="s">
        <v>158</v>
      </c>
      <c r="B116" s="81">
        <f>Assumptions!B50</f>
        <v>99</v>
      </c>
    </row>
    <row r="117" spans="1:17">
      <c r="A117" s="3" t="s">
        <v>57</v>
      </c>
      <c r="B117" s="19">
        <f>SUM(C117:E117)</f>
        <v>-19194.83770170384</v>
      </c>
      <c r="C117" s="19">
        <f>SUM(F117:H117)</f>
        <v>-3758.5479688976329</v>
      </c>
      <c r="D117" s="19">
        <f>SUM(I117:M117)</f>
        <v>-3134.496957025578</v>
      </c>
      <c r="E117" s="19">
        <f>SUM(N117:Q117)</f>
        <v>-12301.792775780628</v>
      </c>
      <c r="F117" s="19">
        <f t="shared" ref="F117:Q117" si="39">-F115*$B116/100</f>
        <v>-288.55144664950689</v>
      </c>
      <c r="G117" s="19">
        <f t="shared" si="39"/>
        <v>-579.82326676830257</v>
      </c>
      <c r="H117" s="19">
        <f t="shared" si="39"/>
        <v>-2890.1732554798232</v>
      </c>
      <c r="I117" s="19">
        <f t="shared" si="39"/>
        <v>-90.58238541983404</v>
      </c>
      <c r="J117" s="19">
        <f t="shared" si="39"/>
        <v>-192.53315453758137</v>
      </c>
      <c r="K117" s="19">
        <f t="shared" si="39"/>
        <v>-1280.2710858727294</v>
      </c>
      <c r="L117" s="19">
        <f t="shared" si="39"/>
        <v>-350.50596767999997</v>
      </c>
      <c r="M117" s="19">
        <f t="shared" si="39"/>
        <v>-1220.6043635154333</v>
      </c>
      <c r="N117" s="19">
        <f t="shared" si="39"/>
        <v>-3748.1174177635007</v>
      </c>
      <c r="O117" s="19">
        <f t="shared" si="39"/>
        <v>-5563.2137703561621</v>
      </c>
      <c r="P117" s="19">
        <f t="shared" si="39"/>
        <v>-780.81457635153652</v>
      </c>
      <c r="Q117" s="19">
        <f t="shared" si="39"/>
        <v>-2209.6470113094301</v>
      </c>
    </row>
    <row r="118" spans="1:17">
      <c r="A118" s="3" t="s">
        <v>160</v>
      </c>
      <c r="B118" s="19">
        <f>SUM(C118:E118)</f>
        <v>-14566.610082270516</v>
      </c>
      <c r="C118" s="19">
        <f>SUM(F118:H118)</f>
        <v>-3899.1166243219568</v>
      </c>
      <c r="D118" s="19">
        <f>SUM(I118:M118)</f>
        <v>-1937.0033497407073</v>
      </c>
      <c r="E118" s="19">
        <f>SUM(N118:Q118)</f>
        <v>-8730.4901082078522</v>
      </c>
      <c r="F118" s="19">
        <f t="shared" ref="F118:Q118" si="40">F39+F117</f>
        <v>-208.52754243072485</v>
      </c>
      <c r="G118" s="19">
        <f>G39+G117</f>
        <v>-683.70658033198345</v>
      </c>
      <c r="H118" s="19">
        <f t="shared" si="40"/>
        <v>-3006.8825015592483</v>
      </c>
      <c r="I118" s="19">
        <f t="shared" si="40"/>
        <v>-53.829376563454758</v>
      </c>
      <c r="J118" s="19">
        <f t="shared" si="40"/>
        <v>-192.75258497018615</v>
      </c>
      <c r="K118" s="19">
        <f t="shared" si="40"/>
        <v>-765.57095262673499</v>
      </c>
      <c r="L118" s="19">
        <f t="shared" si="40"/>
        <v>-294.36066506573985</v>
      </c>
      <c r="M118" s="19">
        <f t="shared" si="40"/>
        <v>-630.48977051459156</v>
      </c>
      <c r="N118" s="19">
        <f t="shared" si="40"/>
        <v>-2085.0786276033873</v>
      </c>
      <c r="O118" s="19">
        <f t="shared" si="40"/>
        <v>-3938.9429727331972</v>
      </c>
      <c r="P118" s="19">
        <f t="shared" si="40"/>
        <v>-497.57849656183839</v>
      </c>
      <c r="Q118" s="19">
        <f t="shared" si="40"/>
        <v>-2208.8900113094301</v>
      </c>
    </row>
    <row r="119" spans="1:17">
      <c r="A119" s="3" t="s">
        <v>159</v>
      </c>
      <c r="B119" s="81">
        <f>Assumptions!B51</f>
        <v>0</v>
      </c>
    </row>
    <row r="120" spans="1:17">
      <c r="A120" s="3" t="s">
        <v>161</v>
      </c>
      <c r="B120" s="19">
        <f>SUM(C120:E120)</f>
        <v>45031.941817962266</v>
      </c>
      <c r="C120" s="19">
        <f>SUM(F120:H120)</f>
        <v>9597.5279915643405</v>
      </c>
      <c r="D120" s="19">
        <f>SUM(I120:M120)</f>
        <v>6658.432030073076</v>
      </c>
      <c r="E120" s="19">
        <f>SUM(N120:Q120)</f>
        <v>28775.98179632485</v>
      </c>
      <c r="F120" s="19">
        <f t="shared" ref="F120:Q120" si="41">F41+F117*$B119/100</f>
        <v>1028.9012531538801</v>
      </c>
      <c r="G120" s="19">
        <f t="shared" si="41"/>
        <v>639.87467954779322</v>
      </c>
      <c r="H120" s="19">
        <f t="shared" si="41"/>
        <v>7928.7520588626667</v>
      </c>
      <c r="I120" s="19">
        <f t="shared" si="41"/>
        <v>155.60393904983076</v>
      </c>
      <c r="J120" s="19">
        <f t="shared" si="41"/>
        <v>565.08981427953211</v>
      </c>
      <c r="K120" s="19">
        <f t="shared" si="41"/>
        <v>3136.3144243995325</v>
      </c>
      <c r="L120" s="19">
        <f t="shared" si="41"/>
        <v>676.44942908747134</v>
      </c>
      <c r="M120" s="19">
        <f t="shared" si="41"/>
        <v>2124.9744232567105</v>
      </c>
      <c r="N120" s="19">
        <f t="shared" si="41"/>
        <v>7755.1184366993966</v>
      </c>
      <c r="O120" s="19">
        <f t="shared" si="41"/>
        <v>8917.8874342611853</v>
      </c>
      <c r="P120" s="19">
        <f t="shared" si="41"/>
        <v>2327.621240680282</v>
      </c>
      <c r="Q120" s="19">
        <f t="shared" si="41"/>
        <v>9775.3546846839909</v>
      </c>
    </row>
    <row r="121" spans="1:17">
      <c r="A121" s="3" t="s">
        <v>162</v>
      </c>
      <c r="B121" s="47">
        <f>100*B118/B120</f>
        <v>-32.3472839371546</v>
      </c>
      <c r="C121" s="47">
        <f t="shared" ref="C121:Q121" si="42">100*C118/C120</f>
        <v>-40.626259467532158</v>
      </c>
      <c r="D121" s="47">
        <f t="shared" si="42"/>
        <v>-29.090983297451317</v>
      </c>
      <c r="E121" s="47">
        <f t="shared" si="42"/>
        <v>-30.339503861247486</v>
      </c>
      <c r="F121" s="47">
        <f t="shared" si="42"/>
        <v>-20.267012193009542</v>
      </c>
      <c r="G121" s="47">
        <f t="shared" si="42"/>
        <v>-106.85007583284381</v>
      </c>
      <c r="H121" s="47">
        <f t="shared" si="42"/>
        <v>-37.923780176707503</v>
      </c>
      <c r="I121" s="47">
        <f t="shared" si="42"/>
        <v>-34.593839264066695</v>
      </c>
      <c r="J121" s="47">
        <f t="shared" si="42"/>
        <v>-34.110079512924564</v>
      </c>
      <c r="K121" s="47">
        <f t="shared" si="42"/>
        <v>-24.409891644499528</v>
      </c>
      <c r="L121" s="47">
        <f t="shared" si="42"/>
        <v>-43.515546382060172</v>
      </c>
      <c r="M121" s="47">
        <f t="shared" si="42"/>
        <v>-29.670463964846714</v>
      </c>
      <c r="N121" s="47">
        <f t="shared" si="42"/>
        <v>-26.886483354479928</v>
      </c>
      <c r="O121" s="47">
        <f t="shared" si="42"/>
        <v>-44.169014262283348</v>
      </c>
      <c r="P121" s="47">
        <f t="shared" si="42"/>
        <v>-21.377124760058198</v>
      </c>
      <c r="Q121" s="47">
        <f t="shared" si="42"/>
        <v>-22.596520357162234</v>
      </c>
    </row>
    <row r="122" spans="1:17">
      <c r="A122" s="3" t="s">
        <v>163</v>
      </c>
      <c r="B122" s="47">
        <f t="shared" ref="B122:Q122" si="43">B121-B42</f>
        <v>-42.624938936227331</v>
      </c>
      <c r="C122" s="47">
        <f t="shared" si="43"/>
        <v>-39.161625495660701</v>
      </c>
      <c r="D122" s="47">
        <f t="shared" si="43"/>
        <v>-47.075601926527099</v>
      </c>
      <c r="E122" s="47">
        <f t="shared" si="43"/>
        <v>-42.750210445823129</v>
      </c>
      <c r="F122" s="47">
        <f t="shared" si="43"/>
        <v>-28.04462000264974</v>
      </c>
      <c r="G122" s="47">
        <f t="shared" si="43"/>
        <v>-90.615129071534795</v>
      </c>
      <c r="H122" s="47">
        <f t="shared" si="43"/>
        <v>-36.451805202424268</v>
      </c>
      <c r="I122" s="47">
        <f t="shared" si="43"/>
        <v>-58.213426969111531</v>
      </c>
      <c r="J122" s="47">
        <f t="shared" si="43"/>
        <v>-34.071248440932131</v>
      </c>
      <c r="K122" s="47">
        <f t="shared" si="43"/>
        <v>-40.820878031635665</v>
      </c>
      <c r="L122" s="47">
        <f t="shared" si="43"/>
        <v>-51.81554638206017</v>
      </c>
      <c r="M122" s="47">
        <f t="shared" si="43"/>
        <v>-57.440896707111875</v>
      </c>
      <c r="N122" s="47">
        <f t="shared" si="43"/>
        <v>-48.330885573924405</v>
      </c>
      <c r="O122" s="47">
        <f t="shared" si="43"/>
        <v>-62.382641756422373</v>
      </c>
      <c r="P122" s="47">
        <f t="shared" si="43"/>
        <v>-33.545602811363409</v>
      </c>
      <c r="Q122" s="47">
        <f t="shared" si="43"/>
        <v>-22.60426432169772</v>
      </c>
    </row>
    <row r="123" spans="1:17">
      <c r="A123" s="3" t="s">
        <v>164</v>
      </c>
      <c r="B123" s="47">
        <f t="shared" ref="B123:Q123" si="44">B121-B19</f>
        <v>-44.110151822847044</v>
      </c>
      <c r="C123" s="47">
        <f t="shared" si="44"/>
        <v>-45.579919964847321</v>
      </c>
      <c r="D123" s="47">
        <f t="shared" si="44"/>
        <v>-47.315221502241805</v>
      </c>
      <c r="E123" s="47">
        <f t="shared" si="44"/>
        <v>-43.024412905826253</v>
      </c>
      <c r="F123" s="47">
        <f t="shared" si="44"/>
        <v>-28.167012193009541</v>
      </c>
      <c r="G123" s="47">
        <f t="shared" si="44"/>
        <v>-114.95007583284382</v>
      </c>
      <c r="H123" s="47">
        <f t="shared" si="44"/>
        <v>-42.213407923437011</v>
      </c>
      <c r="I123" s="47">
        <f t="shared" si="44"/>
        <v>-58.470266637578277</v>
      </c>
      <c r="J123" s="47">
        <f t="shared" si="44"/>
        <v>-34.541676745381359</v>
      </c>
      <c r="K123" s="47">
        <f t="shared" si="44"/>
        <v>-41.142288743202982</v>
      </c>
      <c r="L123" s="47">
        <f t="shared" si="44"/>
        <v>-51.81554638206017</v>
      </c>
      <c r="M123" s="47">
        <f t="shared" si="44"/>
        <v>-57.583701348786477</v>
      </c>
      <c r="N123" s="47">
        <f t="shared" si="44"/>
        <v>-48.330885573924405</v>
      </c>
      <c r="O123" s="47">
        <f t="shared" si="44"/>
        <v>-63.203092409177899</v>
      </c>
      <c r="P123" s="47">
        <f t="shared" si="44"/>
        <v>-33.545602811363409</v>
      </c>
      <c r="Q123" s="47">
        <f t="shared" si="44"/>
        <v>-22.60426432169772</v>
      </c>
    </row>
    <row r="125" spans="1:17">
      <c r="A125" s="55" t="s">
        <v>335</v>
      </c>
    </row>
    <row r="126" spans="1:17">
      <c r="A126" s="3" t="s">
        <v>336</v>
      </c>
      <c r="B126" s="82">
        <f>Assumptions!B53</f>
        <v>4</v>
      </c>
    </row>
    <row r="127" spans="1:17">
      <c r="A127" s="3" t="s">
        <v>158</v>
      </c>
      <c r="B127" s="81">
        <f>Assumptions!B54</f>
        <v>100</v>
      </c>
    </row>
    <row r="128" spans="1:17">
      <c r="A128" s="3" t="s">
        <v>304</v>
      </c>
      <c r="B128" s="19">
        <f>SUM(C128:E128)</f>
        <v>6219.1395641833042</v>
      </c>
      <c r="C128" s="19">
        <f>SUM(F128:H128)</f>
        <v>245.58521323520878</v>
      </c>
      <c r="D128" s="19">
        <f>SUM(I128:M128)</f>
        <v>416.65420748406683</v>
      </c>
      <c r="E128" s="19">
        <f>SUM(N128:Q128)</f>
        <v>5556.9001434640286</v>
      </c>
      <c r="F128" s="32">
        <f>IF($B$126=1,$B$127*Data!F68/100,IF($B$126=2,$B$127*SUM(Data!F68:F69)/100,IF($B$126=3,$B$127*SUM(Data!F68:F70)/100,IF($B$126=4,$B$127*SUM(Data!F68:F71)/100,IF($B$126=5,$B$127*SUM(Data!F68:F72)/100,"wrong input")))))</f>
        <v>54.2455307980957</v>
      </c>
      <c r="G128" s="32">
        <f>IF($B$126=1,$B$127*Data!G68/100,IF($B$126=2,$B$127*SUM(Data!G68:G69)/100,IF($B$126=3,$B$127*SUM(Data!G68:G70)/100,IF($B$126=4,$B$127*SUM(Data!G68:G71)/100,IF($B$126=5,$B$127*SUM(Data!G68:G72)/100,"wrong input")))))</f>
        <v>33.080904650842569</v>
      </c>
      <c r="H128" s="32">
        <f>IF($B$126=1,$B$127*Data!H68/100,IF($B$126=2,$B$127*SUM(Data!H68:H69)/100,IF($B$126=3,$B$127*SUM(Data!H68:H70)/100,IF($B$126=4,$B$127*SUM(Data!H68:H71)/100,IF($B$126=5,$B$127*SUM(Data!H68:H72)/100,"wrong input")))))</f>
        <v>158.25877778627051</v>
      </c>
      <c r="I128" s="32">
        <f>IF($B$126=1,$B$127*Data!I68/100,IF($B$126=2,$B$127*SUM(Data!I68:I69)/100,IF($B$126=3,$B$127*SUM(Data!I68:I70)/100,IF($B$126=4,$B$127*SUM(Data!I68:I71)/100,IF($B$126=5,$B$127*SUM(Data!I68:I72)/100,"wrong input")))))</f>
        <v>12.700159452498269</v>
      </c>
      <c r="J128" s="32">
        <f>IF($B$126=1,$B$127*Data!J68/100,IF($B$126=2,$B$127*SUM(Data!J68:J69)/100,IF($B$126=3,$B$127*SUM(Data!J68:J70)/100,IF($B$126=4,$B$127*SUM(Data!J68:J71)/100,IF($B$126=5,$B$127*SUM(Data!J68:J72)/100,"wrong input")))))</f>
        <v>22.553136113055572</v>
      </c>
      <c r="K128" s="32">
        <f>IF($B$126=1,$B$127*Data!K68/100,IF($B$126=2,$B$127*SUM(Data!K68:K69)/100,IF($B$126=3,$B$127*SUM(Data!K68:K70)/100,IF($B$126=4,$B$127*SUM(Data!K68:K71)/100,IF($B$126=5,$B$127*SUM(Data!K68:K72)/100,"wrong input")))))</f>
        <v>124.33270630811735</v>
      </c>
      <c r="L128" s="32">
        <f>IF($B$126=1,$B$127*Data!L68/100,IF($B$126=2,$B$127*SUM(Data!L68:L69)/100,IF($B$126=3,$B$127*SUM(Data!L68:L70)/100,IF($B$126=4,$B$127*SUM(Data!L68:L71)/100,IF($B$126=5,$B$127*SUM(Data!L68:L72)/100,"wrong input")))))</f>
        <v>80</v>
      </c>
      <c r="M128" s="32">
        <f>IF($B$126=1,$B$127*Data!M68/100,IF($B$126=2,$B$127*SUM(Data!M68:M69)/100,IF($B$126=3,$B$127*SUM(Data!M68:M70)/100,IF($B$126=4,$B$127*SUM(Data!M68:M71)/100,IF($B$126=5,$B$127*SUM(Data!M68:M72)/100,"wrong input")))))</f>
        <v>177.06820561039564</v>
      </c>
      <c r="N128" s="32">
        <f>IF($B$126=1,$B$127*Data!N68/100,IF($B$126=2,$B$127*SUM(Data!N68:N69)/100,IF($B$126=3,$B$127*SUM(Data!N68:N70)/100,IF($B$126=4,$B$127*SUM(Data!N68:N71)/100,IF($B$126=5,$B$127*SUM(Data!N68:N72)/100,"wrong input")))))</f>
        <v>470.02469622525246</v>
      </c>
      <c r="O128" s="32">
        <f>IF($B$126=1,$B$127*Data!O68/100,IF($B$126=2,$B$127*SUM(Data!O68:O69)/100,IF($B$126=3,$B$127*SUM(Data!O68:O70)/100,IF($B$126=4,$B$127*SUM(Data!O68:O71)/100,IF($B$126=5,$B$127*SUM(Data!O68:O72)/100,"wrong input")))))</f>
        <v>454.95660924279582</v>
      </c>
      <c r="P128" s="32">
        <f>IF($B$126=1,$B$127*Data!P68/100,IF($B$126=2,$B$127*SUM(Data!P68:P69)/100,IF($B$126=3,$B$127*SUM(Data!P68:P70)/100,IF($B$126=4,$B$127*SUM(Data!P68:P71)/100,IF($B$126=5,$B$127*SUM(Data!P68:P72)/100,"wrong input")))))</f>
        <v>135.08439349085793</v>
      </c>
      <c r="Q128" s="32">
        <f>IF($B$126=1,$B$127*Data!Q68/100,IF($B$126=2,$B$127*SUM(Data!Q68:Q69)/100,IF($B$126=3,$B$127*SUM(Data!Q68:Q70)/100,IF($B$126=4,$B$127*SUM(Data!Q68:Q71)/100,IF($B$126=5,$B$127*SUM(Data!Q68:Q72)/100,"wrong input")))))</f>
        <v>4496.8344445051225</v>
      </c>
    </row>
    <row r="129" spans="1:17">
      <c r="A129" s="3" t="s">
        <v>160</v>
      </c>
      <c r="B129" s="19">
        <f>SUM(C129:E129)</f>
        <v>-1590.9119447499811</v>
      </c>
      <c r="C129" s="19">
        <f>SUM(F129:H129)</f>
        <v>-386.15386865953258</v>
      </c>
      <c r="D129" s="19">
        <f>SUM(I129:M129)</f>
        <v>780.8393998008039</v>
      </c>
      <c r="E129" s="19">
        <f>SUM(N129:Q129)</f>
        <v>-1985.5974758912525</v>
      </c>
      <c r="F129" s="19">
        <f>F39-F128</f>
        <v>25.778373420686336</v>
      </c>
      <c r="G129" s="19">
        <f t="shared" ref="G129:Q129" si="45">G39-G128</f>
        <v>-136.96421821452344</v>
      </c>
      <c r="H129" s="19">
        <f t="shared" si="45"/>
        <v>-274.96802386569544</v>
      </c>
      <c r="I129" s="19">
        <f t="shared" si="45"/>
        <v>24.052849403881012</v>
      </c>
      <c r="J129" s="19">
        <f t="shared" si="45"/>
        <v>-22.772566545660354</v>
      </c>
      <c r="K129" s="19">
        <f t="shared" si="45"/>
        <v>390.36742693787704</v>
      </c>
      <c r="L129" s="19">
        <f t="shared" si="45"/>
        <v>-23.854697385739883</v>
      </c>
      <c r="M129" s="19">
        <f t="shared" si="45"/>
        <v>413.04638739044611</v>
      </c>
      <c r="N129" s="19">
        <f t="shared" si="45"/>
        <v>1193.014093934861</v>
      </c>
      <c r="O129" s="19">
        <f t="shared" si="45"/>
        <v>1169.3141883801691</v>
      </c>
      <c r="P129" s="19">
        <f t="shared" si="45"/>
        <v>148.15168629884019</v>
      </c>
      <c r="Q129" s="19">
        <f t="shared" si="45"/>
        <v>-4496.0774445051229</v>
      </c>
    </row>
  </sheetData>
  <phoneticPr fontId="3" type="noConversion"/>
  <pageMargins left="0.75" right="0.75" top="1" bottom="1" header="0.5" footer="0.5"/>
  <pageSetup scale="38" orientation="landscape"/>
  <headerFooter alignWithMargins="0"/>
  <rowBreaks count="1" manualBreakCount="1">
    <brk id="6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29"/>
  <sheetViews>
    <sheetView zoomScaleNormal="100" zoomScaleSheetLayoutView="50" workbookViewId="0">
      <pane xSplit="1" ySplit="2" topLeftCell="B3" activePane="bottomRight" state="frozen"/>
      <selection pane="topRight" activeCell="B1" sqref="B1"/>
      <selection pane="bottomLeft" activeCell="A5" sqref="A5"/>
      <selection pane="bottomRight" activeCell="A18" sqref="A18:A21"/>
    </sheetView>
  </sheetViews>
  <sheetFormatPr baseColWidth="10" defaultColWidth="16.59765625" defaultRowHeight="16"/>
  <cols>
    <col min="1" max="1" width="47" style="3" customWidth="1"/>
    <col min="2" max="2" width="14.59765625" style="3" customWidth="1"/>
    <col min="3" max="3" width="16.59765625" style="3" customWidth="1"/>
    <col min="4" max="4" width="17.3984375" style="3" customWidth="1"/>
    <col min="5" max="5" width="12.59765625" style="3" customWidth="1"/>
    <col min="6" max="16384" width="16.59765625" style="3"/>
  </cols>
  <sheetData>
    <row r="1" spans="1:38">
      <c r="A1" s="30" t="s">
        <v>9</v>
      </c>
    </row>
    <row r="2" spans="1:38" s="16" customFormat="1" ht="29.25" customHeight="1">
      <c r="A2" s="14"/>
      <c r="B2" s="14" t="str">
        <f>Data!B3</f>
        <v>All Banks</v>
      </c>
      <c r="C2" s="14" t="str">
        <f>Data!C3</f>
        <v>State Owned (SB)</v>
      </c>
      <c r="D2" s="14" t="str">
        <f>Data!D3</f>
        <v>Domestic Private (DB)</v>
      </c>
      <c r="E2" s="14" t="str">
        <f>Data!E3</f>
        <v>Foreign (FB)</v>
      </c>
      <c r="F2" s="15" t="str">
        <f>Data!F3</f>
        <v>SB1</v>
      </c>
      <c r="G2" s="15" t="str">
        <f>Data!G3</f>
        <v>SB2</v>
      </c>
      <c r="H2" s="15" t="str">
        <f>Data!H3</f>
        <v>SB3</v>
      </c>
      <c r="I2" s="15" t="str">
        <f>Data!I3</f>
        <v>DB1</v>
      </c>
      <c r="J2" s="15" t="str">
        <f>Data!J3</f>
        <v>DB2</v>
      </c>
      <c r="K2" s="15" t="str">
        <f>Data!K3</f>
        <v>DB3</v>
      </c>
      <c r="L2" s="15" t="str">
        <f>Data!L3</f>
        <v>DB4</v>
      </c>
      <c r="M2" s="15" t="str">
        <f>Data!M3</f>
        <v>DB5</v>
      </c>
      <c r="N2" s="15" t="str">
        <f>Data!N3</f>
        <v>FB1</v>
      </c>
      <c r="O2" s="15" t="str">
        <f>Data!O3</f>
        <v>FB2</v>
      </c>
      <c r="P2" s="15" t="str">
        <f>Data!P3</f>
        <v>FB3</v>
      </c>
      <c r="Q2" s="15" t="str">
        <f>Data!Q3</f>
        <v>FB4</v>
      </c>
      <c r="S2" s="17"/>
      <c r="T2" s="17"/>
      <c r="U2" s="17"/>
      <c r="V2" s="17"/>
      <c r="W2" s="17"/>
      <c r="X2" s="17"/>
      <c r="Y2" s="17"/>
      <c r="Z2" s="17"/>
      <c r="AA2" s="17"/>
      <c r="AB2" s="17"/>
      <c r="AC2" s="17"/>
      <c r="AD2" s="17"/>
      <c r="AE2" s="17"/>
      <c r="AF2" s="17"/>
      <c r="AG2" s="17"/>
      <c r="AH2" s="17"/>
      <c r="AI2" s="17"/>
      <c r="AJ2" s="17"/>
      <c r="AK2" s="17"/>
      <c r="AL2" s="17"/>
    </row>
    <row r="4" spans="1:38" ht="17">
      <c r="A4" s="29" t="s">
        <v>423</v>
      </c>
    </row>
    <row r="5" spans="1:38" ht="17">
      <c r="A5" s="5" t="s">
        <v>68</v>
      </c>
      <c r="F5" s="19"/>
      <c r="G5" s="19"/>
      <c r="H5" s="19"/>
      <c r="I5" s="19"/>
      <c r="J5" s="19"/>
      <c r="K5" s="19"/>
      <c r="L5" s="19"/>
      <c r="M5" s="19"/>
      <c r="N5" s="19"/>
      <c r="O5" s="19"/>
      <c r="P5" s="19"/>
      <c r="Q5" s="19"/>
    </row>
    <row r="6" spans="1:38" ht="17">
      <c r="A6" s="34" t="s">
        <v>49</v>
      </c>
      <c r="B6" s="19">
        <f>SUM(C6:E6)</f>
        <v>-6784.7120025233216</v>
      </c>
      <c r="C6" s="19">
        <f>SUM(F6:H6)</f>
        <v>-4741.3250000000007</v>
      </c>
      <c r="D6" s="19">
        <f>SUM(I6:M6)</f>
        <v>994.64782999999989</v>
      </c>
      <c r="E6" s="19">
        <f>SUM(N6:Q6)</f>
        <v>-3038.0348325233208</v>
      </c>
      <c r="F6" s="19">
        <f>Data!F75-Data!F79</f>
        <v>272.75499999999994</v>
      </c>
      <c r="G6" s="19">
        <f>Data!G75-Data!G79</f>
        <v>-1996.0840000000007</v>
      </c>
      <c r="H6" s="19">
        <f>Data!H75-Data!H79</f>
        <v>-3017.9960000000001</v>
      </c>
      <c r="I6" s="19">
        <f>Data!I75-Data!I79</f>
        <v>238.52267000000006</v>
      </c>
      <c r="J6" s="19">
        <f>Data!J75-Data!J79</f>
        <v>3146.471</v>
      </c>
      <c r="K6" s="19">
        <f>Data!K75-Data!K79</f>
        <v>-1856.4810000000002</v>
      </c>
      <c r="L6" s="19">
        <f>Data!L75-Data!L79</f>
        <v>-1953.17245</v>
      </c>
      <c r="M6" s="19">
        <f>Data!M75-Data!M79</f>
        <v>1419.3076100000003</v>
      </c>
      <c r="N6" s="19">
        <f>Data!N75-Data!N79</f>
        <v>-4825.878999999999</v>
      </c>
      <c r="O6" s="19">
        <f>Data!O75-Data!O79</f>
        <v>-3489.2360000000008</v>
      </c>
      <c r="P6" s="19">
        <f>Data!P75-Data!P79</f>
        <v>-2485.6079999999984</v>
      </c>
      <c r="Q6" s="19">
        <f>Data!Q75-Data!Q79</f>
        <v>7762.6881674766773</v>
      </c>
    </row>
    <row r="7" spans="1:38" ht="17">
      <c r="A7" s="34" t="s">
        <v>50</v>
      </c>
      <c r="B7" s="19">
        <f>SUM(C7:E7)</f>
        <v>3743.0130899157057</v>
      </c>
      <c r="C7" s="19">
        <f>SUM(F7:H7)</f>
        <v>629.90300000000002</v>
      </c>
      <c r="D7" s="19">
        <f>SUM(I7:M7)</f>
        <v>694.82136000000025</v>
      </c>
      <c r="E7" s="19">
        <f>SUM(N7:Q7)</f>
        <v>2418.2887299157055</v>
      </c>
      <c r="F7" s="19">
        <f>Data!F76-Data!F80</f>
        <v>360.762</v>
      </c>
      <c r="G7" s="19">
        <f>Data!G76-Data!G80</f>
        <v>742.976</v>
      </c>
      <c r="H7" s="19">
        <f>Data!H76-Data!H80</f>
        <v>-473.83500000000004</v>
      </c>
      <c r="I7" s="19">
        <f>Data!I76-Data!I80</f>
        <v>-566.94822999999997</v>
      </c>
      <c r="J7" s="19">
        <f>Data!J76-Data!J80</f>
        <v>0</v>
      </c>
      <c r="K7" s="19">
        <f>Data!K76-Data!K80</f>
        <v>-54.655999999999999</v>
      </c>
      <c r="L7" s="19">
        <f>Data!L76-Data!L80</f>
        <v>1239.6851800000002</v>
      </c>
      <c r="M7" s="19">
        <f>Data!M76-Data!M80</f>
        <v>76.740409999999997</v>
      </c>
      <c r="N7" s="19">
        <f>Data!N76-Data!N80</f>
        <v>-5436.2289999999994</v>
      </c>
      <c r="O7" s="19">
        <f>Data!O76-Data!O80</f>
        <v>5599.7820000000002</v>
      </c>
      <c r="P7" s="19">
        <f>Data!P76-Data!P80</f>
        <v>-1608.3040000000001</v>
      </c>
      <c r="Q7" s="19">
        <f>Data!Q76-Data!Q80</f>
        <v>3863.0397299157048</v>
      </c>
    </row>
    <row r="8" spans="1:38" ht="17">
      <c r="A8" s="34" t="s">
        <v>51</v>
      </c>
      <c r="B8" s="19">
        <f>SUM(C8:E8)</f>
        <v>-48412.126167120645</v>
      </c>
      <c r="C8" s="19">
        <f>SUM(F8:H8)</f>
        <v>1354.8899999999999</v>
      </c>
      <c r="D8" s="19">
        <f>SUM(I8:M8)</f>
        <v>7202.3476700000001</v>
      </c>
      <c r="E8" s="19">
        <f>SUM(N8:Q8)</f>
        <v>-56969.363837120647</v>
      </c>
      <c r="F8" s="19">
        <f>Data!F77-Data!F81</f>
        <v>1064.819</v>
      </c>
      <c r="G8" s="19">
        <f>Data!G77-Data!G81</f>
        <v>20.723999999999997</v>
      </c>
      <c r="H8" s="19">
        <f>Data!H77-Data!H81</f>
        <v>269.34699999999998</v>
      </c>
      <c r="I8" s="19">
        <f>Data!I77-Data!I81</f>
        <v>0</v>
      </c>
      <c r="J8" s="19">
        <f>Data!J77-Data!J81</f>
        <v>0</v>
      </c>
      <c r="K8" s="19">
        <f>Data!K77-Data!K81</f>
        <v>5131.51</v>
      </c>
      <c r="L8" s="19">
        <f>Data!L77-Data!L81</f>
        <v>1732.6964600000001</v>
      </c>
      <c r="M8" s="19">
        <f>Data!M77-Data!M81</f>
        <v>338.14120999999994</v>
      </c>
      <c r="N8" s="19">
        <f>Data!N77-Data!N81</f>
        <v>5721.3600000000006</v>
      </c>
      <c r="O8" s="19">
        <f>Data!O77-Data!O81</f>
        <v>299.99900000000002</v>
      </c>
      <c r="P8" s="19">
        <f>Data!P77-Data!P81</f>
        <v>-1367.244999999999</v>
      </c>
      <c r="Q8" s="19">
        <f>Data!Q77-Data!Q81</f>
        <v>-61623.477837120648</v>
      </c>
    </row>
    <row r="9" spans="1:38" ht="17">
      <c r="A9" s="5" t="s">
        <v>69</v>
      </c>
      <c r="F9" s="19"/>
      <c r="G9" s="19"/>
      <c r="H9" s="19"/>
      <c r="I9" s="19"/>
      <c r="J9" s="19"/>
      <c r="K9" s="19"/>
      <c r="L9" s="19"/>
      <c r="M9" s="19"/>
      <c r="N9" s="19"/>
      <c r="O9" s="19"/>
      <c r="P9" s="19"/>
      <c r="Q9" s="19"/>
    </row>
    <row r="10" spans="1:38" ht="17">
      <c r="A10" s="34" t="s">
        <v>49</v>
      </c>
      <c r="B10" s="19">
        <f>SUM(C10:E10)</f>
        <v>-6784.7120025233216</v>
      </c>
      <c r="C10" s="19">
        <f>SUM(F10:H10)</f>
        <v>-4741.3250000000007</v>
      </c>
      <c r="D10" s="19">
        <f>SUM(I10:M10)</f>
        <v>994.64782999999989</v>
      </c>
      <c r="E10" s="19">
        <f>SUM(N10:Q10)</f>
        <v>-3038.0348325233208</v>
      </c>
      <c r="F10" s="19">
        <f>F6</f>
        <v>272.75499999999994</v>
      </c>
      <c r="G10" s="19">
        <f t="shared" ref="G10:Q10" si="0">G6</f>
        <v>-1996.0840000000007</v>
      </c>
      <c r="H10" s="19">
        <f t="shared" si="0"/>
        <v>-3017.9960000000001</v>
      </c>
      <c r="I10" s="19">
        <f t="shared" si="0"/>
        <v>238.52267000000006</v>
      </c>
      <c r="J10" s="19">
        <f t="shared" si="0"/>
        <v>3146.471</v>
      </c>
      <c r="K10" s="19">
        <f t="shared" si="0"/>
        <v>-1856.4810000000002</v>
      </c>
      <c r="L10" s="19">
        <f t="shared" si="0"/>
        <v>-1953.17245</v>
      </c>
      <c r="M10" s="19">
        <f t="shared" si="0"/>
        <v>1419.3076100000003</v>
      </c>
      <c r="N10" s="19">
        <f t="shared" si="0"/>
        <v>-4825.878999999999</v>
      </c>
      <c r="O10" s="19">
        <f t="shared" si="0"/>
        <v>-3489.2360000000008</v>
      </c>
      <c r="P10" s="19">
        <f t="shared" si="0"/>
        <v>-2485.6079999999984</v>
      </c>
      <c r="Q10" s="19">
        <f t="shared" si="0"/>
        <v>7762.6881674766773</v>
      </c>
    </row>
    <row r="11" spans="1:38" ht="17">
      <c r="A11" s="34" t="s">
        <v>70</v>
      </c>
      <c r="B11" s="19">
        <f>SUM(C11:E11)</f>
        <v>-3041.6989126076169</v>
      </c>
      <c r="C11" s="19">
        <f>SUM(F11:H11)</f>
        <v>-4111.4220000000005</v>
      </c>
      <c r="D11" s="19">
        <f>SUM(I11:M11)</f>
        <v>1689.46919</v>
      </c>
      <c r="E11" s="19">
        <f>SUM(N11:Q11)</f>
        <v>-619.74610260761619</v>
      </c>
      <c r="F11" s="19">
        <f>F6+F7</f>
        <v>633.51699999999994</v>
      </c>
      <c r="G11" s="19">
        <f t="shared" ref="G11:Q11" si="1">G6+G7</f>
        <v>-1253.1080000000006</v>
      </c>
      <c r="H11" s="19">
        <f t="shared" si="1"/>
        <v>-3491.8310000000001</v>
      </c>
      <c r="I11" s="19">
        <f t="shared" si="1"/>
        <v>-328.4255599999999</v>
      </c>
      <c r="J11" s="19">
        <f t="shared" si="1"/>
        <v>3146.471</v>
      </c>
      <c r="K11" s="19">
        <f t="shared" si="1"/>
        <v>-1911.1370000000002</v>
      </c>
      <c r="L11" s="19">
        <f t="shared" si="1"/>
        <v>-713.48726999999985</v>
      </c>
      <c r="M11" s="19">
        <f t="shared" si="1"/>
        <v>1496.0480200000002</v>
      </c>
      <c r="N11" s="19">
        <f t="shared" si="1"/>
        <v>-10262.107999999998</v>
      </c>
      <c r="O11" s="19">
        <f t="shared" si="1"/>
        <v>2110.5459999999994</v>
      </c>
      <c r="P11" s="19">
        <f t="shared" si="1"/>
        <v>-4093.9119999999984</v>
      </c>
      <c r="Q11" s="19">
        <f t="shared" si="1"/>
        <v>11625.727897392382</v>
      </c>
    </row>
    <row r="12" spans="1:38" ht="17">
      <c r="A12" s="34" t="s">
        <v>71</v>
      </c>
      <c r="B12" s="19">
        <f>SUM(C12:E12)</f>
        <v>-51453.82507972826</v>
      </c>
      <c r="C12" s="19">
        <f>SUM(F12:H12)</f>
        <v>-2756.5320000000011</v>
      </c>
      <c r="D12" s="19">
        <f>SUM(I12:M12)</f>
        <v>8891.8168600000008</v>
      </c>
      <c r="E12" s="19">
        <f>SUM(N12:Q12)</f>
        <v>-57589.10993972826</v>
      </c>
      <c r="F12" s="19">
        <f>SUM(F6:F8)</f>
        <v>1698.3359999999998</v>
      </c>
      <c r="G12" s="19">
        <f t="shared" ref="G12:Q12" si="2">SUM(G6:G8)</f>
        <v>-1232.3840000000007</v>
      </c>
      <c r="H12" s="19">
        <f t="shared" si="2"/>
        <v>-3222.4840000000004</v>
      </c>
      <c r="I12" s="19">
        <f t="shared" si="2"/>
        <v>-328.4255599999999</v>
      </c>
      <c r="J12" s="19">
        <f t="shared" si="2"/>
        <v>3146.471</v>
      </c>
      <c r="K12" s="19">
        <f t="shared" si="2"/>
        <v>3220.373</v>
      </c>
      <c r="L12" s="19">
        <f t="shared" si="2"/>
        <v>1019.2091900000003</v>
      </c>
      <c r="M12" s="19">
        <f t="shared" si="2"/>
        <v>1834.1892300000002</v>
      </c>
      <c r="N12" s="19">
        <f t="shared" si="2"/>
        <v>-4540.7479999999978</v>
      </c>
      <c r="O12" s="19">
        <f t="shared" si="2"/>
        <v>2410.5449999999992</v>
      </c>
      <c r="P12" s="19">
        <f t="shared" si="2"/>
        <v>-5461.1569999999974</v>
      </c>
      <c r="Q12" s="19">
        <f t="shared" si="2"/>
        <v>-49997.749939728266</v>
      </c>
    </row>
    <row r="13" spans="1:38">
      <c r="A13" s="34"/>
      <c r="F13" s="19"/>
      <c r="G13" s="19"/>
      <c r="H13" s="19"/>
      <c r="I13" s="19"/>
      <c r="J13" s="19"/>
      <c r="K13" s="19"/>
      <c r="L13" s="19"/>
      <c r="M13" s="19"/>
      <c r="N13" s="19"/>
      <c r="O13" s="19"/>
      <c r="P13" s="19"/>
      <c r="Q13" s="19"/>
    </row>
    <row r="14" spans="1:38">
      <c r="A14" s="34"/>
      <c r="F14" s="19"/>
      <c r="G14" s="19"/>
      <c r="H14" s="19"/>
      <c r="I14" s="19"/>
      <c r="J14" s="19"/>
      <c r="K14" s="19"/>
      <c r="L14" s="19"/>
      <c r="M14" s="19"/>
      <c r="N14" s="19"/>
      <c r="O14" s="19"/>
      <c r="P14" s="19"/>
      <c r="Q14" s="19"/>
    </row>
    <row r="15" spans="1:38">
      <c r="A15" s="30" t="s">
        <v>425</v>
      </c>
    </row>
    <row r="16" spans="1:38" ht="34">
      <c r="A16" s="5" t="s">
        <v>99</v>
      </c>
      <c r="B16" s="82">
        <f>Assumptions!B60</f>
        <v>1</v>
      </c>
    </row>
    <row r="17" spans="1:17">
      <c r="A17" s="2" t="s">
        <v>73</v>
      </c>
    </row>
    <row r="18" spans="1:17" ht="17">
      <c r="A18" s="34" t="s">
        <v>71</v>
      </c>
      <c r="B18" s="19">
        <f>SUM(C18:E18)</f>
        <v>-514.53825079728256</v>
      </c>
      <c r="C18" s="19">
        <f>SUM(F18:H18)</f>
        <v>-27.56532000000001</v>
      </c>
      <c r="D18" s="19">
        <f>SUM(I18:M18)</f>
        <v>88.918168600000001</v>
      </c>
      <c r="E18" s="19">
        <f>SUM(N18:Q18)</f>
        <v>-575.89109939728257</v>
      </c>
      <c r="F18" s="19">
        <f t="shared" ref="F18:Q18" si="3">$B16*F12/100</f>
        <v>16.983359999999998</v>
      </c>
      <c r="G18" s="19">
        <f t="shared" si="3"/>
        <v>-12.323840000000008</v>
      </c>
      <c r="H18" s="19">
        <f t="shared" si="3"/>
        <v>-32.22484</v>
      </c>
      <c r="I18" s="19">
        <f t="shared" si="3"/>
        <v>-3.2842555999999989</v>
      </c>
      <c r="J18" s="19">
        <f t="shared" si="3"/>
        <v>31.46471</v>
      </c>
      <c r="K18" s="19">
        <f t="shared" si="3"/>
        <v>32.20373</v>
      </c>
      <c r="L18" s="19">
        <f t="shared" si="3"/>
        <v>10.192091900000003</v>
      </c>
      <c r="M18" s="19">
        <f t="shared" si="3"/>
        <v>18.341892300000001</v>
      </c>
      <c r="N18" s="19">
        <f t="shared" si="3"/>
        <v>-45.407479999999978</v>
      </c>
      <c r="O18" s="19">
        <f t="shared" si="3"/>
        <v>24.10544999999999</v>
      </c>
      <c r="P18" s="19">
        <f t="shared" si="3"/>
        <v>-54.611569999999972</v>
      </c>
      <c r="Q18" s="19">
        <f t="shared" si="3"/>
        <v>-499.97749939728266</v>
      </c>
    </row>
    <row r="19" spans="1:17">
      <c r="A19" s="3" t="s">
        <v>91</v>
      </c>
      <c r="B19" s="19">
        <f>SUM(C19:E19)</f>
        <v>4871.6698094656876</v>
      </c>
      <c r="C19" s="19">
        <f>SUM(F19:H19)</f>
        <v>479.96842545121052</v>
      </c>
      <c r="D19" s="19">
        <f>SUM(I19:M19)</f>
        <v>1305.9223328389835</v>
      </c>
      <c r="E19" s="19">
        <f>SUM(N19:Q19)</f>
        <v>3085.7790511754938</v>
      </c>
      <c r="F19" s="19">
        <f>Data!F33+'Interest Risk'!F18</f>
        <v>98.374576683900898</v>
      </c>
      <c r="G19" s="19">
        <f>Data!G33+'Interest Risk'!G18</f>
        <v>53.230455366735001</v>
      </c>
      <c r="H19" s="19">
        <f>Data!H33+'Interest Risk'!H18</f>
        <v>328.36339340057464</v>
      </c>
      <c r="I19" s="19">
        <f>Data!I33+'Interest Risk'!I18</f>
        <v>33.993758359775761</v>
      </c>
      <c r="J19" s="19">
        <f>Data!J33+'Interest Risk'!J18</f>
        <v>33.915145064923337</v>
      </c>
      <c r="K19" s="19">
        <f>Data!K33+'Interest Risk'!K18</f>
        <v>559.00995271803072</v>
      </c>
      <c r="L19" s="19">
        <f>Data!L33+'Interest Risk'!L18</f>
        <v>66.337394514260126</v>
      </c>
      <c r="M19" s="19">
        <f>Data!M33+'Interest Risk'!M18</f>
        <v>612.66608218199337</v>
      </c>
      <c r="N19" s="19">
        <f>Data!N33+'Interest Risk'!N18</f>
        <v>1617.6313101601133</v>
      </c>
      <c r="O19" s="19">
        <f>Data!O33+'Interest Risk'!O18</f>
        <v>1738.7437306229649</v>
      </c>
      <c r="P19" s="19">
        <f>Data!P33+'Interest Risk'!P18</f>
        <v>228.62450978969815</v>
      </c>
      <c r="Q19" s="19">
        <f>Data!Q33+'Interest Risk'!Q18</f>
        <v>-499.22049939728265</v>
      </c>
    </row>
    <row r="20" spans="1:17">
      <c r="A20" s="3" t="s">
        <v>92</v>
      </c>
      <c r="B20" s="21">
        <f>100*B19/Data!B34</f>
        <v>10.639174668024907</v>
      </c>
      <c r="C20" s="21">
        <f>100*C19/Data!C34</f>
        <v>4.6846158515084957</v>
      </c>
      <c r="D20" s="21">
        <f>100*D19/Data!D34</f>
        <v>19.555758616073085</v>
      </c>
      <c r="E20" s="21">
        <f>100*E19/Data!E34</f>
        <v>10.689883300849695</v>
      </c>
      <c r="F20" s="21">
        <f>100*F19/Data!F34</f>
        <v>9.5484400831734746</v>
      </c>
      <c r="G20" s="21">
        <f>100*G19/Data!G34</f>
        <v>6.5772454125003996</v>
      </c>
      <c r="H20" s="21">
        <f>100*H19/Data!H34</f>
        <v>3.9062747834497613</v>
      </c>
      <c r="I20" s="21">
        <f>100*I19/Data!I34</f>
        <v>21.772874045964073</v>
      </c>
      <c r="J20" s="21">
        <f>100*J19/Data!J34</f>
        <v>5.9735036271403867</v>
      </c>
      <c r="K20" s="21">
        <f>100*K19/Data!K34</f>
        <v>17.755250617098284</v>
      </c>
      <c r="L20" s="21">
        <f>100*L19/Data!L34</f>
        <v>9.8067041912873094</v>
      </c>
      <c r="M20" s="21">
        <f>100*M19/Data!M34</f>
        <v>28.774689100960092</v>
      </c>
      <c r="N20" s="21">
        <f>100*N19/Data!N34</f>
        <v>20.858885952083309</v>
      </c>
      <c r="O20" s="21">
        <f>100*O19/Data!O34</f>
        <v>19.301671040539357</v>
      </c>
      <c r="P20" s="21">
        <f>100*P19/Data!P34</f>
        <v>9.8222385065913578</v>
      </c>
      <c r="Q20" s="21">
        <f>100*Q19/Data!Q34</f>
        <v>-5.1069297790233685</v>
      </c>
    </row>
    <row r="21" spans="1:17">
      <c r="A21" s="3" t="s">
        <v>93</v>
      </c>
      <c r="B21" s="21">
        <f>B20-Data!B123</f>
        <v>-1.1236932176675367</v>
      </c>
      <c r="C21" s="21">
        <f>C20-Data!C123</f>
        <v>-0.26904464580666687</v>
      </c>
      <c r="D21" s="21">
        <f>D20-Data!D123</f>
        <v>1.3315204112825967</v>
      </c>
      <c r="E21" s="21">
        <f>E20-Data!E123</f>
        <v>-1.995025743729073</v>
      </c>
      <c r="F21" s="21">
        <f>F20-Data!F123</f>
        <v>1.6484400831734769</v>
      </c>
      <c r="G21" s="21">
        <f>G20-Data!G123</f>
        <v>-1.5227545874996089</v>
      </c>
      <c r="H21" s="21">
        <f>H20-Data!H123</f>
        <v>-0.38335296327974566</v>
      </c>
      <c r="I21" s="21">
        <f>I20-Data!I123</f>
        <v>-2.1035533275475089</v>
      </c>
      <c r="J21" s="21">
        <f>J20-Data!J123</f>
        <v>5.5419063946835943</v>
      </c>
      <c r="K21" s="21">
        <f>K20-Data!K123</f>
        <v>1.0228535183948289</v>
      </c>
      <c r="L21" s="21">
        <f>L20-Data!L123</f>
        <v>1.5067041912873105</v>
      </c>
      <c r="M21" s="21">
        <f>M20-Data!M123</f>
        <v>0.86145171702032641</v>
      </c>
      <c r="N21" s="21">
        <f>N20-Data!N123</f>
        <v>-0.58551626736117157</v>
      </c>
      <c r="O21" s="21">
        <f>O20-Data!O123</f>
        <v>0.26759289364480665</v>
      </c>
      <c r="P21" s="21">
        <f>P20-Data!P123</f>
        <v>-2.3462395447138515</v>
      </c>
      <c r="Q21" s="21">
        <f>Q20-Data!Q123</f>
        <v>-5.1146737435588552</v>
      </c>
    </row>
    <row r="23" spans="1:17">
      <c r="A23" s="2" t="s">
        <v>97</v>
      </c>
    </row>
    <row r="24" spans="1:17">
      <c r="A24" s="3" t="s">
        <v>98</v>
      </c>
      <c r="B24" s="19">
        <f>SUM(C24:E24)</f>
        <v>-494.01322482025665</v>
      </c>
      <c r="C24" s="19">
        <f>SUM(F24:H24)</f>
        <v>-14.475881626864355</v>
      </c>
      <c r="D24" s="19">
        <f>SUM(I24:M24)</f>
        <v>-36.919258990862019</v>
      </c>
      <c r="E24" s="19">
        <f>SUM(N24:Q24)</f>
        <v>-442.61808420253027</v>
      </c>
      <c r="F24" s="19">
        <f>-Data!F7*Data!F86*'Interest Risk'!$B16/100</f>
        <v>-4.9939160915916476</v>
      </c>
      <c r="G24" s="19">
        <f>-Data!G7*Data!G86*'Interest Risk'!$B16/100</f>
        <v>-2.8189361591460118</v>
      </c>
      <c r="H24" s="19">
        <f>-Data!H7*Data!H86*'Interest Risk'!$B16/100</f>
        <v>-6.6630293761266959</v>
      </c>
      <c r="I24" s="19">
        <f>-Data!I7*Data!I86*'Interest Risk'!$B16/100</f>
        <v>-0.37062463117521849</v>
      </c>
      <c r="J24" s="19">
        <f>-Data!J7*Data!J86*'Interest Risk'!$B16/100</f>
        <v>-4.5666997387898762</v>
      </c>
      <c r="K24" s="19">
        <f>-Data!K7*Data!K86*'Interest Risk'!$B16/100</f>
        <v>-16.438412983481342</v>
      </c>
      <c r="L24" s="19">
        <f>-Data!L7*Data!L86*'Interest Risk'!$B16/100</f>
        <v>-2.6975387308656695</v>
      </c>
      <c r="M24" s="19">
        <f>-Data!M7*Data!M86*'Interest Risk'!$B16/100</f>
        <v>-12.845982906549912</v>
      </c>
      <c r="N24" s="19">
        <f>-Data!N7*Data!N86*'Interest Risk'!$B16/100</f>
        <v>-72.224435946790109</v>
      </c>
      <c r="O24" s="19">
        <f>-Data!O7*Data!O86*'Interest Risk'!$B16/100</f>
        <v>-32.143716967416957</v>
      </c>
      <c r="P24" s="19">
        <f>-Data!P7*Data!P86*'Interest Risk'!$B16/100</f>
        <v>-27.327031296613164</v>
      </c>
      <c r="Q24" s="19">
        <f>-Data!Q7*Data!Q86*'Interest Risk'!$B16/100</f>
        <v>-310.92289999171004</v>
      </c>
    </row>
    <row r="25" spans="1:17">
      <c r="A25" s="3" t="s">
        <v>91</v>
      </c>
      <c r="B25" s="19">
        <f>SUM(C25:E25)</f>
        <v>4377.6565846454305</v>
      </c>
      <c r="C25" s="19">
        <f>SUM(F25:H25)</f>
        <v>465.49254382434617</v>
      </c>
      <c r="D25" s="19">
        <f>SUM(I25:M25)</f>
        <v>1269.0030738481212</v>
      </c>
      <c r="E25" s="19">
        <f>SUM(N25:Q25)</f>
        <v>2643.1609669729628</v>
      </c>
      <c r="F25" s="19">
        <f t="shared" ref="F25:Q25" si="4">F19+F24</f>
        <v>93.380660592309255</v>
      </c>
      <c r="G25" s="19">
        <f t="shared" si="4"/>
        <v>50.411519207588988</v>
      </c>
      <c r="H25" s="19">
        <f t="shared" si="4"/>
        <v>321.70036402444794</v>
      </c>
      <c r="I25" s="19">
        <f t="shared" si="4"/>
        <v>33.623133728600543</v>
      </c>
      <c r="J25" s="19">
        <f t="shared" si="4"/>
        <v>29.348445326133461</v>
      </c>
      <c r="K25" s="19">
        <f t="shared" si="4"/>
        <v>542.57153973454933</v>
      </c>
      <c r="L25" s="19">
        <f t="shared" si="4"/>
        <v>63.639855783394459</v>
      </c>
      <c r="M25" s="19">
        <f t="shared" si="4"/>
        <v>599.82009927544345</v>
      </c>
      <c r="N25" s="19">
        <f t="shared" si="4"/>
        <v>1545.4068742133231</v>
      </c>
      <c r="O25" s="19">
        <f t="shared" si="4"/>
        <v>1706.6000136555479</v>
      </c>
      <c r="P25" s="19">
        <f t="shared" si="4"/>
        <v>201.29747849308498</v>
      </c>
      <c r="Q25" s="19">
        <f t="shared" si="4"/>
        <v>-810.14339938899275</v>
      </c>
    </row>
    <row r="26" spans="1:17">
      <c r="A26" s="3" t="s">
        <v>92</v>
      </c>
      <c r="B26" s="21">
        <f>100*B25/Data!B34</f>
        <v>9.5603057806128877</v>
      </c>
      <c r="C26" s="21">
        <f>100*C25/Data!C34</f>
        <v>4.5433275064053396</v>
      </c>
      <c r="D26" s="21">
        <f>100*D25/Data!D34</f>
        <v>19.002904821513919</v>
      </c>
      <c r="E26" s="21">
        <f>100*E25/Data!E34</f>
        <v>9.1565474435178853</v>
      </c>
      <c r="F26" s="21">
        <f>100*F25/Data!F34</f>
        <v>9.0637202481476198</v>
      </c>
      <c r="G26" s="21">
        <f>100*G25/Data!G34</f>
        <v>6.2289328761312053</v>
      </c>
      <c r="H26" s="21">
        <f>100*H25/Data!H34</f>
        <v>3.8270100902578581</v>
      </c>
      <c r="I26" s="21">
        <f>100*I25/Data!I34</f>
        <v>21.535490367245615</v>
      </c>
      <c r="J26" s="21">
        <f>100*J25/Data!J34</f>
        <v>5.1691668801943793</v>
      </c>
      <c r="K26" s="21">
        <f>100*K25/Data!K34</f>
        <v>17.23313443499822</v>
      </c>
      <c r="L26" s="21">
        <f>100*L25/Data!L34</f>
        <v>9.4079251229828778</v>
      </c>
      <c r="M26" s="21">
        <f>100*M25/Data!M34</f>
        <v>28.17136018316565</v>
      </c>
      <c r="N26" s="21">
        <f>100*N25/Data!N34</f>
        <v>19.92757282596774</v>
      </c>
      <c r="O26" s="21">
        <f>100*O25/Data!O34</f>
        <v>18.944845914445015</v>
      </c>
      <c r="P26" s="21">
        <f>100*P25/Data!P34</f>
        <v>8.6482059441188461</v>
      </c>
      <c r="Q26" s="21">
        <f>100*Q25/Data!Q34</f>
        <v>-8.2876112992434336</v>
      </c>
    </row>
    <row r="27" spans="1:17">
      <c r="A27" s="3" t="s">
        <v>93</v>
      </c>
      <c r="B27" s="21">
        <f t="shared" ref="B27:Q27" si="5">B26-B20</f>
        <v>-1.0788688874120194</v>
      </c>
      <c r="C27" s="21">
        <f t="shared" si="5"/>
        <v>-0.14128834510315613</v>
      </c>
      <c r="D27" s="21">
        <f t="shared" si="5"/>
        <v>-0.55285379455916583</v>
      </c>
      <c r="E27" s="21">
        <f t="shared" si="5"/>
        <v>-1.5333358573318101</v>
      </c>
      <c r="F27" s="21">
        <f t="shared" si="5"/>
        <v>-0.48471983502585481</v>
      </c>
      <c r="G27" s="21">
        <f t="shared" si="5"/>
        <v>-0.34831253636919435</v>
      </c>
      <c r="H27" s="21">
        <f t="shared" si="5"/>
        <v>-7.9264693191903213E-2</v>
      </c>
      <c r="I27" s="21">
        <f t="shared" si="5"/>
        <v>-0.23738367871845867</v>
      </c>
      <c r="J27" s="21">
        <f t="shared" si="5"/>
        <v>-0.80433674694600743</v>
      </c>
      <c r="K27" s="21">
        <f t="shared" si="5"/>
        <v>-0.5221161821000635</v>
      </c>
      <c r="L27" s="21">
        <f t="shared" si="5"/>
        <v>-0.39877906830443166</v>
      </c>
      <c r="M27" s="21">
        <f t="shared" si="5"/>
        <v>-0.60332891779444253</v>
      </c>
      <c r="N27" s="21">
        <f t="shared" si="5"/>
        <v>-0.93131312611556893</v>
      </c>
      <c r="O27" s="21">
        <f t="shared" si="5"/>
        <v>-0.35682512609434269</v>
      </c>
      <c r="P27" s="21">
        <f t="shared" si="5"/>
        <v>-1.1740325624725116</v>
      </c>
      <c r="Q27" s="21">
        <f t="shared" si="5"/>
        <v>-3.1806815202200651</v>
      </c>
    </row>
    <row r="29" spans="1:17">
      <c r="A29" s="3" t="s">
        <v>100</v>
      </c>
      <c r="B29" s="21">
        <f t="shared" ref="B29:Q29" si="6">B27+B21</f>
        <v>-2.2025621050795561</v>
      </c>
      <c r="C29" s="21">
        <f t="shared" si="6"/>
        <v>-0.410332990909823</v>
      </c>
      <c r="D29" s="21">
        <f t="shared" si="6"/>
        <v>0.77866661672343085</v>
      </c>
      <c r="E29" s="21">
        <f t="shared" si="6"/>
        <v>-3.5283616010608831</v>
      </c>
      <c r="F29" s="21">
        <f t="shared" si="6"/>
        <v>1.1637202481476221</v>
      </c>
      <c r="G29" s="21">
        <f t="shared" si="6"/>
        <v>-1.8710671238688033</v>
      </c>
      <c r="H29" s="21">
        <f t="shared" si="6"/>
        <v>-0.46261765647164887</v>
      </c>
      <c r="I29" s="21">
        <f t="shared" si="6"/>
        <v>-2.3409370062659676</v>
      </c>
      <c r="J29" s="21">
        <f t="shared" si="6"/>
        <v>4.7375696477375868</v>
      </c>
      <c r="K29" s="21">
        <f t="shared" si="6"/>
        <v>0.50073733629476536</v>
      </c>
      <c r="L29" s="21">
        <f t="shared" si="6"/>
        <v>1.1079251229828788</v>
      </c>
      <c r="M29" s="21">
        <f t="shared" si="6"/>
        <v>0.25812279922588388</v>
      </c>
      <c r="N29" s="21">
        <f t="shared" si="6"/>
        <v>-1.5168293934767405</v>
      </c>
      <c r="O29" s="21">
        <f t="shared" si="6"/>
        <v>-8.9232232449536042E-2</v>
      </c>
      <c r="P29" s="21">
        <f t="shared" si="6"/>
        <v>-3.5202721071863632</v>
      </c>
      <c r="Q29" s="21">
        <f t="shared" si="6"/>
        <v>-8.2953552637789194</v>
      </c>
    </row>
  </sheetData>
  <phoneticPr fontId="3" type="noConversion"/>
  <pageMargins left="0.75" right="0.75" top="1" bottom="1" header="0.5" footer="0.5"/>
  <pageSetup scale="38"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22"/>
  <sheetViews>
    <sheetView zoomScaleNormal="100" workbookViewId="0">
      <pane xSplit="1" ySplit="2" topLeftCell="B3" activePane="bottomRight" state="frozen"/>
      <selection pane="topRight" activeCell="B1" sqref="B1"/>
      <selection pane="bottomLeft" activeCell="A5" sqref="A5"/>
      <selection pane="bottomRight" activeCell="I7" sqref="I7"/>
    </sheetView>
  </sheetViews>
  <sheetFormatPr baseColWidth="10" defaultColWidth="16.59765625" defaultRowHeight="16"/>
  <cols>
    <col min="1" max="1" width="65.3984375" style="3" customWidth="1"/>
    <col min="2" max="2" width="14.59765625" style="3" customWidth="1"/>
    <col min="3" max="3" width="16.59765625" style="3" customWidth="1"/>
    <col min="4" max="4" width="16.3984375" style="3" customWidth="1"/>
    <col min="5" max="5" width="12.59765625" style="3" customWidth="1"/>
    <col min="6" max="17" width="10.796875" style="3" customWidth="1"/>
    <col min="18" max="16384" width="16.59765625" style="3"/>
  </cols>
  <sheetData>
    <row r="1" spans="1:38">
      <c r="A1" s="30" t="s">
        <v>10</v>
      </c>
    </row>
    <row r="2" spans="1:38" s="16" customFormat="1" ht="29.25" customHeight="1">
      <c r="A2" s="14"/>
      <c r="B2" s="14" t="str">
        <f>Data!B3</f>
        <v>All Banks</v>
      </c>
      <c r="C2" s="14" t="str">
        <f>Data!C3</f>
        <v>State Owned (SB)</v>
      </c>
      <c r="D2" s="14" t="str">
        <f>Data!D3</f>
        <v>Domestic Private (DB)</v>
      </c>
      <c r="E2" s="14" t="str">
        <f>Data!E3</f>
        <v>Foreign (FB)</v>
      </c>
      <c r="F2" s="15" t="str">
        <f>Data!F3</f>
        <v>SB1</v>
      </c>
      <c r="G2" s="15" t="str">
        <f>Data!G3</f>
        <v>SB2</v>
      </c>
      <c r="H2" s="15" t="str">
        <f>Data!H3</f>
        <v>SB3</v>
      </c>
      <c r="I2" s="15" t="str">
        <f>Data!I3</f>
        <v>DB1</v>
      </c>
      <c r="J2" s="15" t="str">
        <f>Data!J3</f>
        <v>DB2</v>
      </c>
      <c r="K2" s="15" t="str">
        <f>Data!K3</f>
        <v>DB3</v>
      </c>
      <c r="L2" s="15" t="str">
        <f>Data!L3</f>
        <v>DB4</v>
      </c>
      <c r="M2" s="15" t="str">
        <f>Data!M3</f>
        <v>DB5</v>
      </c>
      <c r="N2" s="15" t="str">
        <f>Data!N3</f>
        <v>FB1</v>
      </c>
      <c r="O2" s="15" t="str">
        <f>Data!O3</f>
        <v>FB2</v>
      </c>
      <c r="P2" s="15" t="str">
        <f>Data!P3</f>
        <v>FB3</v>
      </c>
      <c r="Q2" s="15" t="str">
        <f>Data!Q3</f>
        <v>FB4</v>
      </c>
      <c r="S2" s="17"/>
      <c r="T2" s="17"/>
      <c r="U2" s="17"/>
      <c r="V2" s="17"/>
      <c r="W2" s="17"/>
      <c r="X2" s="17"/>
      <c r="Y2" s="17"/>
      <c r="Z2" s="17"/>
      <c r="AA2" s="17"/>
      <c r="AB2" s="17"/>
      <c r="AC2" s="17"/>
      <c r="AD2" s="17"/>
      <c r="AE2" s="17"/>
      <c r="AF2" s="17"/>
      <c r="AG2" s="17"/>
      <c r="AH2" s="17"/>
      <c r="AI2" s="17"/>
      <c r="AJ2" s="17"/>
      <c r="AK2" s="17"/>
      <c r="AL2" s="17"/>
    </row>
    <row r="3" spans="1:38" ht="17">
      <c r="A3" s="29" t="s">
        <v>426</v>
      </c>
    </row>
    <row r="4" spans="1:38">
      <c r="A4" s="3" t="s">
        <v>55</v>
      </c>
      <c r="B4" s="19">
        <f>SUM(C4:E4)</f>
        <v>474.11500092135333</v>
      </c>
      <c r="C4" s="19">
        <f>SUM(F4:H4)</f>
        <v>-89.606000000000009</v>
      </c>
      <c r="D4" s="19">
        <f>SUM(I4:M4)</f>
        <v>53.349999999999994</v>
      </c>
      <c r="E4" s="19">
        <f>SUM(N4:Q4)</f>
        <v>510.37100092135336</v>
      </c>
      <c r="F4" s="19">
        <f>Data!F93</f>
        <v>11.476000000000001</v>
      </c>
      <c r="G4" s="19">
        <f>Data!G93</f>
        <v>-8.1450000000000031</v>
      </c>
      <c r="H4" s="19">
        <f>Data!H93</f>
        <v>-92.937000000000012</v>
      </c>
      <c r="I4" s="19">
        <f>Data!I93</f>
        <v>0</v>
      </c>
      <c r="J4" s="19">
        <f>Data!J93</f>
        <v>12.047999999999998</v>
      </c>
      <c r="K4" s="19">
        <f>Data!K93</f>
        <v>13.811999999999999</v>
      </c>
      <c r="L4" s="19">
        <f>Data!L93</f>
        <v>4.8020000000000005</v>
      </c>
      <c r="M4" s="19">
        <f>Data!M93</f>
        <v>22.687999999999999</v>
      </c>
      <c r="N4" s="19">
        <f>Data!N93</f>
        <v>85.326000000000008</v>
      </c>
      <c r="O4" s="19">
        <f>Data!O93</f>
        <v>61.085999999999999</v>
      </c>
      <c r="P4" s="19">
        <f>Data!P93</f>
        <v>88.117999999999995</v>
      </c>
      <c r="Q4" s="19">
        <f>Data!Q93</f>
        <v>275.84100092135333</v>
      </c>
    </row>
    <row r="5" spans="1:38">
      <c r="A5" s="3" t="s">
        <v>56</v>
      </c>
      <c r="B5" s="82">
        <f>Assumptions!B63</f>
        <v>55</v>
      </c>
    </row>
    <row r="6" spans="1:38">
      <c r="A6" s="3" t="s">
        <v>57</v>
      </c>
      <c r="B6" s="32">
        <f>SUM(C6:E6)</f>
        <v>260.76325050674433</v>
      </c>
      <c r="C6" s="32">
        <f>SUM(F6:H6)</f>
        <v>-49.283300000000011</v>
      </c>
      <c r="D6" s="32">
        <f>SUM(I6:M6)</f>
        <v>29.342500000000001</v>
      </c>
      <c r="E6" s="32">
        <f>SUM(N6:Q6)</f>
        <v>280.70405050674435</v>
      </c>
      <c r="F6" s="32">
        <f>F4*$B5/100</f>
        <v>6.3118000000000007</v>
      </c>
      <c r="G6" s="32">
        <f t="shared" ref="G6:Q6" si="0">G4*$B5/100</f>
        <v>-4.4797500000000019</v>
      </c>
      <c r="H6" s="32">
        <f t="shared" si="0"/>
        <v>-51.115350000000007</v>
      </c>
      <c r="I6" s="32">
        <f t="shared" si="0"/>
        <v>0</v>
      </c>
      <c r="J6" s="32">
        <f t="shared" si="0"/>
        <v>6.6263999999999985</v>
      </c>
      <c r="K6" s="32">
        <f t="shared" si="0"/>
        <v>7.5965999999999996</v>
      </c>
      <c r="L6" s="32">
        <f t="shared" si="0"/>
        <v>2.6411000000000002</v>
      </c>
      <c r="M6" s="32">
        <f t="shared" si="0"/>
        <v>12.478399999999999</v>
      </c>
      <c r="N6" s="32">
        <f t="shared" si="0"/>
        <v>46.929300000000005</v>
      </c>
      <c r="O6" s="32">
        <f t="shared" si="0"/>
        <v>33.597299999999997</v>
      </c>
      <c r="P6" s="32">
        <f t="shared" si="0"/>
        <v>48.4649</v>
      </c>
      <c r="Q6" s="32">
        <f t="shared" si="0"/>
        <v>151.71255050674435</v>
      </c>
    </row>
    <row r="7" spans="1:38">
      <c r="A7" s="3" t="s">
        <v>60</v>
      </c>
      <c r="B7" s="19">
        <f>SUM(C7:E7)</f>
        <v>5646.9713107697144</v>
      </c>
      <c r="C7" s="19">
        <f>SUM(F7:H7)</f>
        <v>458.25044545121045</v>
      </c>
      <c r="D7" s="19">
        <f>SUM(I7:M7)</f>
        <v>1246.3466642389833</v>
      </c>
      <c r="E7" s="19">
        <f>SUM(N7:Q7)</f>
        <v>3942.3742010795208</v>
      </c>
      <c r="F7" s="19">
        <f>Data!F18+'FX Risk'!F6</f>
        <v>87.703016683900898</v>
      </c>
      <c r="G7" s="19">
        <f>Data!G18+'FX Risk'!G6</f>
        <v>61.074545366735002</v>
      </c>
      <c r="H7" s="19">
        <f>Data!H18+'FX Risk'!H6</f>
        <v>309.47288340057457</v>
      </c>
      <c r="I7" s="19">
        <f>Data!I18+'FX Risk'!I6</f>
        <v>37.278013959775762</v>
      </c>
      <c r="J7" s="19">
        <f>Data!J18+'FX Risk'!J6</f>
        <v>9.0768350649233387</v>
      </c>
      <c r="K7" s="19">
        <f>Data!K18+'FX Risk'!K6</f>
        <v>534.40282271803073</v>
      </c>
      <c r="L7" s="19">
        <f>Data!L18+'FX Risk'!L6</f>
        <v>58.786402614260119</v>
      </c>
      <c r="M7" s="19">
        <f>Data!M18+'FX Risk'!M6</f>
        <v>606.8025898819933</v>
      </c>
      <c r="N7" s="19">
        <f>Data!N18+'FX Risk'!N6</f>
        <v>1709.9680901601134</v>
      </c>
      <c r="O7" s="19">
        <f>Data!O18+'FX Risk'!O6</f>
        <v>1748.2355806229648</v>
      </c>
      <c r="P7" s="19">
        <f>Data!P18+'FX Risk'!P6</f>
        <v>331.70097978969812</v>
      </c>
      <c r="Q7" s="19">
        <f>Data!Q18+'FX Risk'!Q6</f>
        <v>152.46955050674435</v>
      </c>
    </row>
    <row r="8" spans="1:38">
      <c r="A8" s="3" t="s">
        <v>58</v>
      </c>
      <c r="B8" s="21">
        <f>100*B7/Data!B34</f>
        <v>12.332345267708911</v>
      </c>
      <c r="C8" s="21">
        <f>100*C7/Data!C34</f>
        <v>4.4726427549967829</v>
      </c>
      <c r="D8" s="21">
        <f>100*D7/Data!D34</f>
        <v>18.663632518497252</v>
      </c>
      <c r="E8" s="21">
        <f>100*E7/Data!E34</f>
        <v>13.657335615706678</v>
      </c>
      <c r="F8" s="21">
        <f>100*F7/Data!F34</f>
        <v>8.512636375662666</v>
      </c>
      <c r="G8" s="21">
        <f>100*G7/Data!G34</f>
        <v>7.5464744865763205</v>
      </c>
      <c r="H8" s="21">
        <f>100*H7/Data!H34</f>
        <v>3.6815496029254922</v>
      </c>
      <c r="I8" s="21">
        <f>100*I7/Data!I34</f>
        <v>23.876427373511582</v>
      </c>
      <c r="J8" s="21">
        <f>100*J7/Data!J34</f>
        <v>1.5987107553124416</v>
      </c>
      <c r="K8" s="21">
        <f>100*K7/Data!K34</f>
        <v>16.973679988537587</v>
      </c>
      <c r="L8" s="21">
        <f>100*L7/Data!L34</f>
        <v>8.6904356905974236</v>
      </c>
      <c r="M8" s="21">
        <f>100*M7/Data!M34</f>
        <v>28.499302274619907</v>
      </c>
      <c r="N8" s="21">
        <f>100*N7/Data!N34</f>
        <v>22.049541913738732</v>
      </c>
      <c r="O8" s="21">
        <f>100*O7/Data!O34</f>
        <v>19.407039395311514</v>
      </c>
      <c r="P8" s="21">
        <f>100*P7/Data!P34</f>
        <v>14.250642415204698</v>
      </c>
      <c r="Q8" s="21">
        <f>100*Q7/Data!Q34</f>
        <v>1.5597342032574368</v>
      </c>
    </row>
    <row r="9" spans="1:38">
      <c r="A9" s="3" t="s">
        <v>59</v>
      </c>
      <c r="B9" s="21">
        <f>B8-Data!B123</f>
        <v>0.56947738201646736</v>
      </c>
      <c r="C9" s="21">
        <f>C8-Data!C123</f>
        <v>-0.48101774231837968</v>
      </c>
      <c r="D9" s="21">
        <f>D8-Data!D123</f>
        <v>0.43939431370676374</v>
      </c>
      <c r="E9" s="21">
        <f>E8-Data!E123</f>
        <v>0.97242657112790987</v>
      </c>
      <c r="F9" s="21">
        <f>F8-Data!F123</f>
        <v>0.61263637566266826</v>
      </c>
      <c r="G9" s="21">
        <f>G8-Data!G123</f>
        <v>-0.55352551342368805</v>
      </c>
      <c r="H9" s="21">
        <f>H8-Data!H123</f>
        <v>-0.60807814380401481</v>
      </c>
      <c r="I9" s="21">
        <f>I8-Data!I123</f>
        <v>0</v>
      </c>
      <c r="J9" s="21">
        <f>J8-Data!J123</f>
        <v>1.1671135228556488</v>
      </c>
      <c r="K9" s="21">
        <f>K8-Data!K123</f>
        <v>0.24128288983413171</v>
      </c>
      <c r="L9" s="21">
        <f>L8-Data!L123</f>
        <v>0.39043569059742467</v>
      </c>
      <c r="M9" s="21">
        <f>M8-Data!M123</f>
        <v>0.58606489068014156</v>
      </c>
      <c r="N9" s="21">
        <f>N8-Data!N123</f>
        <v>0.60513969429425174</v>
      </c>
      <c r="O9" s="21">
        <f>O8-Data!O123</f>
        <v>0.37296124841696354</v>
      </c>
      <c r="P9" s="21">
        <f>P8-Data!P123</f>
        <v>2.0821643638994889</v>
      </c>
      <c r="Q9" s="21">
        <f>Q8-Data!Q123</f>
        <v>1.5519902387219497</v>
      </c>
    </row>
    <row r="11" spans="1:38" ht="17">
      <c r="A11" s="29" t="s">
        <v>428</v>
      </c>
    </row>
    <row r="12" spans="1:38">
      <c r="A12" s="3" t="s">
        <v>63</v>
      </c>
      <c r="B12" s="19">
        <f>Data!B98</f>
        <v>31475.809911245502</v>
      </c>
      <c r="C12" s="19">
        <f>Data!C98</f>
        <v>3478</v>
      </c>
      <c r="D12" s="19">
        <f>Data!D98</f>
        <v>4178</v>
      </c>
      <c r="E12" s="19">
        <f>Data!E98</f>
        <v>23819.809911245502</v>
      </c>
      <c r="F12" s="19">
        <f>Data!F98</f>
        <v>357</v>
      </c>
      <c r="G12" s="19">
        <f>Data!G98</f>
        <v>557</v>
      </c>
      <c r="H12" s="19">
        <f>Data!H98</f>
        <v>2564</v>
      </c>
      <c r="I12" s="19">
        <f>Data!I98</f>
        <v>137</v>
      </c>
      <c r="J12" s="19">
        <f>Data!J98</f>
        <v>487</v>
      </c>
      <c r="K12" s="19">
        <f>Data!K98</f>
        <v>1587</v>
      </c>
      <c r="L12" s="19">
        <f>Data!L98</f>
        <v>722</v>
      </c>
      <c r="M12" s="19">
        <f>Data!M98</f>
        <v>1245</v>
      </c>
      <c r="N12" s="19">
        <f>Data!N98</f>
        <v>6245</v>
      </c>
      <c r="O12" s="19">
        <f>Data!O98</f>
        <v>1987</v>
      </c>
      <c r="P12" s="19">
        <f>Data!P98</f>
        <v>2245</v>
      </c>
      <c r="Q12" s="19">
        <f>Data!Q98</f>
        <v>13342.809911245504</v>
      </c>
    </row>
    <row r="13" spans="1:38">
      <c r="A13" s="3" t="s">
        <v>179</v>
      </c>
    </row>
    <row r="14" spans="1:38">
      <c r="A14" s="3" t="s">
        <v>64</v>
      </c>
      <c r="B14" s="81">
        <f>Assumptions!B65</f>
        <v>10</v>
      </c>
    </row>
    <row r="15" spans="1:38">
      <c r="A15" s="3" t="s">
        <v>65</v>
      </c>
      <c r="B15" s="19">
        <f>SUM(C15:E15)</f>
        <v>1731.1695451185028</v>
      </c>
      <c r="C15" s="19">
        <f>SUM(F15:H15)</f>
        <v>191.29000000000002</v>
      </c>
      <c r="D15" s="19">
        <f>SUM(I15:M15)</f>
        <v>229.79</v>
      </c>
      <c r="E15" s="19">
        <f>SUM(N15:Q15)</f>
        <v>1310.0895451185029</v>
      </c>
      <c r="F15" s="19">
        <f t="shared" ref="F15:Q15" si="1">F12*$B5*$B14/100/100</f>
        <v>19.635000000000002</v>
      </c>
      <c r="G15" s="19">
        <f t="shared" si="1"/>
        <v>30.635000000000002</v>
      </c>
      <c r="H15" s="19">
        <f t="shared" si="1"/>
        <v>141.02000000000001</v>
      </c>
      <c r="I15" s="19">
        <f t="shared" si="1"/>
        <v>7.5350000000000001</v>
      </c>
      <c r="J15" s="19">
        <f t="shared" si="1"/>
        <v>26.785</v>
      </c>
      <c r="K15" s="19">
        <f t="shared" si="1"/>
        <v>87.284999999999997</v>
      </c>
      <c r="L15" s="19">
        <f t="shared" si="1"/>
        <v>39.71</v>
      </c>
      <c r="M15" s="19">
        <f t="shared" si="1"/>
        <v>68.474999999999994</v>
      </c>
      <c r="N15" s="19">
        <f t="shared" si="1"/>
        <v>343.47500000000002</v>
      </c>
      <c r="O15" s="19">
        <f t="shared" si="1"/>
        <v>109.285</v>
      </c>
      <c r="P15" s="19">
        <f t="shared" si="1"/>
        <v>123.47499999999999</v>
      </c>
      <c r="Q15" s="19">
        <f t="shared" si="1"/>
        <v>733.85454511850276</v>
      </c>
    </row>
    <row r="16" spans="1:38">
      <c r="A16" s="3" t="s">
        <v>66</v>
      </c>
      <c r="B16" s="81">
        <f>Assumptions!B66</f>
        <v>50</v>
      </c>
    </row>
    <row r="17" spans="1:17">
      <c r="A17" s="3" t="s">
        <v>67</v>
      </c>
      <c r="B17" s="19">
        <f>SUM(C17:E17)</f>
        <v>865.58477255925141</v>
      </c>
      <c r="C17" s="19">
        <f>SUM(F17:H17)</f>
        <v>95.64500000000001</v>
      </c>
      <c r="D17" s="19">
        <f>SUM(I17:M17)</f>
        <v>114.895</v>
      </c>
      <c r="E17" s="19">
        <f>SUM(N17:Q17)</f>
        <v>655.04477255925144</v>
      </c>
      <c r="F17" s="19">
        <f>F15*$B16/100</f>
        <v>9.8175000000000008</v>
      </c>
      <c r="G17" s="19">
        <f t="shared" ref="G17:Q17" si="2">G15*$B16/100</f>
        <v>15.317500000000001</v>
      </c>
      <c r="H17" s="19">
        <f t="shared" si="2"/>
        <v>70.510000000000005</v>
      </c>
      <c r="I17" s="19">
        <f t="shared" si="2"/>
        <v>3.7675000000000001</v>
      </c>
      <c r="J17" s="19">
        <f t="shared" si="2"/>
        <v>13.3925</v>
      </c>
      <c r="K17" s="19">
        <f t="shared" si="2"/>
        <v>43.642499999999998</v>
      </c>
      <c r="L17" s="19">
        <f t="shared" si="2"/>
        <v>19.855</v>
      </c>
      <c r="M17" s="19">
        <f t="shared" si="2"/>
        <v>34.237499999999997</v>
      </c>
      <c r="N17" s="19">
        <f t="shared" si="2"/>
        <v>171.73750000000001</v>
      </c>
      <c r="O17" s="19">
        <f t="shared" si="2"/>
        <v>54.642499999999998</v>
      </c>
      <c r="P17" s="19">
        <f t="shared" si="2"/>
        <v>61.737499999999997</v>
      </c>
      <c r="Q17" s="19">
        <f t="shared" si="2"/>
        <v>366.92727255925138</v>
      </c>
    </row>
    <row r="18" spans="1:17">
      <c r="A18" s="3" t="s">
        <v>60</v>
      </c>
      <c r="B18" s="19">
        <f>SUM(C18:E18)</f>
        <v>4781.3865382104632</v>
      </c>
      <c r="C18" s="19">
        <f>SUM(F18:H18)</f>
        <v>362.60544545121047</v>
      </c>
      <c r="D18" s="19">
        <f>SUM(I18:M18)</f>
        <v>1131.4516642389833</v>
      </c>
      <c r="E18" s="19">
        <f>SUM(N18:Q18)</f>
        <v>3287.3294285202692</v>
      </c>
      <c r="F18" s="19">
        <f t="shared" ref="F18:Q18" si="3">F7-F17</f>
        <v>77.885516683900903</v>
      </c>
      <c r="G18" s="19">
        <f t="shared" si="3"/>
        <v>45.757045366734999</v>
      </c>
      <c r="H18" s="19">
        <f t="shared" si="3"/>
        <v>238.96288340057458</v>
      </c>
      <c r="I18" s="19">
        <f t="shared" si="3"/>
        <v>33.510513959775764</v>
      </c>
      <c r="J18" s="19">
        <f t="shared" si="3"/>
        <v>-4.3156649350766614</v>
      </c>
      <c r="K18" s="19">
        <f t="shared" si="3"/>
        <v>490.76032271803075</v>
      </c>
      <c r="L18" s="19">
        <f t="shared" si="3"/>
        <v>38.931402614260122</v>
      </c>
      <c r="M18" s="19">
        <f t="shared" si="3"/>
        <v>572.56508988199334</v>
      </c>
      <c r="N18" s="19">
        <f t="shared" si="3"/>
        <v>1538.2305901601135</v>
      </c>
      <c r="O18" s="19">
        <f t="shared" si="3"/>
        <v>1693.5930806229649</v>
      </c>
      <c r="P18" s="19">
        <f t="shared" si="3"/>
        <v>269.96347978969811</v>
      </c>
      <c r="Q18" s="19">
        <f t="shared" si="3"/>
        <v>-214.45772205250702</v>
      </c>
    </row>
    <row r="19" spans="1:17">
      <c r="A19" s="3" t="s">
        <v>58</v>
      </c>
      <c r="B19" s="21">
        <f>100*B18/Data!B34</f>
        <v>10.44200623706543</v>
      </c>
      <c r="C19" s="21">
        <f>100*C18/Data!C34</f>
        <v>3.5391228412726328</v>
      </c>
      <c r="D19" s="21">
        <f>100*D18/Data!D34</f>
        <v>16.943117576916308</v>
      </c>
      <c r="E19" s="21">
        <f>100*E18/Data!E34</f>
        <v>11.388102446590903</v>
      </c>
      <c r="F19" s="21">
        <f>100*F18/Data!F34</f>
        <v>7.5597294999587081</v>
      </c>
      <c r="G19" s="21">
        <f>100*G18/Data!G34</f>
        <v>5.6538181883750083</v>
      </c>
      <c r="H19" s="21">
        <f>100*H18/Data!H34</f>
        <v>2.8427489311190572</v>
      </c>
      <c r="I19" s="21">
        <f>100*I18/Data!I34</f>
        <v>21.463357829979334</v>
      </c>
      <c r="J19" s="21">
        <f>100*J18/Data!J34</f>
        <v>-0.76012177137539505</v>
      </c>
      <c r="K19" s="21">
        <f>100*K18/Data!K34</f>
        <v>15.587508738295877</v>
      </c>
      <c r="L19" s="21">
        <f>100*L18/Data!L34</f>
        <v>5.755256925381472</v>
      </c>
      <c r="M19" s="21">
        <f>100*M18/Data!M34</f>
        <v>26.891291897114669</v>
      </c>
      <c r="N19" s="21">
        <f>100*N18/Data!N34</f>
        <v>19.835036727237775</v>
      </c>
      <c r="O19" s="21">
        <f>100*O18/Data!O34</f>
        <v>18.800456871816351</v>
      </c>
      <c r="P19" s="21">
        <f>100*P18/Data!P34</f>
        <v>11.598256411803376</v>
      </c>
      <c r="Q19" s="21">
        <f>100*Q18/Data!Q34</f>
        <v>-2.1938612865732536</v>
      </c>
    </row>
    <row r="20" spans="1:17">
      <c r="A20" s="3" t="s">
        <v>59</v>
      </c>
      <c r="B20" s="21">
        <f t="shared" ref="B20:Q20" si="4">B19-B8</f>
        <v>-1.8903390306434815</v>
      </c>
      <c r="C20" s="21">
        <f t="shared" si="4"/>
        <v>-0.93351991372415011</v>
      </c>
      <c r="D20" s="21">
        <f t="shared" si="4"/>
        <v>-1.7205149415809444</v>
      </c>
      <c r="E20" s="21">
        <f t="shared" si="4"/>
        <v>-2.2692331691157754</v>
      </c>
      <c r="F20" s="21">
        <f t="shared" si="4"/>
        <v>-0.95290687570395782</v>
      </c>
      <c r="G20" s="21">
        <f t="shared" si="4"/>
        <v>-1.8926562982013122</v>
      </c>
      <c r="H20" s="21">
        <f t="shared" si="4"/>
        <v>-0.83880067180643492</v>
      </c>
      <c r="I20" s="21">
        <f t="shared" si="4"/>
        <v>-2.4130695435322487</v>
      </c>
      <c r="J20" s="21">
        <f t="shared" si="4"/>
        <v>-2.3588325266878365</v>
      </c>
      <c r="K20" s="21">
        <f t="shared" si="4"/>
        <v>-1.3861712502417092</v>
      </c>
      <c r="L20" s="21">
        <f t="shared" si="4"/>
        <v>-2.9351787652159516</v>
      </c>
      <c r="M20" s="21">
        <f t="shared" si="4"/>
        <v>-1.6080103775052379</v>
      </c>
      <c r="N20" s="21">
        <f t="shared" si="4"/>
        <v>-2.2145051865009577</v>
      </c>
      <c r="O20" s="21">
        <f t="shared" si="4"/>
        <v>-0.60658252349516317</v>
      </c>
      <c r="P20" s="21">
        <f t="shared" si="4"/>
        <v>-2.6523860034013218</v>
      </c>
      <c r="Q20" s="21">
        <f t="shared" si="4"/>
        <v>-3.7535954898306905</v>
      </c>
    </row>
    <row r="21" spans="1:17">
      <c r="B21" s="21"/>
      <c r="C21" s="21"/>
      <c r="D21" s="21"/>
      <c r="E21" s="21"/>
      <c r="F21" s="21"/>
      <c r="G21" s="21"/>
      <c r="H21" s="21"/>
      <c r="I21" s="21"/>
      <c r="J21" s="21"/>
      <c r="K21" s="21"/>
      <c r="L21" s="21"/>
      <c r="M21" s="21"/>
      <c r="N21" s="21"/>
      <c r="O21" s="21"/>
      <c r="P21" s="21"/>
      <c r="Q21" s="21"/>
    </row>
    <row r="22" spans="1:17">
      <c r="A22" s="3" t="s">
        <v>180</v>
      </c>
      <c r="B22" s="21">
        <f>B19-Data!B123</f>
        <v>-1.3208616486270142</v>
      </c>
      <c r="C22" s="21">
        <f>C19-Data!C123</f>
        <v>-1.4145376560425298</v>
      </c>
      <c r="D22" s="21">
        <f>D19-Data!D123</f>
        <v>-1.2811206278741807</v>
      </c>
      <c r="E22" s="21">
        <f>E19-Data!E123</f>
        <v>-1.2968065979878656</v>
      </c>
      <c r="F22" s="21">
        <f>F19-Data!F123</f>
        <v>-0.34027050004128956</v>
      </c>
      <c r="G22" s="21">
        <f>G19-Data!G123</f>
        <v>-2.4461818116250003</v>
      </c>
      <c r="H22" s="21">
        <f>H19-Data!H123</f>
        <v>-1.4468788156104497</v>
      </c>
      <c r="I22" s="21">
        <f>I19-Data!I123</f>
        <v>-2.4130695435322487</v>
      </c>
      <c r="J22" s="21">
        <f>J19-Data!J123</f>
        <v>-1.1917190038321877</v>
      </c>
      <c r="K22" s="21">
        <f>K19-Data!K123</f>
        <v>-1.1448883604075775</v>
      </c>
      <c r="L22" s="21">
        <f>L19-Data!L123</f>
        <v>-2.5447430746185269</v>
      </c>
      <c r="M22" s="21">
        <f>M19-Data!M123</f>
        <v>-1.0219454868250963</v>
      </c>
      <c r="N22" s="21">
        <f>N19-Data!N123</f>
        <v>-1.609365492206706</v>
      </c>
      <c r="O22" s="21">
        <f>O19-Data!O123</f>
        <v>-0.23362127507819963</v>
      </c>
      <c r="P22" s="21">
        <f>P19-Data!P123</f>
        <v>-0.57022163950183291</v>
      </c>
      <c r="Q22" s="21">
        <f>Q19-Data!Q123</f>
        <v>-2.2016052511087407</v>
      </c>
    </row>
  </sheetData>
  <phoneticPr fontId="3" type="noConversion"/>
  <pageMargins left="0.75" right="0.75" top="1" bottom="1" header="0.5" footer="0.5"/>
  <pageSetup scale="47"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80"/>
  <sheetViews>
    <sheetView zoomScaleNormal="100" workbookViewId="0">
      <pane xSplit="1" ySplit="4" topLeftCell="B5" activePane="bottomRight" state="frozen"/>
      <selection pane="topRight" activeCell="B1" sqref="B1"/>
      <selection pane="bottomLeft" activeCell="A5" sqref="A5"/>
      <selection pane="bottomRight"/>
    </sheetView>
  </sheetViews>
  <sheetFormatPr baseColWidth="10" defaultColWidth="16.59765625" defaultRowHeight="16"/>
  <cols>
    <col min="1" max="1" width="30.3984375" style="3" customWidth="1"/>
    <col min="2" max="2" width="12.59765625" style="3" customWidth="1"/>
    <col min="3" max="3" width="11" style="3" customWidth="1"/>
    <col min="4" max="4" width="10.3984375" style="3" customWidth="1"/>
    <col min="5" max="5" width="11.3984375" style="3" customWidth="1"/>
    <col min="6" max="6" width="7.796875" style="3" customWidth="1"/>
    <col min="7" max="7" width="9" style="3" customWidth="1"/>
    <col min="8" max="11" width="7.796875" style="3" customWidth="1"/>
    <col min="12" max="12" width="9.796875" style="3" customWidth="1"/>
    <col min="13" max="13" width="7.796875" style="3" customWidth="1"/>
    <col min="14" max="14" width="9.3984375" style="3" customWidth="1"/>
    <col min="15" max="17" width="7.796875" style="3" customWidth="1"/>
    <col min="18" max="18" width="5.796875" style="3" customWidth="1"/>
    <col min="19" max="16384" width="16.59765625" style="3"/>
  </cols>
  <sheetData>
    <row r="1" spans="1:38">
      <c r="A1" s="30" t="s">
        <v>11</v>
      </c>
    </row>
    <row r="2" spans="1:38" ht="5" customHeight="1">
      <c r="A2" s="30"/>
    </row>
    <row r="3" spans="1:38" ht="7.5" customHeight="1"/>
    <row r="4" spans="1:38" s="16" customFormat="1" ht="45" customHeight="1">
      <c r="A4" s="14" t="s">
        <v>228</v>
      </c>
      <c r="B4" s="57" t="s">
        <v>118</v>
      </c>
      <c r="C4" s="57" t="s">
        <v>119</v>
      </c>
      <c r="D4" s="57" t="s">
        <v>120</v>
      </c>
      <c r="E4" s="57" t="s">
        <v>121</v>
      </c>
      <c r="F4" s="57" t="str">
        <f>Data!F3</f>
        <v>SB1</v>
      </c>
      <c r="G4" s="57" t="str">
        <f>Data!G3</f>
        <v>SB2</v>
      </c>
      <c r="H4" s="57" t="str">
        <f>Data!H3</f>
        <v>SB3</v>
      </c>
      <c r="I4" s="57" t="str">
        <f>Data!I3</f>
        <v>DB1</v>
      </c>
      <c r="J4" s="57" t="str">
        <f>Data!J3</f>
        <v>DB2</v>
      </c>
      <c r="K4" s="57" t="str">
        <f>Data!K3</f>
        <v>DB3</v>
      </c>
      <c r="L4" s="57" t="str">
        <f>Data!L3</f>
        <v>DB4</v>
      </c>
      <c r="M4" s="57" t="str">
        <f>Data!M3</f>
        <v>DB5</v>
      </c>
      <c r="N4" s="57" t="str">
        <f>Data!N3</f>
        <v>FB1</v>
      </c>
      <c r="O4" s="57" t="str">
        <f>Data!O3</f>
        <v>FB2</v>
      </c>
      <c r="P4" s="57" t="str">
        <f>Data!P3</f>
        <v>FB3</v>
      </c>
      <c r="Q4" s="57" t="str">
        <f>Data!Q3</f>
        <v>FB4</v>
      </c>
      <c r="S4" s="17"/>
      <c r="T4" s="17"/>
      <c r="U4" s="17"/>
      <c r="V4" s="17"/>
      <c r="W4" s="17"/>
      <c r="X4" s="17"/>
      <c r="Y4" s="17"/>
      <c r="Z4" s="17"/>
      <c r="AA4" s="17"/>
      <c r="AB4" s="17"/>
      <c r="AC4" s="17"/>
      <c r="AD4" s="17"/>
      <c r="AE4" s="17"/>
      <c r="AF4" s="17"/>
      <c r="AG4" s="17"/>
      <c r="AH4" s="17"/>
      <c r="AI4" s="17"/>
      <c r="AJ4" s="17"/>
      <c r="AK4" s="17"/>
      <c r="AL4" s="17"/>
    </row>
    <row r="5" spans="1:38">
      <c r="A5" s="30" t="s">
        <v>429</v>
      </c>
    </row>
    <row r="6" spans="1:38">
      <c r="A6" s="2" t="s">
        <v>118</v>
      </c>
      <c r="B6" s="58" t="s">
        <v>96</v>
      </c>
      <c r="C6" s="58" t="s">
        <v>96</v>
      </c>
      <c r="D6" s="58" t="s">
        <v>96</v>
      </c>
      <c r="E6" s="58" t="s">
        <v>96</v>
      </c>
      <c r="F6" s="58">
        <f>SUM(F7:F9)</f>
        <v>-429.7393275821056</v>
      </c>
      <c r="G6" s="58">
        <f t="shared" ref="G6:Q6" si="0">SUM(G7:G9)</f>
        <v>-350</v>
      </c>
      <c r="H6" s="58">
        <f t="shared" si="0"/>
        <v>332</v>
      </c>
      <c r="I6" s="58">
        <f t="shared" si="0"/>
        <v>73</v>
      </c>
      <c r="J6" s="58">
        <f t="shared" si="0"/>
        <v>95</v>
      </c>
      <c r="K6" s="58">
        <f t="shared" si="0"/>
        <v>-981.62587969351978</v>
      </c>
      <c r="L6" s="58">
        <f t="shared" si="0"/>
        <v>-616.82206128053576</v>
      </c>
      <c r="M6" s="58">
        <f t="shared" si="0"/>
        <v>233</v>
      </c>
      <c r="N6" s="58">
        <f t="shared" si="0"/>
        <v>19</v>
      </c>
      <c r="O6" s="58">
        <f t="shared" si="0"/>
        <v>-112</v>
      </c>
      <c r="P6" s="58">
        <f t="shared" si="0"/>
        <v>-795.26419635802586</v>
      </c>
      <c r="Q6" s="58">
        <f t="shared" si="0"/>
        <v>2533.451464914187</v>
      </c>
    </row>
    <row r="7" spans="1:38">
      <c r="A7" s="2" t="s">
        <v>119</v>
      </c>
      <c r="B7" s="58" t="s">
        <v>96</v>
      </c>
      <c r="C7" s="58" t="s">
        <v>96</v>
      </c>
      <c r="D7" s="58">
        <f>SUM(I7:M7)</f>
        <v>158</v>
      </c>
      <c r="E7" s="58">
        <f>SUM(F7:H7)</f>
        <v>0</v>
      </c>
      <c r="F7" s="58">
        <f>SUM(F10:F12)</f>
        <v>13</v>
      </c>
      <c r="G7" s="58">
        <f t="shared" ref="G7:Q7" si="1">SUM(G10:G12)</f>
        <v>-75</v>
      </c>
      <c r="H7" s="58">
        <f t="shared" si="1"/>
        <v>62</v>
      </c>
      <c r="I7" s="58">
        <f t="shared" si="1"/>
        <v>40</v>
      </c>
      <c r="J7" s="58">
        <f t="shared" si="1"/>
        <v>25</v>
      </c>
      <c r="K7" s="58">
        <f t="shared" si="1"/>
        <v>37</v>
      </c>
      <c r="L7" s="58">
        <f t="shared" si="1"/>
        <v>-7</v>
      </c>
      <c r="M7" s="58">
        <f t="shared" si="1"/>
        <v>63</v>
      </c>
      <c r="N7" s="58">
        <f t="shared" si="1"/>
        <v>-33</v>
      </c>
      <c r="O7" s="58">
        <f t="shared" si="1"/>
        <v>-38</v>
      </c>
      <c r="P7" s="58">
        <f t="shared" si="1"/>
        <v>-140</v>
      </c>
      <c r="Q7" s="58">
        <f t="shared" si="1"/>
        <v>500.7393275821056</v>
      </c>
    </row>
    <row r="8" spans="1:38">
      <c r="A8" s="2" t="s">
        <v>120</v>
      </c>
      <c r="B8" s="58" t="s">
        <v>96</v>
      </c>
      <c r="C8" s="58">
        <f>SUM(C13:C17)</f>
        <v>-158</v>
      </c>
      <c r="D8" s="58" t="s">
        <v>96</v>
      </c>
      <c r="E8" s="58">
        <f>SUM(N8:Q8)</f>
        <v>1355.4479409740557</v>
      </c>
      <c r="F8" s="58">
        <f>SUM(F13:F17)</f>
        <v>4</v>
      </c>
      <c r="G8" s="58">
        <f t="shared" ref="G8:Q8" si="2">SUM(G13:G17)</f>
        <v>-221</v>
      </c>
      <c r="H8" s="58">
        <f t="shared" si="2"/>
        <v>59</v>
      </c>
      <c r="I8" s="58">
        <f t="shared" si="2"/>
        <v>-36</v>
      </c>
      <c r="J8" s="58">
        <f t="shared" si="2"/>
        <v>-36</v>
      </c>
      <c r="K8" s="58">
        <f t="shared" si="2"/>
        <v>-22</v>
      </c>
      <c r="L8" s="58">
        <f t="shared" si="2"/>
        <v>-13</v>
      </c>
      <c r="M8" s="58">
        <f t="shared" si="2"/>
        <v>107</v>
      </c>
      <c r="N8" s="58">
        <f t="shared" si="2"/>
        <v>-8</v>
      </c>
      <c r="O8" s="58">
        <f t="shared" si="2"/>
        <v>-54</v>
      </c>
      <c r="P8" s="58">
        <f t="shared" si="2"/>
        <v>-125</v>
      </c>
      <c r="Q8" s="58">
        <f t="shared" si="2"/>
        <v>1542.4479409740557</v>
      </c>
    </row>
    <row r="9" spans="1:38">
      <c r="A9" s="2" t="s">
        <v>121</v>
      </c>
      <c r="B9" s="58" t="s">
        <v>96</v>
      </c>
      <c r="C9" s="58">
        <f>SUM(C10:C12)</f>
        <v>0</v>
      </c>
      <c r="D9" s="58">
        <f>SUM(D18:D21)</f>
        <v>-1355.4479409740557</v>
      </c>
      <c r="E9" s="58" t="s">
        <v>96</v>
      </c>
      <c r="F9" s="58">
        <f>SUM(F18:F21)</f>
        <v>-446.7393275821056</v>
      </c>
      <c r="G9" s="58">
        <f t="shared" ref="G9:Q9" si="3">SUM(G18:G21)</f>
        <v>-54</v>
      </c>
      <c r="H9" s="58">
        <f t="shared" si="3"/>
        <v>211</v>
      </c>
      <c r="I9" s="58">
        <f t="shared" si="3"/>
        <v>69</v>
      </c>
      <c r="J9" s="58">
        <f t="shared" si="3"/>
        <v>106</v>
      </c>
      <c r="K9" s="58">
        <f t="shared" si="3"/>
        <v>-996.62587969351978</v>
      </c>
      <c r="L9" s="58">
        <f t="shared" si="3"/>
        <v>-596.82206128053576</v>
      </c>
      <c r="M9" s="58">
        <f t="shared" si="3"/>
        <v>63</v>
      </c>
      <c r="N9" s="58">
        <f t="shared" si="3"/>
        <v>60</v>
      </c>
      <c r="O9" s="58">
        <f t="shared" si="3"/>
        <v>-20</v>
      </c>
      <c r="P9" s="58">
        <f t="shared" si="3"/>
        <v>-530.26419635802586</v>
      </c>
      <c r="Q9" s="58">
        <f t="shared" si="3"/>
        <v>490.26419635802586</v>
      </c>
    </row>
    <row r="10" spans="1:38" ht="17">
      <c r="A10" s="56" t="s">
        <v>26</v>
      </c>
      <c r="B10" s="58">
        <f>SUM(C10:E10)</f>
        <v>429.7393275821056</v>
      </c>
      <c r="C10" s="58">
        <f>SUM(F10:H10)</f>
        <v>-13</v>
      </c>
      <c r="D10" s="58">
        <f>SUM(I10:M10)</f>
        <v>-4</v>
      </c>
      <c r="E10" s="58">
        <f>SUM(N10:Q10)</f>
        <v>446.7393275821056</v>
      </c>
      <c r="F10" s="53" t="s">
        <v>96</v>
      </c>
      <c r="G10" s="58">
        <f>-F11</f>
        <v>-45</v>
      </c>
      <c r="H10" s="58">
        <f>-F12</f>
        <v>32</v>
      </c>
      <c r="I10" s="58">
        <f>-F13</f>
        <v>-4</v>
      </c>
      <c r="J10" s="58">
        <f>-F14</f>
        <v>10</v>
      </c>
      <c r="K10" s="58">
        <f>-F15</f>
        <v>-13</v>
      </c>
      <c r="L10" s="58">
        <f>-F16</f>
        <v>-9</v>
      </c>
      <c r="M10" s="58">
        <f>-F17</f>
        <v>12</v>
      </c>
      <c r="N10" s="58">
        <f>-F18</f>
        <v>-45</v>
      </c>
      <c r="O10" s="58">
        <f>-F19</f>
        <v>-4</v>
      </c>
      <c r="P10" s="58">
        <f>-F20</f>
        <v>-43</v>
      </c>
      <c r="Q10" s="58">
        <f>-F21</f>
        <v>538.7393275821056</v>
      </c>
    </row>
    <row r="11" spans="1:38" ht="17">
      <c r="A11" s="56" t="s">
        <v>29</v>
      </c>
      <c r="B11" s="58">
        <f t="shared" ref="B11:B21" si="4">SUM(C11:E11)</f>
        <v>350</v>
      </c>
      <c r="C11" s="58">
        <f t="shared" ref="C11:C21" si="5">SUM(F11:H11)</f>
        <v>75</v>
      </c>
      <c r="D11" s="58">
        <f t="shared" ref="D11:D21" si="6">SUM(I11:M11)</f>
        <v>221</v>
      </c>
      <c r="E11" s="58">
        <f t="shared" ref="E11:E21" si="7">SUM(N11:Q11)</f>
        <v>54</v>
      </c>
      <c r="F11" s="53">
        <f>Data!F107-Data!G106</f>
        <v>45</v>
      </c>
      <c r="G11" s="53" t="s">
        <v>96</v>
      </c>
      <c r="H11" s="58">
        <f>-G12</f>
        <v>30</v>
      </c>
      <c r="I11" s="58">
        <f>-G13</f>
        <v>70</v>
      </c>
      <c r="J11" s="58">
        <f>-G14</f>
        <v>55</v>
      </c>
      <c r="K11" s="58">
        <f>-G15</f>
        <v>60</v>
      </c>
      <c r="L11" s="58">
        <f>-G16</f>
        <v>16</v>
      </c>
      <c r="M11" s="58">
        <f>-G17</f>
        <v>20</v>
      </c>
      <c r="N11" s="58">
        <f>-G18</f>
        <v>22</v>
      </c>
      <c r="O11" s="58">
        <f>-G19</f>
        <v>48</v>
      </c>
      <c r="P11" s="58">
        <f>-G20</f>
        <v>0</v>
      </c>
      <c r="Q11" s="58">
        <f>-G21</f>
        <v>-16</v>
      </c>
    </row>
    <row r="12" spans="1:38" ht="17">
      <c r="A12" s="56" t="s">
        <v>30</v>
      </c>
      <c r="B12" s="58">
        <f t="shared" si="4"/>
        <v>-332</v>
      </c>
      <c r="C12" s="58">
        <f t="shared" si="5"/>
        <v>-62</v>
      </c>
      <c r="D12" s="58">
        <f t="shared" si="6"/>
        <v>-59</v>
      </c>
      <c r="E12" s="58">
        <f t="shared" si="7"/>
        <v>-211</v>
      </c>
      <c r="F12" s="53">
        <f>Data!F108-Data!H106</f>
        <v>-32</v>
      </c>
      <c r="G12" s="53">
        <f>Data!G108-Data!H107</f>
        <v>-30</v>
      </c>
      <c r="H12" s="53" t="s">
        <v>96</v>
      </c>
      <c r="I12" s="58">
        <f>-H13</f>
        <v>-26</v>
      </c>
      <c r="J12" s="58">
        <f>-H14</f>
        <v>-40</v>
      </c>
      <c r="K12" s="58">
        <f>-H15</f>
        <v>-10</v>
      </c>
      <c r="L12" s="58">
        <f>-H16</f>
        <v>-14</v>
      </c>
      <c r="M12" s="58">
        <f>-H17</f>
        <v>31</v>
      </c>
      <c r="N12" s="58">
        <f>-H18</f>
        <v>-10</v>
      </c>
      <c r="O12" s="58">
        <f>-H19</f>
        <v>-82</v>
      </c>
      <c r="P12" s="58">
        <f>-H20</f>
        <v>-97</v>
      </c>
      <c r="Q12" s="58">
        <f>-H21</f>
        <v>-22</v>
      </c>
    </row>
    <row r="13" spans="1:38" ht="17">
      <c r="A13" s="56" t="s">
        <v>33</v>
      </c>
      <c r="B13" s="58">
        <f t="shared" si="4"/>
        <v>-73</v>
      </c>
      <c r="C13" s="58">
        <f t="shared" si="5"/>
        <v>-40</v>
      </c>
      <c r="D13" s="58">
        <f t="shared" si="6"/>
        <v>36</v>
      </c>
      <c r="E13" s="58">
        <f t="shared" si="7"/>
        <v>-69</v>
      </c>
      <c r="F13" s="53">
        <f>Data!F109-Data!I106</f>
        <v>4</v>
      </c>
      <c r="G13" s="53">
        <f>Data!G109-Data!I107</f>
        <v>-70</v>
      </c>
      <c r="H13" s="53">
        <f>Data!H109-Data!I108</f>
        <v>26</v>
      </c>
      <c r="I13" s="53" t="s">
        <v>96</v>
      </c>
      <c r="J13" s="58">
        <f>-I14</f>
        <v>-5</v>
      </c>
      <c r="K13" s="58">
        <f>-I15</f>
        <v>2</v>
      </c>
      <c r="L13" s="58">
        <f>-I16</f>
        <v>7</v>
      </c>
      <c r="M13" s="58">
        <f>-I17</f>
        <v>32</v>
      </c>
      <c r="N13" s="58">
        <f>-I18</f>
        <v>-4</v>
      </c>
      <c r="O13" s="58">
        <f>-I19</f>
        <v>0</v>
      </c>
      <c r="P13" s="58">
        <f>-I20</f>
        <v>-45</v>
      </c>
      <c r="Q13" s="58">
        <f>-I21</f>
        <v>-20</v>
      </c>
    </row>
    <row r="14" spans="1:38" ht="17">
      <c r="A14" s="56" t="s">
        <v>34</v>
      </c>
      <c r="B14" s="58">
        <f t="shared" si="4"/>
        <v>-95</v>
      </c>
      <c r="C14" s="58">
        <f t="shared" si="5"/>
        <v>-25</v>
      </c>
      <c r="D14" s="58">
        <f t="shared" si="6"/>
        <v>36</v>
      </c>
      <c r="E14" s="58">
        <f t="shared" si="7"/>
        <v>-106</v>
      </c>
      <c r="F14" s="53">
        <f>Data!F110-Data!J106</f>
        <v>-10</v>
      </c>
      <c r="G14" s="53">
        <f>Data!G110-Data!J107</f>
        <v>-55</v>
      </c>
      <c r="H14" s="53">
        <f>Data!H110-Data!J108</f>
        <v>40</v>
      </c>
      <c r="I14" s="53">
        <f>Data!I110-Data!J109</f>
        <v>5</v>
      </c>
      <c r="J14" s="53" t="s">
        <v>96</v>
      </c>
      <c r="K14" s="58">
        <f>-J15</f>
        <v>2</v>
      </c>
      <c r="L14" s="58">
        <f>-J16</f>
        <v>3</v>
      </c>
      <c r="M14" s="58">
        <f>-J17</f>
        <v>26</v>
      </c>
      <c r="N14" s="58">
        <f>-J18</f>
        <v>-43</v>
      </c>
      <c r="O14" s="58">
        <f>-J19</f>
        <v>0</v>
      </c>
      <c r="P14" s="58">
        <f>-J20</f>
        <v>-43</v>
      </c>
      <c r="Q14" s="58">
        <f>-J21</f>
        <v>-20</v>
      </c>
    </row>
    <row r="15" spans="1:38" ht="17">
      <c r="A15" s="56" t="s">
        <v>35</v>
      </c>
      <c r="B15" s="58">
        <f t="shared" si="4"/>
        <v>981.62587969351978</v>
      </c>
      <c r="C15" s="58">
        <f t="shared" si="5"/>
        <v>-37</v>
      </c>
      <c r="D15" s="58">
        <f t="shared" si="6"/>
        <v>22</v>
      </c>
      <c r="E15" s="58">
        <f t="shared" si="7"/>
        <v>996.62587969351978</v>
      </c>
      <c r="F15" s="53">
        <f>Data!F111-Data!K106</f>
        <v>13</v>
      </c>
      <c r="G15" s="53">
        <f>Data!G111-Data!K107</f>
        <v>-60</v>
      </c>
      <c r="H15" s="53">
        <f>Data!H111-Data!K108</f>
        <v>10</v>
      </c>
      <c r="I15" s="53">
        <f>Data!I111-Data!K109</f>
        <v>-2</v>
      </c>
      <c r="J15" s="53">
        <f>Data!J111-Data!K110</f>
        <v>-2</v>
      </c>
      <c r="K15" s="53" t="s">
        <v>96</v>
      </c>
      <c r="L15" s="58">
        <f>-K16</f>
        <v>-3</v>
      </c>
      <c r="M15" s="58">
        <f>-K17</f>
        <v>29</v>
      </c>
      <c r="N15" s="58">
        <f>-K18</f>
        <v>20</v>
      </c>
      <c r="O15" s="58">
        <f>-K19</f>
        <v>-4</v>
      </c>
      <c r="P15" s="58">
        <f>-K20</f>
        <v>-6</v>
      </c>
      <c r="Q15" s="58">
        <f>-K21</f>
        <v>986.62587969351978</v>
      </c>
    </row>
    <row r="16" spans="1:38" ht="17">
      <c r="A16" s="56" t="s">
        <v>36</v>
      </c>
      <c r="B16" s="58">
        <f t="shared" si="4"/>
        <v>616.82206128053576</v>
      </c>
      <c r="C16" s="58">
        <f t="shared" si="5"/>
        <v>7</v>
      </c>
      <c r="D16" s="58">
        <f t="shared" si="6"/>
        <v>13</v>
      </c>
      <c r="E16" s="58">
        <f t="shared" si="7"/>
        <v>596.82206128053576</v>
      </c>
      <c r="F16" s="53">
        <f>Data!F112-Data!L106</f>
        <v>9</v>
      </c>
      <c r="G16" s="53">
        <f>Data!G112-Data!L107</f>
        <v>-16</v>
      </c>
      <c r="H16" s="53">
        <f>Data!H112-Data!L108</f>
        <v>14</v>
      </c>
      <c r="I16" s="53">
        <f>Data!I112-Data!L109</f>
        <v>-7</v>
      </c>
      <c r="J16" s="53">
        <f>Data!J112-Data!L110</f>
        <v>-3</v>
      </c>
      <c r="K16" s="53">
        <f>Data!K112-Data!L111</f>
        <v>3</v>
      </c>
      <c r="L16" s="53" t="s">
        <v>96</v>
      </c>
      <c r="M16" s="58">
        <f>-L17</f>
        <v>20</v>
      </c>
      <c r="N16" s="58">
        <f>-L18</f>
        <v>19</v>
      </c>
      <c r="O16" s="58">
        <f>-L19</f>
        <v>-30</v>
      </c>
      <c r="P16" s="58">
        <f>-L20</f>
        <v>-8</v>
      </c>
      <c r="Q16" s="58">
        <f>-L21</f>
        <v>615.82206128053576</v>
      </c>
    </row>
    <row r="17" spans="1:17" ht="17">
      <c r="A17" s="56" t="s">
        <v>37</v>
      </c>
      <c r="B17" s="58">
        <f t="shared" si="4"/>
        <v>-233</v>
      </c>
      <c r="C17" s="58">
        <f t="shared" si="5"/>
        <v>-63</v>
      </c>
      <c r="D17" s="58">
        <f t="shared" si="6"/>
        <v>-107</v>
      </c>
      <c r="E17" s="58">
        <f t="shared" si="7"/>
        <v>-63</v>
      </c>
      <c r="F17" s="53">
        <f>Data!F113-Data!M106</f>
        <v>-12</v>
      </c>
      <c r="G17" s="53">
        <f>Data!G113-Data!M107</f>
        <v>-20</v>
      </c>
      <c r="H17" s="53">
        <f>Data!H113-Data!M108</f>
        <v>-31</v>
      </c>
      <c r="I17" s="53">
        <f>Data!I113-Data!M109</f>
        <v>-32</v>
      </c>
      <c r="J17" s="53">
        <f>Data!J113-Data!M110</f>
        <v>-26</v>
      </c>
      <c r="K17" s="53">
        <f>Data!K113-Data!M111</f>
        <v>-29</v>
      </c>
      <c r="L17" s="53">
        <f>Data!L113-Data!M112</f>
        <v>-20</v>
      </c>
      <c r="M17" s="53" t="s">
        <v>96</v>
      </c>
      <c r="N17" s="58">
        <f>-M18</f>
        <v>0</v>
      </c>
      <c r="O17" s="58">
        <f>-M19</f>
        <v>-20</v>
      </c>
      <c r="P17" s="58">
        <f>-M20</f>
        <v>-23</v>
      </c>
      <c r="Q17" s="58">
        <f>-M21</f>
        <v>-20</v>
      </c>
    </row>
    <row r="18" spans="1:17">
      <c r="A18" s="2" t="s">
        <v>27</v>
      </c>
      <c r="B18" s="58">
        <f t="shared" si="4"/>
        <v>-19</v>
      </c>
      <c r="C18" s="58">
        <f t="shared" si="5"/>
        <v>33</v>
      </c>
      <c r="D18" s="58">
        <f t="shared" si="6"/>
        <v>8</v>
      </c>
      <c r="E18" s="58">
        <f t="shared" si="7"/>
        <v>-60</v>
      </c>
      <c r="F18" s="53">
        <f>Data!F114-Data!N106</f>
        <v>45</v>
      </c>
      <c r="G18" s="53">
        <f>Data!G114-Data!N107</f>
        <v>-22</v>
      </c>
      <c r="H18" s="53">
        <f>Data!H114-Data!N108</f>
        <v>10</v>
      </c>
      <c r="I18" s="53">
        <f>Data!I114-Data!N109</f>
        <v>4</v>
      </c>
      <c r="J18" s="53">
        <f>Data!J114-Data!N110</f>
        <v>43</v>
      </c>
      <c r="K18" s="53">
        <f>Data!K114-Data!N111</f>
        <v>-20</v>
      </c>
      <c r="L18" s="53">
        <f>Data!L114-Data!N112</f>
        <v>-19</v>
      </c>
      <c r="M18" s="53">
        <f>Data!M114-Data!N113</f>
        <v>0</v>
      </c>
      <c r="N18" s="53" t="s">
        <v>96</v>
      </c>
      <c r="O18" s="58">
        <f>-N19</f>
        <v>-20</v>
      </c>
      <c r="P18" s="58">
        <f>-N20</f>
        <v>-20</v>
      </c>
      <c r="Q18" s="58">
        <f>-N21</f>
        <v>-20</v>
      </c>
    </row>
    <row r="19" spans="1:17">
      <c r="A19" s="2" t="s">
        <v>32</v>
      </c>
      <c r="B19" s="58">
        <f t="shared" si="4"/>
        <v>112</v>
      </c>
      <c r="C19" s="58">
        <f t="shared" si="5"/>
        <v>38</v>
      </c>
      <c r="D19" s="58">
        <f t="shared" si="6"/>
        <v>54</v>
      </c>
      <c r="E19" s="58">
        <f t="shared" si="7"/>
        <v>20</v>
      </c>
      <c r="F19" s="53">
        <f>Data!F115-Data!O106</f>
        <v>4</v>
      </c>
      <c r="G19" s="53">
        <f>Data!G115-Data!O107</f>
        <v>-48</v>
      </c>
      <c r="H19" s="53">
        <f>Data!H115-Data!O108</f>
        <v>82</v>
      </c>
      <c r="I19" s="53">
        <f>Data!I115-Data!O109</f>
        <v>0</v>
      </c>
      <c r="J19" s="53">
        <f>Data!J115-Data!O110</f>
        <v>0</v>
      </c>
      <c r="K19" s="53">
        <f>Data!K115-Data!O111</f>
        <v>4</v>
      </c>
      <c r="L19" s="53">
        <f>Data!L115-Data!O112</f>
        <v>30</v>
      </c>
      <c r="M19" s="53">
        <f>Data!M115-Data!O113</f>
        <v>20</v>
      </c>
      <c r="N19" s="53">
        <f>Data!N115-Data!O114</f>
        <v>20</v>
      </c>
      <c r="O19" s="53" t="s">
        <v>96</v>
      </c>
      <c r="P19" s="58">
        <f>-O20</f>
        <v>0</v>
      </c>
      <c r="Q19" s="58">
        <f>-O21</f>
        <v>0</v>
      </c>
    </row>
    <row r="20" spans="1:17">
      <c r="A20" s="2" t="s">
        <v>28</v>
      </c>
      <c r="B20" s="58">
        <f t="shared" si="4"/>
        <v>795.26419635802586</v>
      </c>
      <c r="C20" s="58">
        <f t="shared" si="5"/>
        <v>140</v>
      </c>
      <c r="D20" s="58">
        <f t="shared" si="6"/>
        <v>125</v>
      </c>
      <c r="E20" s="58">
        <f t="shared" si="7"/>
        <v>530.26419635802586</v>
      </c>
      <c r="F20" s="53">
        <f>Data!F116-Data!P106</f>
        <v>43</v>
      </c>
      <c r="G20" s="53">
        <f>Data!G116-Data!P107</f>
        <v>0</v>
      </c>
      <c r="H20" s="53">
        <f>Data!H116-Data!P108</f>
        <v>97</v>
      </c>
      <c r="I20" s="53">
        <f>Data!I116-Data!P109</f>
        <v>45</v>
      </c>
      <c r="J20" s="53">
        <f>Data!J116-Data!P110</f>
        <v>43</v>
      </c>
      <c r="K20" s="53">
        <f>Data!K116-Data!P111</f>
        <v>6</v>
      </c>
      <c r="L20" s="53">
        <f>Data!L116-Data!P112</f>
        <v>8</v>
      </c>
      <c r="M20" s="53">
        <f>Data!M116-Data!P113</f>
        <v>23</v>
      </c>
      <c r="N20" s="53">
        <f>Data!N116-Data!P114</f>
        <v>20</v>
      </c>
      <c r="O20" s="53">
        <f>Data!O116-Data!P115</f>
        <v>0</v>
      </c>
      <c r="P20" s="53" t="s">
        <v>96</v>
      </c>
      <c r="Q20" s="58">
        <f>-P21</f>
        <v>510.26419635802586</v>
      </c>
    </row>
    <row r="21" spans="1:17">
      <c r="A21" s="2" t="s">
        <v>31</v>
      </c>
      <c r="B21" s="58">
        <f t="shared" si="4"/>
        <v>-2533.451464914187</v>
      </c>
      <c r="C21" s="58">
        <f t="shared" si="5"/>
        <v>-500.7393275821056</v>
      </c>
      <c r="D21" s="58">
        <f t="shared" si="6"/>
        <v>-1542.4479409740557</v>
      </c>
      <c r="E21" s="58">
        <f t="shared" si="7"/>
        <v>-490.26419635802586</v>
      </c>
      <c r="F21" s="53">
        <f>Data!F117-Data!Q106</f>
        <v>-538.7393275821056</v>
      </c>
      <c r="G21" s="53">
        <f>Data!G117-Data!Q107</f>
        <v>16</v>
      </c>
      <c r="H21" s="53">
        <f>Data!H117-Data!Q108</f>
        <v>22</v>
      </c>
      <c r="I21" s="53">
        <f>Data!I117-Data!Q109</f>
        <v>20</v>
      </c>
      <c r="J21" s="53">
        <f>Data!J117-Data!Q110</f>
        <v>20</v>
      </c>
      <c r="K21" s="53">
        <f>Data!K117-Data!Q111</f>
        <v>-986.62587969351978</v>
      </c>
      <c r="L21" s="53">
        <f>Data!L117-Data!Q112</f>
        <v>-615.82206128053576</v>
      </c>
      <c r="M21" s="53">
        <f>Data!M117-Data!Q113</f>
        <v>20</v>
      </c>
      <c r="N21" s="53">
        <f>Data!N117-Data!Q114</f>
        <v>20</v>
      </c>
      <c r="O21" s="53">
        <f>Data!O117-Data!P115</f>
        <v>0</v>
      </c>
      <c r="P21" s="53">
        <f>Data!P117-Data!Q116</f>
        <v>-510.26419635802586</v>
      </c>
      <c r="Q21" s="53" t="s">
        <v>96</v>
      </c>
    </row>
    <row r="22" spans="1:17">
      <c r="H22" s="53"/>
      <c r="J22" s="53"/>
      <c r="L22" s="53"/>
      <c r="N22" s="53"/>
      <c r="P22" s="53"/>
    </row>
    <row r="23" spans="1:17">
      <c r="A23" s="30" t="s">
        <v>209</v>
      </c>
      <c r="H23" s="53"/>
      <c r="J23" s="53"/>
      <c r="L23" s="53"/>
      <c r="N23" s="53"/>
      <c r="P23" s="53"/>
    </row>
    <row r="24" spans="1:17" ht="51">
      <c r="A24" s="14" t="s">
        <v>229</v>
      </c>
      <c r="B24" s="57" t="s">
        <v>118</v>
      </c>
      <c r="C24" s="57" t="s">
        <v>119</v>
      </c>
      <c r="D24" s="57" t="s">
        <v>120</v>
      </c>
      <c r="E24" s="57" t="s">
        <v>121</v>
      </c>
      <c r="F24" s="57" t="s">
        <v>26</v>
      </c>
      <c r="G24" s="57" t="s">
        <v>29</v>
      </c>
      <c r="H24" s="57" t="s">
        <v>30</v>
      </c>
      <c r="I24" s="57" t="s">
        <v>33</v>
      </c>
      <c r="J24" s="57" t="s">
        <v>34</v>
      </c>
      <c r="K24" s="57" t="s">
        <v>35</v>
      </c>
      <c r="L24" s="57" t="s">
        <v>36</v>
      </c>
      <c r="M24" s="57" t="s">
        <v>37</v>
      </c>
      <c r="N24" s="57" t="s">
        <v>27</v>
      </c>
      <c r="O24" s="57" t="s">
        <v>32</v>
      </c>
      <c r="P24" s="57" t="s">
        <v>28</v>
      </c>
      <c r="Q24" s="57" t="s">
        <v>31</v>
      </c>
    </row>
    <row r="25" spans="1:17" ht="17">
      <c r="A25" s="56" t="s">
        <v>26</v>
      </c>
      <c r="B25" s="58" t="s">
        <v>96</v>
      </c>
      <c r="C25" s="58" t="s">
        <v>96</v>
      </c>
      <c r="D25" s="58" t="s">
        <v>96</v>
      </c>
      <c r="E25" s="58" t="s">
        <v>96</v>
      </c>
      <c r="F25" s="58" t="str">
        <f t="shared" ref="F25:Q36" si="8">IF(F10&gt;0,F10,"")</f>
        <v>...</v>
      </c>
      <c r="G25" s="58" t="str">
        <f t="shared" si="8"/>
        <v/>
      </c>
      <c r="H25" s="58">
        <f t="shared" si="8"/>
        <v>32</v>
      </c>
      <c r="I25" s="58" t="str">
        <f t="shared" si="8"/>
        <v/>
      </c>
      <c r="J25" s="58">
        <f t="shared" si="8"/>
        <v>10</v>
      </c>
      <c r="K25" s="58" t="str">
        <f t="shared" si="8"/>
        <v/>
      </c>
      <c r="L25" s="58" t="str">
        <f t="shared" si="8"/>
        <v/>
      </c>
      <c r="M25" s="58">
        <f t="shared" si="8"/>
        <v>12</v>
      </c>
      <c r="N25" s="58" t="str">
        <f t="shared" si="8"/>
        <v/>
      </c>
      <c r="O25" s="58" t="str">
        <f t="shared" si="8"/>
        <v/>
      </c>
      <c r="P25" s="58" t="str">
        <f t="shared" si="8"/>
        <v/>
      </c>
      <c r="Q25" s="58">
        <f t="shared" si="8"/>
        <v>538.7393275821056</v>
      </c>
    </row>
    <row r="26" spans="1:17" ht="17">
      <c r="A26" s="56" t="s">
        <v>29</v>
      </c>
      <c r="B26" s="58" t="s">
        <v>96</v>
      </c>
      <c r="C26" s="58" t="s">
        <v>96</v>
      </c>
      <c r="D26" s="58" t="s">
        <v>96</v>
      </c>
      <c r="E26" s="58" t="s">
        <v>96</v>
      </c>
      <c r="F26" s="58">
        <f t="shared" si="8"/>
        <v>45</v>
      </c>
      <c r="G26" s="58" t="str">
        <f t="shared" si="8"/>
        <v>...</v>
      </c>
      <c r="H26" s="58">
        <f t="shared" si="8"/>
        <v>30</v>
      </c>
      <c r="I26" s="58">
        <f t="shared" si="8"/>
        <v>70</v>
      </c>
      <c r="J26" s="58">
        <f t="shared" si="8"/>
        <v>55</v>
      </c>
      <c r="K26" s="58">
        <f t="shared" si="8"/>
        <v>60</v>
      </c>
      <c r="L26" s="58">
        <f t="shared" si="8"/>
        <v>16</v>
      </c>
      <c r="M26" s="58">
        <f t="shared" si="8"/>
        <v>20</v>
      </c>
      <c r="N26" s="58">
        <f t="shared" si="8"/>
        <v>22</v>
      </c>
      <c r="O26" s="58">
        <f t="shared" si="8"/>
        <v>48</v>
      </c>
      <c r="P26" s="58" t="str">
        <f t="shared" si="8"/>
        <v/>
      </c>
      <c r="Q26" s="58" t="str">
        <f t="shared" si="8"/>
        <v/>
      </c>
    </row>
    <row r="27" spans="1:17" ht="17">
      <c r="A27" s="56" t="s">
        <v>30</v>
      </c>
      <c r="B27" s="58" t="s">
        <v>96</v>
      </c>
      <c r="C27" s="58" t="s">
        <v>96</v>
      </c>
      <c r="D27" s="58" t="s">
        <v>96</v>
      </c>
      <c r="E27" s="58" t="s">
        <v>96</v>
      </c>
      <c r="F27" s="58" t="str">
        <f t="shared" si="8"/>
        <v/>
      </c>
      <c r="G27" s="58" t="str">
        <f t="shared" si="8"/>
        <v/>
      </c>
      <c r="H27" s="58" t="str">
        <f t="shared" si="8"/>
        <v>...</v>
      </c>
      <c r="I27" s="58" t="str">
        <f t="shared" si="8"/>
        <v/>
      </c>
      <c r="J27" s="58" t="str">
        <f t="shared" si="8"/>
        <v/>
      </c>
      <c r="K27" s="58" t="str">
        <f t="shared" si="8"/>
        <v/>
      </c>
      <c r="L27" s="58" t="str">
        <f t="shared" si="8"/>
        <v/>
      </c>
      <c r="M27" s="58">
        <f t="shared" si="8"/>
        <v>31</v>
      </c>
      <c r="N27" s="58" t="str">
        <f t="shared" si="8"/>
        <v/>
      </c>
      <c r="O27" s="58" t="str">
        <f t="shared" si="8"/>
        <v/>
      </c>
      <c r="P27" s="58" t="str">
        <f t="shared" si="8"/>
        <v/>
      </c>
      <c r="Q27" s="58" t="str">
        <f t="shared" si="8"/>
        <v/>
      </c>
    </row>
    <row r="28" spans="1:17" ht="17">
      <c r="A28" s="56" t="s">
        <v>33</v>
      </c>
      <c r="B28" s="58" t="s">
        <v>96</v>
      </c>
      <c r="C28" s="58" t="s">
        <v>96</v>
      </c>
      <c r="D28" s="58" t="s">
        <v>96</v>
      </c>
      <c r="E28" s="58" t="s">
        <v>96</v>
      </c>
      <c r="F28" s="58">
        <f t="shared" si="8"/>
        <v>4</v>
      </c>
      <c r="G28" s="58" t="str">
        <f t="shared" si="8"/>
        <v/>
      </c>
      <c r="H28" s="58">
        <f t="shared" si="8"/>
        <v>26</v>
      </c>
      <c r="I28" s="58" t="str">
        <f t="shared" si="8"/>
        <v>...</v>
      </c>
      <c r="J28" s="58" t="str">
        <f t="shared" si="8"/>
        <v/>
      </c>
      <c r="K28" s="58">
        <f t="shared" si="8"/>
        <v>2</v>
      </c>
      <c r="L28" s="58">
        <f t="shared" si="8"/>
        <v>7</v>
      </c>
      <c r="M28" s="58">
        <f t="shared" si="8"/>
        <v>32</v>
      </c>
      <c r="N28" s="58" t="str">
        <f t="shared" si="8"/>
        <v/>
      </c>
      <c r="O28" s="58" t="str">
        <f t="shared" si="8"/>
        <v/>
      </c>
      <c r="P28" s="58" t="str">
        <f t="shared" si="8"/>
        <v/>
      </c>
      <c r="Q28" s="58" t="str">
        <f t="shared" si="8"/>
        <v/>
      </c>
    </row>
    <row r="29" spans="1:17" ht="17">
      <c r="A29" s="56" t="s">
        <v>34</v>
      </c>
      <c r="B29" s="58" t="s">
        <v>96</v>
      </c>
      <c r="C29" s="58" t="s">
        <v>96</v>
      </c>
      <c r="D29" s="58" t="s">
        <v>96</v>
      </c>
      <c r="E29" s="58" t="s">
        <v>96</v>
      </c>
      <c r="F29" s="58" t="str">
        <f t="shared" si="8"/>
        <v/>
      </c>
      <c r="G29" s="58" t="str">
        <f t="shared" si="8"/>
        <v/>
      </c>
      <c r="H29" s="58">
        <f t="shared" si="8"/>
        <v>40</v>
      </c>
      <c r="I29" s="58">
        <f t="shared" si="8"/>
        <v>5</v>
      </c>
      <c r="J29" s="58" t="str">
        <f t="shared" si="8"/>
        <v>...</v>
      </c>
      <c r="K29" s="58">
        <f t="shared" si="8"/>
        <v>2</v>
      </c>
      <c r="L29" s="58">
        <f t="shared" si="8"/>
        <v>3</v>
      </c>
      <c r="M29" s="58">
        <f t="shared" si="8"/>
        <v>26</v>
      </c>
      <c r="N29" s="58" t="str">
        <f t="shared" si="8"/>
        <v/>
      </c>
      <c r="O29" s="58" t="str">
        <f t="shared" si="8"/>
        <v/>
      </c>
      <c r="P29" s="58" t="str">
        <f t="shared" si="8"/>
        <v/>
      </c>
      <c r="Q29" s="58" t="str">
        <f t="shared" si="8"/>
        <v/>
      </c>
    </row>
    <row r="30" spans="1:17" ht="17">
      <c r="A30" s="56" t="s">
        <v>35</v>
      </c>
      <c r="B30" s="58" t="s">
        <v>96</v>
      </c>
      <c r="C30" s="58" t="s">
        <v>96</v>
      </c>
      <c r="D30" s="58" t="s">
        <v>96</v>
      </c>
      <c r="E30" s="58" t="s">
        <v>96</v>
      </c>
      <c r="F30" s="58">
        <f t="shared" si="8"/>
        <v>13</v>
      </c>
      <c r="G30" s="58" t="str">
        <f t="shared" si="8"/>
        <v/>
      </c>
      <c r="H30" s="58">
        <f t="shared" si="8"/>
        <v>10</v>
      </c>
      <c r="I30" s="58" t="str">
        <f t="shared" si="8"/>
        <v/>
      </c>
      <c r="J30" s="58" t="str">
        <f t="shared" si="8"/>
        <v/>
      </c>
      <c r="K30" s="58" t="str">
        <f t="shared" si="8"/>
        <v>...</v>
      </c>
      <c r="L30" s="58" t="str">
        <f t="shared" si="8"/>
        <v/>
      </c>
      <c r="M30" s="58">
        <f t="shared" si="8"/>
        <v>29</v>
      </c>
      <c r="N30" s="58">
        <f t="shared" si="8"/>
        <v>20</v>
      </c>
      <c r="O30" s="58" t="str">
        <f t="shared" si="8"/>
        <v/>
      </c>
      <c r="P30" s="58" t="str">
        <f t="shared" si="8"/>
        <v/>
      </c>
      <c r="Q30" s="58">
        <f t="shared" si="8"/>
        <v>986.62587969351978</v>
      </c>
    </row>
    <row r="31" spans="1:17" ht="17">
      <c r="A31" s="56" t="s">
        <v>36</v>
      </c>
      <c r="B31" s="58" t="s">
        <v>96</v>
      </c>
      <c r="C31" s="58" t="s">
        <v>96</v>
      </c>
      <c r="D31" s="58" t="s">
        <v>96</v>
      </c>
      <c r="E31" s="58" t="s">
        <v>96</v>
      </c>
      <c r="F31" s="58">
        <f t="shared" si="8"/>
        <v>9</v>
      </c>
      <c r="G31" s="58" t="str">
        <f t="shared" si="8"/>
        <v/>
      </c>
      <c r="H31" s="58">
        <f t="shared" si="8"/>
        <v>14</v>
      </c>
      <c r="I31" s="58" t="str">
        <f t="shared" si="8"/>
        <v/>
      </c>
      <c r="J31" s="58" t="str">
        <f t="shared" si="8"/>
        <v/>
      </c>
      <c r="K31" s="58">
        <f t="shared" si="8"/>
        <v>3</v>
      </c>
      <c r="L31" s="58" t="str">
        <f t="shared" si="8"/>
        <v>...</v>
      </c>
      <c r="M31" s="58">
        <f t="shared" si="8"/>
        <v>20</v>
      </c>
      <c r="N31" s="58">
        <f t="shared" si="8"/>
        <v>19</v>
      </c>
      <c r="O31" s="58" t="str">
        <f t="shared" si="8"/>
        <v/>
      </c>
      <c r="P31" s="58" t="str">
        <f t="shared" si="8"/>
        <v/>
      </c>
      <c r="Q31" s="58">
        <f t="shared" si="8"/>
        <v>615.82206128053576</v>
      </c>
    </row>
    <row r="32" spans="1:17" ht="17">
      <c r="A32" s="56" t="s">
        <v>37</v>
      </c>
      <c r="B32" s="58" t="s">
        <v>96</v>
      </c>
      <c r="C32" s="58" t="s">
        <v>96</v>
      </c>
      <c r="D32" s="58" t="s">
        <v>96</v>
      </c>
      <c r="E32" s="58" t="s">
        <v>96</v>
      </c>
      <c r="F32" s="58" t="str">
        <f t="shared" si="8"/>
        <v/>
      </c>
      <c r="G32" s="58" t="str">
        <f t="shared" si="8"/>
        <v/>
      </c>
      <c r="H32" s="58" t="str">
        <f t="shared" si="8"/>
        <v/>
      </c>
      <c r="I32" s="58" t="str">
        <f t="shared" si="8"/>
        <v/>
      </c>
      <c r="J32" s="58" t="str">
        <f t="shared" si="8"/>
        <v/>
      </c>
      <c r="K32" s="58" t="str">
        <f t="shared" si="8"/>
        <v/>
      </c>
      <c r="L32" s="58" t="str">
        <f t="shared" si="8"/>
        <v/>
      </c>
      <c r="M32" s="58" t="str">
        <f t="shared" si="8"/>
        <v>...</v>
      </c>
      <c r="N32" s="58" t="str">
        <f t="shared" si="8"/>
        <v/>
      </c>
      <c r="O32" s="58" t="str">
        <f t="shared" si="8"/>
        <v/>
      </c>
      <c r="P32" s="58" t="str">
        <f t="shared" si="8"/>
        <v/>
      </c>
      <c r="Q32" s="58" t="str">
        <f t="shared" si="8"/>
        <v/>
      </c>
    </row>
    <row r="33" spans="1:19">
      <c r="A33" s="2" t="s">
        <v>27</v>
      </c>
      <c r="B33" s="58" t="s">
        <v>96</v>
      </c>
      <c r="C33" s="58" t="s">
        <v>96</v>
      </c>
      <c r="D33" s="58" t="s">
        <v>96</v>
      </c>
      <c r="E33" s="58" t="s">
        <v>96</v>
      </c>
      <c r="F33" s="58">
        <f t="shared" si="8"/>
        <v>45</v>
      </c>
      <c r="G33" s="58" t="str">
        <f t="shared" si="8"/>
        <v/>
      </c>
      <c r="H33" s="58">
        <f t="shared" si="8"/>
        <v>10</v>
      </c>
      <c r="I33" s="58">
        <f t="shared" si="8"/>
        <v>4</v>
      </c>
      <c r="J33" s="58">
        <f t="shared" si="8"/>
        <v>43</v>
      </c>
      <c r="K33" s="58" t="str">
        <f t="shared" si="8"/>
        <v/>
      </c>
      <c r="L33" s="58" t="str">
        <f t="shared" si="8"/>
        <v/>
      </c>
      <c r="M33" s="58" t="str">
        <f t="shared" si="8"/>
        <v/>
      </c>
      <c r="N33" s="58" t="str">
        <f t="shared" si="8"/>
        <v>...</v>
      </c>
      <c r="O33" s="58" t="str">
        <f t="shared" si="8"/>
        <v/>
      </c>
      <c r="P33" s="58" t="str">
        <f t="shared" si="8"/>
        <v/>
      </c>
      <c r="Q33" s="58" t="str">
        <f t="shared" si="8"/>
        <v/>
      </c>
    </row>
    <row r="34" spans="1:19">
      <c r="A34" s="2" t="s">
        <v>32</v>
      </c>
      <c r="B34" s="58" t="s">
        <v>96</v>
      </c>
      <c r="C34" s="58" t="s">
        <v>96</v>
      </c>
      <c r="D34" s="58" t="s">
        <v>96</v>
      </c>
      <c r="E34" s="58" t="s">
        <v>96</v>
      </c>
      <c r="F34" s="58">
        <f t="shared" si="8"/>
        <v>4</v>
      </c>
      <c r="G34" s="58" t="str">
        <f t="shared" si="8"/>
        <v/>
      </c>
      <c r="H34" s="58">
        <f t="shared" si="8"/>
        <v>82</v>
      </c>
      <c r="I34" s="58" t="str">
        <f t="shared" si="8"/>
        <v/>
      </c>
      <c r="J34" s="58" t="str">
        <f t="shared" si="8"/>
        <v/>
      </c>
      <c r="K34" s="58">
        <f t="shared" si="8"/>
        <v>4</v>
      </c>
      <c r="L34" s="58">
        <f t="shared" si="8"/>
        <v>30</v>
      </c>
      <c r="M34" s="58">
        <f t="shared" si="8"/>
        <v>20</v>
      </c>
      <c r="N34" s="58">
        <f t="shared" si="8"/>
        <v>20</v>
      </c>
      <c r="O34" s="58" t="str">
        <f t="shared" si="8"/>
        <v>...</v>
      </c>
      <c r="P34" s="58" t="str">
        <f t="shared" si="8"/>
        <v/>
      </c>
      <c r="Q34" s="58" t="str">
        <f t="shared" si="8"/>
        <v/>
      </c>
    </row>
    <row r="35" spans="1:19">
      <c r="A35" s="2" t="s">
        <v>28</v>
      </c>
      <c r="B35" s="58" t="s">
        <v>96</v>
      </c>
      <c r="C35" s="58" t="s">
        <v>96</v>
      </c>
      <c r="D35" s="58" t="s">
        <v>96</v>
      </c>
      <c r="E35" s="58" t="s">
        <v>96</v>
      </c>
      <c r="F35" s="58">
        <f t="shared" si="8"/>
        <v>43</v>
      </c>
      <c r="G35" s="58" t="str">
        <f t="shared" si="8"/>
        <v/>
      </c>
      <c r="H35" s="58">
        <f t="shared" si="8"/>
        <v>97</v>
      </c>
      <c r="I35" s="58">
        <f t="shared" si="8"/>
        <v>45</v>
      </c>
      <c r="J35" s="58">
        <f t="shared" si="8"/>
        <v>43</v>
      </c>
      <c r="K35" s="58">
        <f t="shared" si="8"/>
        <v>6</v>
      </c>
      <c r="L35" s="58">
        <f t="shared" si="8"/>
        <v>8</v>
      </c>
      <c r="M35" s="58">
        <f t="shared" si="8"/>
        <v>23</v>
      </c>
      <c r="N35" s="58">
        <f t="shared" si="8"/>
        <v>20</v>
      </c>
      <c r="O35" s="58" t="str">
        <f t="shared" si="8"/>
        <v/>
      </c>
      <c r="P35" s="58" t="str">
        <f t="shared" si="8"/>
        <v>...</v>
      </c>
      <c r="Q35" s="58">
        <f t="shared" si="8"/>
        <v>510.26419635802586</v>
      </c>
    </row>
    <row r="36" spans="1:19">
      <c r="A36" s="2" t="s">
        <v>31</v>
      </c>
      <c r="B36" s="58" t="s">
        <v>96</v>
      </c>
      <c r="C36" s="58" t="s">
        <v>96</v>
      </c>
      <c r="D36" s="58" t="s">
        <v>96</v>
      </c>
      <c r="E36" s="58" t="s">
        <v>96</v>
      </c>
      <c r="F36" s="58" t="str">
        <f t="shared" si="8"/>
        <v/>
      </c>
      <c r="G36" s="58">
        <f t="shared" si="8"/>
        <v>16</v>
      </c>
      <c r="H36" s="58">
        <f t="shared" si="8"/>
        <v>22</v>
      </c>
      <c r="I36" s="58">
        <f t="shared" si="8"/>
        <v>20</v>
      </c>
      <c r="J36" s="58">
        <f t="shared" si="8"/>
        <v>20</v>
      </c>
      <c r="K36" s="58" t="str">
        <f t="shared" si="8"/>
        <v/>
      </c>
      <c r="L36" s="58" t="str">
        <f t="shared" si="8"/>
        <v/>
      </c>
      <c r="M36" s="58">
        <f t="shared" si="8"/>
        <v>20</v>
      </c>
      <c r="N36" s="58">
        <f t="shared" si="8"/>
        <v>20</v>
      </c>
      <c r="O36" s="58" t="str">
        <f t="shared" si="8"/>
        <v/>
      </c>
      <c r="P36" s="58" t="str">
        <f t="shared" si="8"/>
        <v/>
      </c>
      <c r="Q36" s="58" t="str">
        <f t="shared" si="8"/>
        <v>...</v>
      </c>
    </row>
    <row r="38" spans="1:19">
      <c r="A38" s="3" t="s">
        <v>201</v>
      </c>
      <c r="B38" s="19">
        <f>Data!B33</f>
        <v>5386.2080602629703</v>
      </c>
      <c r="C38" s="19">
        <f>Data!C33</f>
        <v>507.53374545121051</v>
      </c>
      <c r="D38" s="19">
        <f>Data!D33</f>
        <v>1217.0041642389833</v>
      </c>
      <c r="E38" s="19">
        <f>Data!E33</f>
        <v>3661.6701505727765</v>
      </c>
      <c r="F38" s="19">
        <f>Data!F33</f>
        <v>81.391216683900893</v>
      </c>
      <c r="G38" s="19">
        <f>Data!G33</f>
        <v>65.554295366735005</v>
      </c>
      <c r="H38" s="19">
        <f>Data!H33</f>
        <v>360.58823340057461</v>
      </c>
      <c r="I38" s="19">
        <f>Data!I33</f>
        <v>37.278013959775762</v>
      </c>
      <c r="J38" s="19">
        <f>Data!J33</f>
        <v>2.4504350649233402</v>
      </c>
      <c r="K38" s="19">
        <f>Data!K33</f>
        <v>526.80622271803077</v>
      </c>
      <c r="L38" s="19">
        <f>Data!L33</f>
        <v>56.145302614260117</v>
      </c>
      <c r="M38" s="19">
        <f>Data!M33</f>
        <v>594.32418988199333</v>
      </c>
      <c r="N38" s="19">
        <f>Data!N33</f>
        <v>1663.0387901601134</v>
      </c>
      <c r="O38" s="19">
        <f>Data!O33</f>
        <v>1714.6382806229649</v>
      </c>
      <c r="P38" s="19">
        <f>Data!P33</f>
        <v>283.23607978969812</v>
      </c>
      <c r="Q38" s="19">
        <f>Data!Q33</f>
        <v>0.75700000000000001</v>
      </c>
    </row>
    <row r="39" spans="1:19">
      <c r="A39" s="3" t="s">
        <v>202</v>
      </c>
      <c r="B39" s="19">
        <f>Data!B34</f>
        <v>45789.922258791914</v>
      </c>
      <c r="C39" s="19">
        <f>Data!C34</f>
        <v>10245.630392439874</v>
      </c>
      <c r="D39" s="19">
        <f>Data!D34</f>
        <v>6677.9425870271898</v>
      </c>
      <c r="E39" s="19">
        <f>Data!E34</f>
        <v>28866.349279324852</v>
      </c>
      <c r="F39" s="19">
        <f>Data!F34</f>
        <v>1030.268565618999</v>
      </c>
      <c r="G39" s="19">
        <f>Data!G34</f>
        <v>809.3122884782091</v>
      </c>
      <c r="H39" s="19">
        <f>Data!H34</f>
        <v>8406.049538342666</v>
      </c>
      <c r="I39" s="19">
        <f>Data!I34</f>
        <v>156.12894415322725</v>
      </c>
      <c r="J39" s="19">
        <f>Data!J34</f>
        <v>567.75967977706023</v>
      </c>
      <c r="K39" s="19">
        <f>Data!K34</f>
        <v>3148.4205138715688</v>
      </c>
      <c r="L39" s="19">
        <f>Data!L34</f>
        <v>676.44942908747134</v>
      </c>
      <c r="M39" s="19">
        <f>Data!M34</f>
        <v>2129.1840201378623</v>
      </c>
      <c r="N39" s="19">
        <f>Data!N34</f>
        <v>7755.1184366993966</v>
      </c>
      <c r="O39" s="19">
        <f>Data!O34</f>
        <v>9008.2549172611853</v>
      </c>
      <c r="P39" s="19">
        <f>Data!P34</f>
        <v>2327.621240680282</v>
      </c>
      <c r="Q39" s="19">
        <f>Data!Q34</f>
        <v>9775.3546846839909</v>
      </c>
    </row>
    <row r="40" spans="1:19">
      <c r="A40" s="3" t="s">
        <v>203</v>
      </c>
      <c r="B40" s="59">
        <f>100*B38/B39</f>
        <v>11.762867885692444</v>
      </c>
      <c r="C40" s="59">
        <f t="shared" ref="C40:Q40" si="9">100*C38/C39</f>
        <v>4.9536604973151626</v>
      </c>
      <c r="D40" s="59">
        <f t="shared" si="9"/>
        <v>18.224238204790488</v>
      </c>
      <c r="E40" s="59">
        <f t="shared" si="9"/>
        <v>12.684909044578768</v>
      </c>
      <c r="F40" s="59">
        <f t="shared" si="9"/>
        <v>7.8999999999999977</v>
      </c>
      <c r="G40" s="59">
        <f t="shared" si="9"/>
        <v>8.1000000000000085</v>
      </c>
      <c r="H40" s="59">
        <f t="shared" si="9"/>
        <v>4.289627746729507</v>
      </c>
      <c r="I40" s="59">
        <f t="shared" si="9"/>
        <v>23.876427373511582</v>
      </c>
      <c r="J40" s="59">
        <f t="shared" si="9"/>
        <v>0.43159723245679266</v>
      </c>
      <c r="K40" s="59">
        <f t="shared" si="9"/>
        <v>16.732397098703455</v>
      </c>
      <c r="L40" s="59">
        <f t="shared" si="9"/>
        <v>8.2999999999999989</v>
      </c>
      <c r="M40" s="59">
        <f t="shared" si="9"/>
        <v>27.913237383939766</v>
      </c>
      <c r="N40" s="59">
        <f t="shared" si="9"/>
        <v>21.444402219444481</v>
      </c>
      <c r="O40" s="59">
        <f t="shared" si="9"/>
        <v>19.034078146894551</v>
      </c>
      <c r="P40" s="59">
        <f t="shared" si="9"/>
        <v>12.168478051305209</v>
      </c>
      <c r="Q40" s="59">
        <f t="shared" si="9"/>
        <v>7.7439645354870487E-3</v>
      </c>
    </row>
    <row r="41" spans="1:19">
      <c r="A41" s="3" t="s">
        <v>181</v>
      </c>
      <c r="B41" s="81">
        <f>Assumptions!B77</f>
        <v>20</v>
      </c>
      <c r="C41" s="19"/>
      <c r="D41" s="19"/>
      <c r="E41" s="19"/>
      <c r="F41" s="19"/>
      <c r="G41" s="19"/>
      <c r="H41" s="19"/>
      <c r="I41" s="19"/>
      <c r="J41" s="19"/>
      <c r="K41" s="19"/>
      <c r="L41" s="19"/>
      <c r="M41" s="19"/>
      <c r="N41" s="19"/>
      <c r="O41" s="19"/>
      <c r="P41" s="19"/>
      <c r="Q41" s="19"/>
    </row>
    <row r="42" spans="1:19">
      <c r="B42" s="21"/>
      <c r="C42" s="19"/>
      <c r="D42" s="19"/>
      <c r="E42" s="19"/>
      <c r="F42" s="19"/>
      <c r="G42" s="19"/>
      <c r="H42" s="19"/>
      <c r="I42" s="19"/>
      <c r="J42" s="19"/>
      <c r="K42" s="19"/>
      <c r="L42" s="19"/>
      <c r="M42" s="19"/>
      <c r="N42" s="19"/>
      <c r="O42" s="19"/>
      <c r="P42" s="19"/>
      <c r="Q42" s="19"/>
    </row>
    <row r="43" spans="1:19">
      <c r="A43" s="30" t="s">
        <v>430</v>
      </c>
      <c r="B43" s="19"/>
      <c r="C43" s="19"/>
      <c r="D43" s="19"/>
      <c r="E43" s="19"/>
      <c r="F43" s="19"/>
      <c r="G43" s="19"/>
      <c r="H43" s="19"/>
      <c r="I43" s="19"/>
      <c r="J43" s="77"/>
      <c r="K43" s="19"/>
      <c r="L43" s="19"/>
      <c r="M43" s="19"/>
      <c r="N43" s="19"/>
      <c r="O43" s="19"/>
      <c r="P43" s="19"/>
      <c r="Q43" s="19"/>
    </row>
    <row r="44" spans="1:19">
      <c r="A44" s="30" t="s">
        <v>230</v>
      </c>
    </row>
    <row r="45" spans="1:19">
      <c r="A45" s="2" t="s">
        <v>204</v>
      </c>
    </row>
    <row r="46" spans="1:19">
      <c r="A46" s="72" t="s">
        <v>205</v>
      </c>
      <c r="S46" s="2"/>
    </row>
    <row r="47" spans="1:19" ht="17">
      <c r="A47" s="73" t="s">
        <v>26</v>
      </c>
      <c r="B47" s="58" t="s">
        <v>96</v>
      </c>
      <c r="C47" s="58" t="s">
        <v>96</v>
      </c>
      <c r="D47" s="58" t="s">
        <v>96</v>
      </c>
      <c r="E47" s="58" t="s">
        <v>96</v>
      </c>
      <c r="F47" s="75" t="str">
        <f>IF(F25="...","...",IF(F25="",F$38,F$38-F25))</f>
        <v>...</v>
      </c>
      <c r="G47" s="75">
        <f t="shared" ref="G47:Q47" si="10">IF(G25="...","...",IF(G25="",G$38,G$38-G25))</f>
        <v>65.554295366735005</v>
      </c>
      <c r="H47" s="75">
        <f t="shared" si="10"/>
        <v>328.58823340057461</v>
      </c>
      <c r="I47" s="75">
        <f t="shared" si="10"/>
        <v>37.278013959775762</v>
      </c>
      <c r="J47" s="75">
        <f t="shared" si="10"/>
        <v>-7.5495649350766598</v>
      </c>
      <c r="K47" s="75">
        <f t="shared" si="10"/>
        <v>526.80622271803077</v>
      </c>
      <c r="L47" s="75">
        <f t="shared" si="10"/>
        <v>56.145302614260117</v>
      </c>
      <c r="M47" s="75">
        <f t="shared" si="10"/>
        <v>582.32418988199333</v>
      </c>
      <c r="N47" s="75">
        <f t="shared" si="10"/>
        <v>1663.0387901601134</v>
      </c>
      <c r="O47" s="75">
        <f t="shared" si="10"/>
        <v>1714.6382806229649</v>
      </c>
      <c r="P47" s="75">
        <f t="shared" si="10"/>
        <v>283.23607978969812</v>
      </c>
      <c r="Q47" s="75">
        <f t="shared" si="10"/>
        <v>-537.98232758210565</v>
      </c>
      <c r="S47" s="21"/>
    </row>
    <row r="48" spans="1:19" ht="17">
      <c r="A48" s="73" t="s">
        <v>29</v>
      </c>
      <c r="B48" s="58" t="s">
        <v>96</v>
      </c>
      <c r="C48" s="58" t="s">
        <v>96</v>
      </c>
      <c r="D48" s="58" t="s">
        <v>96</v>
      </c>
      <c r="E48" s="58" t="s">
        <v>96</v>
      </c>
      <c r="F48" s="75">
        <f t="shared" ref="F48:Q58" si="11">IF(F26="...","...",IF(F26="",F$38,F$38-F26))</f>
        <v>36.391216683900893</v>
      </c>
      <c r="G48" s="75" t="str">
        <f t="shared" si="11"/>
        <v>...</v>
      </c>
      <c r="H48" s="75">
        <f t="shared" si="11"/>
        <v>330.58823340057461</v>
      </c>
      <c r="I48" s="75">
        <f t="shared" si="11"/>
        <v>-32.721986040224238</v>
      </c>
      <c r="J48" s="75">
        <f t="shared" si="11"/>
        <v>-52.54956493507666</v>
      </c>
      <c r="K48" s="75">
        <f t="shared" si="11"/>
        <v>466.80622271803077</v>
      </c>
      <c r="L48" s="75">
        <f t="shared" si="11"/>
        <v>40.145302614260117</v>
      </c>
      <c r="M48" s="75">
        <f t="shared" si="11"/>
        <v>574.32418988199333</v>
      </c>
      <c r="N48" s="75">
        <f t="shared" si="11"/>
        <v>1641.0387901601134</v>
      </c>
      <c r="O48" s="75">
        <f t="shared" si="11"/>
        <v>1666.6382806229649</v>
      </c>
      <c r="P48" s="75">
        <f t="shared" si="11"/>
        <v>283.23607978969812</v>
      </c>
      <c r="Q48" s="75">
        <f t="shared" si="11"/>
        <v>0.75700000000000001</v>
      </c>
      <c r="S48" s="21"/>
    </row>
    <row r="49" spans="1:19" ht="17">
      <c r="A49" s="73" t="s">
        <v>30</v>
      </c>
      <c r="B49" s="58" t="s">
        <v>96</v>
      </c>
      <c r="C49" s="58" t="s">
        <v>96</v>
      </c>
      <c r="D49" s="58" t="s">
        <v>96</v>
      </c>
      <c r="E49" s="58" t="s">
        <v>96</v>
      </c>
      <c r="F49" s="75">
        <f t="shared" si="11"/>
        <v>81.391216683900893</v>
      </c>
      <c r="G49" s="75">
        <f t="shared" si="11"/>
        <v>65.554295366735005</v>
      </c>
      <c r="H49" s="75" t="str">
        <f t="shared" si="11"/>
        <v>...</v>
      </c>
      <c r="I49" s="75">
        <f t="shared" si="11"/>
        <v>37.278013959775762</v>
      </c>
      <c r="J49" s="75">
        <f t="shared" si="11"/>
        <v>2.4504350649233402</v>
      </c>
      <c r="K49" s="75">
        <f t="shared" si="11"/>
        <v>526.80622271803077</v>
      </c>
      <c r="L49" s="75">
        <f t="shared" si="11"/>
        <v>56.145302614260117</v>
      </c>
      <c r="M49" s="75">
        <f t="shared" si="11"/>
        <v>563.32418988199333</v>
      </c>
      <c r="N49" s="75">
        <f t="shared" si="11"/>
        <v>1663.0387901601134</v>
      </c>
      <c r="O49" s="75">
        <f t="shared" si="11"/>
        <v>1714.6382806229649</v>
      </c>
      <c r="P49" s="75">
        <f t="shared" si="11"/>
        <v>283.23607978969812</v>
      </c>
      <c r="Q49" s="75">
        <f t="shared" si="11"/>
        <v>0.75700000000000001</v>
      </c>
      <c r="S49" s="21"/>
    </row>
    <row r="50" spans="1:19" ht="17">
      <c r="A50" s="73" t="s">
        <v>33</v>
      </c>
      <c r="B50" s="58" t="s">
        <v>96</v>
      </c>
      <c r="C50" s="58" t="s">
        <v>96</v>
      </c>
      <c r="D50" s="58" t="s">
        <v>96</v>
      </c>
      <c r="E50" s="58" t="s">
        <v>96</v>
      </c>
      <c r="F50" s="75">
        <f t="shared" si="11"/>
        <v>77.391216683900893</v>
      </c>
      <c r="G50" s="75">
        <f t="shared" si="11"/>
        <v>65.554295366735005</v>
      </c>
      <c r="H50" s="75">
        <f t="shared" si="11"/>
        <v>334.58823340057461</v>
      </c>
      <c r="I50" s="75" t="str">
        <f t="shared" si="11"/>
        <v>...</v>
      </c>
      <c r="J50" s="75">
        <f t="shared" si="11"/>
        <v>2.4504350649233402</v>
      </c>
      <c r="K50" s="75">
        <f t="shared" si="11"/>
        <v>524.80622271803077</v>
      </c>
      <c r="L50" s="75">
        <f t="shared" si="11"/>
        <v>49.145302614260117</v>
      </c>
      <c r="M50" s="75">
        <f t="shared" si="11"/>
        <v>562.32418988199333</v>
      </c>
      <c r="N50" s="75">
        <f t="shared" si="11"/>
        <v>1663.0387901601134</v>
      </c>
      <c r="O50" s="75">
        <f t="shared" si="11"/>
        <v>1714.6382806229649</v>
      </c>
      <c r="P50" s="75">
        <f t="shared" si="11"/>
        <v>283.23607978969812</v>
      </c>
      <c r="Q50" s="75">
        <f t="shared" si="11"/>
        <v>0.75700000000000001</v>
      </c>
      <c r="S50" s="21"/>
    </row>
    <row r="51" spans="1:19" ht="17">
      <c r="A51" s="73" t="s">
        <v>34</v>
      </c>
      <c r="B51" s="58" t="s">
        <v>96</v>
      </c>
      <c r="C51" s="58" t="s">
        <v>96</v>
      </c>
      <c r="D51" s="58" t="s">
        <v>96</v>
      </c>
      <c r="E51" s="58" t="s">
        <v>96</v>
      </c>
      <c r="F51" s="75">
        <f t="shared" si="11"/>
        <v>81.391216683900893</v>
      </c>
      <c r="G51" s="75">
        <f t="shared" si="11"/>
        <v>65.554295366735005</v>
      </c>
      <c r="H51" s="75">
        <f t="shared" si="11"/>
        <v>320.58823340057461</v>
      </c>
      <c r="I51" s="75">
        <f t="shared" si="11"/>
        <v>32.278013959775762</v>
      </c>
      <c r="J51" s="75" t="str">
        <f t="shared" si="11"/>
        <v>...</v>
      </c>
      <c r="K51" s="75">
        <f t="shared" si="11"/>
        <v>524.80622271803077</v>
      </c>
      <c r="L51" s="75">
        <f t="shared" si="11"/>
        <v>53.145302614260117</v>
      </c>
      <c r="M51" s="75">
        <f t="shared" si="11"/>
        <v>568.32418988199333</v>
      </c>
      <c r="N51" s="75">
        <f t="shared" si="11"/>
        <v>1663.0387901601134</v>
      </c>
      <c r="O51" s="75">
        <f t="shared" si="11"/>
        <v>1714.6382806229649</v>
      </c>
      <c r="P51" s="75">
        <f t="shared" si="11"/>
        <v>283.23607978969812</v>
      </c>
      <c r="Q51" s="75">
        <f t="shared" si="11"/>
        <v>0.75700000000000001</v>
      </c>
      <c r="S51" s="21"/>
    </row>
    <row r="52" spans="1:19" ht="17">
      <c r="A52" s="73" t="s">
        <v>35</v>
      </c>
      <c r="B52" s="58" t="s">
        <v>96</v>
      </c>
      <c r="C52" s="58" t="s">
        <v>96</v>
      </c>
      <c r="D52" s="58" t="s">
        <v>96</v>
      </c>
      <c r="E52" s="58" t="s">
        <v>96</v>
      </c>
      <c r="F52" s="75">
        <f t="shared" si="11"/>
        <v>68.391216683900893</v>
      </c>
      <c r="G52" s="75">
        <f t="shared" si="11"/>
        <v>65.554295366735005</v>
      </c>
      <c r="H52" s="75">
        <f t="shared" si="11"/>
        <v>350.58823340057461</v>
      </c>
      <c r="I52" s="75">
        <f t="shared" si="11"/>
        <v>37.278013959775762</v>
      </c>
      <c r="J52" s="75">
        <f t="shared" si="11"/>
        <v>2.4504350649233402</v>
      </c>
      <c r="K52" s="75" t="str">
        <f t="shared" si="11"/>
        <v>...</v>
      </c>
      <c r="L52" s="75">
        <f t="shared" si="11"/>
        <v>56.145302614260117</v>
      </c>
      <c r="M52" s="75">
        <f t="shared" si="11"/>
        <v>565.32418988199333</v>
      </c>
      <c r="N52" s="75">
        <f t="shared" si="11"/>
        <v>1643.0387901601134</v>
      </c>
      <c r="O52" s="75">
        <f t="shared" si="11"/>
        <v>1714.6382806229649</v>
      </c>
      <c r="P52" s="75">
        <f t="shared" si="11"/>
        <v>283.23607978969812</v>
      </c>
      <c r="Q52" s="75">
        <f t="shared" si="11"/>
        <v>-985.86887969351983</v>
      </c>
      <c r="S52" s="21"/>
    </row>
    <row r="53" spans="1:19" ht="17">
      <c r="A53" s="73" t="s">
        <v>36</v>
      </c>
      <c r="B53" s="58" t="s">
        <v>96</v>
      </c>
      <c r="C53" s="58" t="s">
        <v>96</v>
      </c>
      <c r="D53" s="58" t="s">
        <v>96</v>
      </c>
      <c r="E53" s="58" t="s">
        <v>96</v>
      </c>
      <c r="F53" s="75">
        <f t="shared" si="11"/>
        <v>72.391216683900893</v>
      </c>
      <c r="G53" s="75">
        <f t="shared" si="11"/>
        <v>65.554295366735005</v>
      </c>
      <c r="H53" s="75">
        <f t="shared" si="11"/>
        <v>346.58823340057461</v>
      </c>
      <c r="I53" s="75">
        <f t="shared" si="11"/>
        <v>37.278013959775762</v>
      </c>
      <c r="J53" s="75">
        <f t="shared" si="11"/>
        <v>2.4504350649233402</v>
      </c>
      <c r="K53" s="75">
        <f t="shared" si="11"/>
        <v>523.80622271803077</v>
      </c>
      <c r="L53" s="75" t="str">
        <f t="shared" si="11"/>
        <v>...</v>
      </c>
      <c r="M53" s="75">
        <f t="shared" si="11"/>
        <v>574.32418988199333</v>
      </c>
      <c r="N53" s="75">
        <f t="shared" si="11"/>
        <v>1644.0387901601134</v>
      </c>
      <c r="O53" s="75">
        <f t="shared" si="11"/>
        <v>1714.6382806229649</v>
      </c>
      <c r="P53" s="75">
        <f t="shared" si="11"/>
        <v>283.23607978969812</v>
      </c>
      <c r="Q53" s="75">
        <f t="shared" si="11"/>
        <v>-615.06506128053582</v>
      </c>
      <c r="S53" s="21"/>
    </row>
    <row r="54" spans="1:19" ht="17">
      <c r="A54" s="73" t="s">
        <v>37</v>
      </c>
      <c r="B54" s="58" t="s">
        <v>96</v>
      </c>
      <c r="C54" s="58" t="s">
        <v>96</v>
      </c>
      <c r="D54" s="58" t="s">
        <v>96</v>
      </c>
      <c r="E54" s="58" t="s">
        <v>96</v>
      </c>
      <c r="F54" s="75">
        <f t="shared" si="11"/>
        <v>81.391216683900893</v>
      </c>
      <c r="G54" s="75">
        <f t="shared" si="11"/>
        <v>65.554295366735005</v>
      </c>
      <c r="H54" s="75">
        <f t="shared" si="11"/>
        <v>360.58823340057461</v>
      </c>
      <c r="I54" s="75">
        <f t="shared" si="11"/>
        <v>37.278013959775762</v>
      </c>
      <c r="J54" s="75">
        <f t="shared" si="11"/>
        <v>2.4504350649233402</v>
      </c>
      <c r="K54" s="75">
        <f t="shared" si="11"/>
        <v>526.80622271803077</v>
      </c>
      <c r="L54" s="75">
        <f t="shared" si="11"/>
        <v>56.145302614260117</v>
      </c>
      <c r="M54" s="75" t="str">
        <f t="shared" si="11"/>
        <v>...</v>
      </c>
      <c r="N54" s="75">
        <f t="shared" si="11"/>
        <v>1663.0387901601134</v>
      </c>
      <c r="O54" s="75">
        <f t="shared" si="11"/>
        <v>1714.6382806229649</v>
      </c>
      <c r="P54" s="75">
        <f t="shared" si="11"/>
        <v>283.23607978969812</v>
      </c>
      <c r="Q54" s="75">
        <f t="shared" si="11"/>
        <v>0.75700000000000001</v>
      </c>
      <c r="S54" s="21"/>
    </row>
    <row r="55" spans="1:19">
      <c r="A55" s="74" t="s">
        <v>27</v>
      </c>
      <c r="B55" s="58" t="s">
        <v>96</v>
      </c>
      <c r="C55" s="58" t="s">
        <v>96</v>
      </c>
      <c r="D55" s="58" t="s">
        <v>96</v>
      </c>
      <c r="E55" s="58" t="s">
        <v>96</v>
      </c>
      <c r="F55" s="75">
        <f t="shared" si="11"/>
        <v>36.391216683900893</v>
      </c>
      <c r="G55" s="75">
        <f t="shared" si="11"/>
        <v>65.554295366735005</v>
      </c>
      <c r="H55" s="75">
        <f t="shared" si="11"/>
        <v>350.58823340057461</v>
      </c>
      <c r="I55" s="75">
        <f t="shared" si="11"/>
        <v>33.278013959775762</v>
      </c>
      <c r="J55" s="75">
        <f t="shared" si="11"/>
        <v>-40.54956493507666</v>
      </c>
      <c r="K55" s="75">
        <f t="shared" si="11"/>
        <v>526.80622271803077</v>
      </c>
      <c r="L55" s="75">
        <f t="shared" si="11"/>
        <v>56.145302614260117</v>
      </c>
      <c r="M55" s="75">
        <f t="shared" si="11"/>
        <v>594.32418988199333</v>
      </c>
      <c r="N55" s="75" t="str">
        <f t="shared" si="11"/>
        <v>...</v>
      </c>
      <c r="O55" s="75">
        <f t="shared" si="11"/>
        <v>1714.6382806229649</v>
      </c>
      <c r="P55" s="75">
        <f t="shared" si="11"/>
        <v>283.23607978969812</v>
      </c>
      <c r="Q55" s="75">
        <f t="shared" si="11"/>
        <v>0.75700000000000001</v>
      </c>
      <c r="S55" s="21"/>
    </row>
    <row r="56" spans="1:19">
      <c r="A56" s="74" t="s">
        <v>32</v>
      </c>
      <c r="B56" s="58" t="s">
        <v>96</v>
      </c>
      <c r="C56" s="58" t="s">
        <v>96</v>
      </c>
      <c r="D56" s="58" t="s">
        <v>96</v>
      </c>
      <c r="E56" s="58" t="s">
        <v>96</v>
      </c>
      <c r="F56" s="75">
        <f t="shared" si="11"/>
        <v>77.391216683900893</v>
      </c>
      <c r="G56" s="75">
        <f t="shared" si="11"/>
        <v>65.554295366735005</v>
      </c>
      <c r="H56" s="75">
        <f t="shared" si="11"/>
        <v>278.58823340057461</v>
      </c>
      <c r="I56" s="75">
        <f t="shared" si="11"/>
        <v>37.278013959775762</v>
      </c>
      <c r="J56" s="75">
        <f t="shared" si="11"/>
        <v>2.4504350649233402</v>
      </c>
      <c r="K56" s="75">
        <f t="shared" si="11"/>
        <v>522.80622271803077</v>
      </c>
      <c r="L56" s="75">
        <f t="shared" si="11"/>
        <v>26.145302614260117</v>
      </c>
      <c r="M56" s="75">
        <f t="shared" si="11"/>
        <v>574.32418988199333</v>
      </c>
      <c r="N56" s="75">
        <f t="shared" si="11"/>
        <v>1643.0387901601134</v>
      </c>
      <c r="O56" s="75" t="str">
        <f t="shared" si="11"/>
        <v>...</v>
      </c>
      <c r="P56" s="75">
        <f t="shared" si="11"/>
        <v>283.23607978969812</v>
      </c>
      <c r="Q56" s="75">
        <f t="shared" si="11"/>
        <v>0.75700000000000001</v>
      </c>
      <c r="S56" s="21"/>
    </row>
    <row r="57" spans="1:19">
      <c r="A57" s="74" t="s">
        <v>28</v>
      </c>
      <c r="B57" s="58" t="s">
        <v>96</v>
      </c>
      <c r="C57" s="58" t="s">
        <v>96</v>
      </c>
      <c r="D57" s="58" t="s">
        <v>96</v>
      </c>
      <c r="E57" s="58" t="s">
        <v>96</v>
      </c>
      <c r="F57" s="75">
        <f t="shared" si="11"/>
        <v>38.391216683900893</v>
      </c>
      <c r="G57" s="75">
        <f t="shared" si="11"/>
        <v>65.554295366735005</v>
      </c>
      <c r="H57" s="75">
        <f t="shared" si="11"/>
        <v>263.58823340057461</v>
      </c>
      <c r="I57" s="75">
        <f t="shared" si="11"/>
        <v>-7.7219860402242375</v>
      </c>
      <c r="J57" s="75">
        <f t="shared" si="11"/>
        <v>-40.54956493507666</v>
      </c>
      <c r="K57" s="75">
        <f t="shared" si="11"/>
        <v>520.80622271803077</v>
      </c>
      <c r="L57" s="75">
        <f t="shared" si="11"/>
        <v>48.145302614260117</v>
      </c>
      <c r="M57" s="75">
        <f t="shared" si="11"/>
        <v>571.32418988199333</v>
      </c>
      <c r="N57" s="75">
        <f t="shared" si="11"/>
        <v>1643.0387901601134</v>
      </c>
      <c r="O57" s="75">
        <f t="shared" si="11"/>
        <v>1714.6382806229649</v>
      </c>
      <c r="P57" s="75" t="str">
        <f t="shared" si="11"/>
        <v>...</v>
      </c>
      <c r="Q57" s="75">
        <f t="shared" si="11"/>
        <v>-509.50719635802585</v>
      </c>
      <c r="S57" s="21"/>
    </row>
    <row r="58" spans="1:19">
      <c r="A58" s="74" t="s">
        <v>31</v>
      </c>
      <c r="B58" s="58" t="s">
        <v>96</v>
      </c>
      <c r="C58" s="58" t="s">
        <v>96</v>
      </c>
      <c r="D58" s="58" t="s">
        <v>96</v>
      </c>
      <c r="E58" s="58" t="s">
        <v>96</v>
      </c>
      <c r="F58" s="75">
        <f t="shared" si="11"/>
        <v>81.391216683900893</v>
      </c>
      <c r="G58" s="75">
        <f t="shared" si="11"/>
        <v>49.554295366735005</v>
      </c>
      <c r="H58" s="75">
        <f t="shared" si="11"/>
        <v>338.58823340057461</v>
      </c>
      <c r="I58" s="75">
        <f t="shared" si="11"/>
        <v>17.278013959775762</v>
      </c>
      <c r="J58" s="75">
        <f t="shared" si="11"/>
        <v>-17.54956493507666</v>
      </c>
      <c r="K58" s="75">
        <f t="shared" si="11"/>
        <v>526.80622271803077</v>
      </c>
      <c r="L58" s="75">
        <f t="shared" si="11"/>
        <v>56.145302614260117</v>
      </c>
      <c r="M58" s="75">
        <f t="shared" si="11"/>
        <v>574.32418988199333</v>
      </c>
      <c r="N58" s="75">
        <f t="shared" si="11"/>
        <v>1643.0387901601134</v>
      </c>
      <c r="O58" s="75">
        <f t="shared" si="11"/>
        <v>1714.6382806229649</v>
      </c>
      <c r="P58" s="75">
        <f t="shared" si="11"/>
        <v>283.23607978969812</v>
      </c>
      <c r="Q58" s="75" t="str">
        <f t="shared" si="11"/>
        <v>...</v>
      </c>
      <c r="S58" s="21"/>
    </row>
    <row r="59" spans="1:19">
      <c r="A59" s="30" t="s">
        <v>224</v>
      </c>
    </row>
    <row r="60" spans="1:19">
      <c r="A60" s="2" t="s">
        <v>206</v>
      </c>
      <c r="B60" s="58" t="s">
        <v>96</v>
      </c>
      <c r="C60" s="58" t="s">
        <v>96</v>
      </c>
      <c r="D60" s="58" t="s">
        <v>96</v>
      </c>
      <c r="E60" s="58" t="s">
        <v>96</v>
      </c>
      <c r="F60" s="75"/>
      <c r="G60" s="75"/>
      <c r="H60" s="75"/>
      <c r="I60" s="75"/>
      <c r="J60" s="75"/>
      <c r="K60" s="75"/>
      <c r="L60" s="75"/>
      <c r="M60" s="75"/>
      <c r="N60" s="75"/>
      <c r="O60" s="75"/>
      <c r="P60" s="75"/>
      <c r="Q60" s="75"/>
      <c r="S60" s="2"/>
    </row>
    <row r="61" spans="1:19" ht="17">
      <c r="A61" s="73" t="s">
        <v>26</v>
      </c>
      <c r="B61" s="58" t="s">
        <v>96</v>
      </c>
      <c r="C61" s="58" t="s">
        <v>96</v>
      </c>
      <c r="D61" s="58" t="s">
        <v>96</v>
      </c>
      <c r="E61" s="58" t="s">
        <v>96</v>
      </c>
      <c r="F61" s="58"/>
      <c r="G61" s="58">
        <f t="shared" ref="G61:Q61" si="12">IF(AND(G$38&gt;0,G47&lt;0),1,0)</f>
        <v>0</v>
      </c>
      <c r="H61" s="58">
        <f t="shared" si="12"/>
        <v>0</v>
      </c>
      <c r="I61" s="58">
        <f t="shared" si="12"/>
        <v>0</v>
      </c>
      <c r="J61" s="58">
        <f t="shared" si="12"/>
        <v>1</v>
      </c>
      <c r="K61" s="58">
        <f t="shared" si="12"/>
        <v>0</v>
      </c>
      <c r="L61" s="58">
        <f t="shared" si="12"/>
        <v>0</v>
      </c>
      <c r="M61" s="58">
        <f t="shared" si="12"/>
        <v>0</v>
      </c>
      <c r="N61" s="58">
        <f t="shared" si="12"/>
        <v>0</v>
      </c>
      <c r="O61" s="58">
        <f t="shared" si="12"/>
        <v>0</v>
      </c>
      <c r="P61" s="58">
        <f t="shared" si="12"/>
        <v>0</v>
      </c>
      <c r="Q61" s="58">
        <f t="shared" si="12"/>
        <v>1</v>
      </c>
    </row>
    <row r="62" spans="1:19" ht="17">
      <c r="A62" s="73" t="s">
        <v>29</v>
      </c>
      <c r="B62" s="58" t="s">
        <v>96</v>
      </c>
      <c r="C62" s="58" t="s">
        <v>96</v>
      </c>
      <c r="D62" s="58" t="s">
        <v>96</v>
      </c>
      <c r="E62" s="58" t="s">
        <v>96</v>
      </c>
      <c r="F62" s="58">
        <f t="shared" ref="F62:Q72" si="13">IF(AND(F$38&gt;0,F48&lt;0),1,0)</f>
        <v>0</v>
      </c>
      <c r="G62" s="58"/>
      <c r="H62" s="58">
        <f t="shared" si="13"/>
        <v>0</v>
      </c>
      <c r="I62" s="58">
        <f t="shared" si="13"/>
        <v>1</v>
      </c>
      <c r="J62" s="58">
        <f t="shared" si="13"/>
        <v>1</v>
      </c>
      <c r="K62" s="58">
        <f t="shared" si="13"/>
        <v>0</v>
      </c>
      <c r="L62" s="58">
        <f t="shared" si="13"/>
        <v>0</v>
      </c>
      <c r="M62" s="58">
        <f t="shared" si="13"/>
        <v>0</v>
      </c>
      <c r="N62" s="58">
        <f t="shared" si="13"/>
        <v>0</v>
      </c>
      <c r="O62" s="58">
        <f t="shared" si="13"/>
        <v>0</v>
      </c>
      <c r="P62" s="58">
        <f t="shared" si="13"/>
        <v>0</v>
      </c>
      <c r="Q62" s="58">
        <f t="shared" si="13"/>
        <v>0</v>
      </c>
    </row>
    <row r="63" spans="1:19" ht="17">
      <c r="A63" s="73" t="s">
        <v>30</v>
      </c>
      <c r="B63" s="58" t="s">
        <v>96</v>
      </c>
      <c r="C63" s="58" t="s">
        <v>96</v>
      </c>
      <c r="D63" s="58" t="s">
        <v>96</v>
      </c>
      <c r="E63" s="58" t="s">
        <v>96</v>
      </c>
      <c r="F63" s="58">
        <f t="shared" si="13"/>
        <v>0</v>
      </c>
      <c r="G63" s="58">
        <f t="shared" si="13"/>
        <v>0</v>
      </c>
      <c r="H63" s="58"/>
      <c r="I63" s="58">
        <f t="shared" si="13"/>
        <v>0</v>
      </c>
      <c r="J63" s="58">
        <f t="shared" si="13"/>
        <v>0</v>
      </c>
      <c r="K63" s="58">
        <f t="shared" si="13"/>
        <v>0</v>
      </c>
      <c r="L63" s="58">
        <f t="shared" si="13"/>
        <v>0</v>
      </c>
      <c r="M63" s="58">
        <f t="shared" si="13"/>
        <v>0</v>
      </c>
      <c r="N63" s="58">
        <f t="shared" si="13"/>
        <v>0</v>
      </c>
      <c r="O63" s="58">
        <f t="shared" si="13"/>
        <v>0</v>
      </c>
      <c r="P63" s="58">
        <f t="shared" si="13"/>
        <v>0</v>
      </c>
      <c r="Q63" s="58">
        <f t="shared" si="13"/>
        <v>0</v>
      </c>
    </row>
    <row r="64" spans="1:19" ht="17">
      <c r="A64" s="73" t="s">
        <v>33</v>
      </c>
      <c r="B64" s="58" t="s">
        <v>96</v>
      </c>
      <c r="C64" s="58" t="s">
        <v>96</v>
      </c>
      <c r="D64" s="58" t="s">
        <v>96</v>
      </c>
      <c r="E64" s="58" t="s">
        <v>96</v>
      </c>
      <c r="F64" s="58">
        <f t="shared" si="13"/>
        <v>0</v>
      </c>
      <c r="G64" s="58">
        <f t="shared" si="13"/>
        <v>0</v>
      </c>
      <c r="H64" s="58">
        <f t="shared" si="13"/>
        <v>0</v>
      </c>
      <c r="I64" s="58"/>
      <c r="J64" s="58">
        <f t="shared" si="13"/>
        <v>0</v>
      </c>
      <c r="K64" s="58">
        <f t="shared" si="13"/>
        <v>0</v>
      </c>
      <c r="L64" s="58">
        <f t="shared" si="13"/>
        <v>0</v>
      </c>
      <c r="M64" s="58">
        <f t="shared" si="13"/>
        <v>0</v>
      </c>
      <c r="N64" s="58">
        <f t="shared" si="13"/>
        <v>0</v>
      </c>
      <c r="O64" s="58">
        <f t="shared" si="13"/>
        <v>0</v>
      </c>
      <c r="P64" s="58">
        <f t="shared" si="13"/>
        <v>0</v>
      </c>
      <c r="Q64" s="58">
        <f t="shared" si="13"/>
        <v>0</v>
      </c>
    </row>
    <row r="65" spans="1:17" ht="17">
      <c r="A65" s="73" t="s">
        <v>34</v>
      </c>
      <c r="B65" s="58" t="s">
        <v>96</v>
      </c>
      <c r="C65" s="58" t="s">
        <v>96</v>
      </c>
      <c r="D65" s="58" t="s">
        <v>96</v>
      </c>
      <c r="E65" s="58" t="s">
        <v>96</v>
      </c>
      <c r="F65" s="58">
        <f t="shared" si="13"/>
        <v>0</v>
      </c>
      <c r="G65" s="58">
        <f t="shared" si="13"/>
        <v>0</v>
      </c>
      <c r="H65" s="58">
        <f t="shared" si="13"/>
        <v>0</v>
      </c>
      <c r="I65" s="58">
        <f t="shared" si="13"/>
        <v>0</v>
      </c>
      <c r="J65" s="58"/>
      <c r="K65" s="58">
        <f t="shared" si="13"/>
        <v>0</v>
      </c>
      <c r="L65" s="58">
        <f t="shared" si="13"/>
        <v>0</v>
      </c>
      <c r="M65" s="58">
        <f t="shared" si="13"/>
        <v>0</v>
      </c>
      <c r="N65" s="58">
        <f t="shared" si="13"/>
        <v>0</v>
      </c>
      <c r="O65" s="58">
        <f t="shared" si="13"/>
        <v>0</v>
      </c>
      <c r="P65" s="58">
        <f t="shared" si="13"/>
        <v>0</v>
      </c>
      <c r="Q65" s="58">
        <f t="shared" si="13"/>
        <v>0</v>
      </c>
    </row>
    <row r="66" spans="1:17" ht="17">
      <c r="A66" s="73" t="s">
        <v>35</v>
      </c>
      <c r="B66" s="58" t="s">
        <v>96</v>
      </c>
      <c r="C66" s="58" t="s">
        <v>96</v>
      </c>
      <c r="D66" s="58" t="s">
        <v>96</v>
      </c>
      <c r="E66" s="58" t="s">
        <v>96</v>
      </c>
      <c r="F66" s="58">
        <f t="shared" si="13"/>
        <v>0</v>
      </c>
      <c r="G66" s="58">
        <f t="shared" si="13"/>
        <v>0</v>
      </c>
      <c r="H66" s="58">
        <f t="shared" si="13"/>
        <v>0</v>
      </c>
      <c r="I66" s="58">
        <f t="shared" si="13"/>
        <v>0</v>
      </c>
      <c r="J66" s="58">
        <f t="shared" si="13"/>
        <v>0</v>
      </c>
      <c r="K66" s="58"/>
      <c r="L66" s="58">
        <f t="shared" si="13"/>
        <v>0</v>
      </c>
      <c r="M66" s="58">
        <f t="shared" si="13"/>
        <v>0</v>
      </c>
      <c r="N66" s="58">
        <f t="shared" si="13"/>
        <v>0</v>
      </c>
      <c r="O66" s="58">
        <f t="shared" si="13"/>
        <v>0</v>
      </c>
      <c r="P66" s="58">
        <f t="shared" si="13"/>
        <v>0</v>
      </c>
      <c r="Q66" s="58">
        <f t="shared" si="13"/>
        <v>1</v>
      </c>
    </row>
    <row r="67" spans="1:17" ht="17">
      <c r="A67" s="73" t="s">
        <v>36</v>
      </c>
      <c r="B67" s="58" t="s">
        <v>96</v>
      </c>
      <c r="C67" s="58" t="s">
        <v>96</v>
      </c>
      <c r="D67" s="58" t="s">
        <v>96</v>
      </c>
      <c r="E67" s="58" t="s">
        <v>96</v>
      </c>
      <c r="F67" s="58">
        <f t="shared" si="13"/>
        <v>0</v>
      </c>
      <c r="G67" s="58">
        <f t="shared" si="13"/>
        <v>0</v>
      </c>
      <c r="H67" s="58">
        <f t="shared" si="13"/>
        <v>0</v>
      </c>
      <c r="I67" s="58">
        <f t="shared" si="13"/>
        <v>0</v>
      </c>
      <c r="J67" s="58">
        <f t="shared" si="13"/>
        <v>0</v>
      </c>
      <c r="K67" s="58">
        <f t="shared" si="13"/>
        <v>0</v>
      </c>
      <c r="L67" s="58"/>
      <c r="M67" s="58">
        <f t="shared" si="13"/>
        <v>0</v>
      </c>
      <c r="N67" s="58">
        <f t="shared" si="13"/>
        <v>0</v>
      </c>
      <c r="O67" s="58">
        <f t="shared" si="13"/>
        <v>0</v>
      </c>
      <c r="P67" s="58">
        <f t="shared" si="13"/>
        <v>0</v>
      </c>
      <c r="Q67" s="58">
        <f t="shared" si="13"/>
        <v>1</v>
      </c>
    </row>
    <row r="68" spans="1:17" ht="17">
      <c r="A68" s="73" t="s">
        <v>37</v>
      </c>
      <c r="B68" s="58" t="s">
        <v>96</v>
      </c>
      <c r="C68" s="58" t="s">
        <v>96</v>
      </c>
      <c r="D68" s="58" t="s">
        <v>96</v>
      </c>
      <c r="E68" s="58" t="s">
        <v>96</v>
      </c>
      <c r="F68" s="58">
        <f t="shared" si="13"/>
        <v>0</v>
      </c>
      <c r="G68" s="58">
        <f t="shared" si="13"/>
        <v>0</v>
      </c>
      <c r="H68" s="58">
        <f t="shared" si="13"/>
        <v>0</v>
      </c>
      <c r="I68" s="58">
        <f t="shared" si="13"/>
        <v>0</v>
      </c>
      <c r="J68" s="58">
        <f t="shared" si="13"/>
        <v>0</v>
      </c>
      <c r="K68" s="58">
        <f t="shared" si="13"/>
        <v>0</v>
      </c>
      <c r="L68" s="58">
        <f t="shared" si="13"/>
        <v>0</v>
      </c>
      <c r="M68" s="58"/>
      <c r="N68" s="58">
        <f t="shared" si="13"/>
        <v>0</v>
      </c>
      <c r="O68" s="58">
        <f t="shared" si="13"/>
        <v>0</v>
      </c>
      <c r="P68" s="58">
        <f t="shared" si="13"/>
        <v>0</v>
      </c>
      <c r="Q68" s="58">
        <f t="shared" si="13"/>
        <v>0</v>
      </c>
    </row>
    <row r="69" spans="1:17">
      <c r="A69" s="74" t="s">
        <v>27</v>
      </c>
      <c r="B69" s="58" t="s">
        <v>96</v>
      </c>
      <c r="C69" s="58" t="s">
        <v>96</v>
      </c>
      <c r="D69" s="58" t="s">
        <v>96</v>
      </c>
      <c r="E69" s="58" t="s">
        <v>96</v>
      </c>
      <c r="F69" s="58">
        <f t="shared" si="13"/>
        <v>0</v>
      </c>
      <c r="G69" s="58">
        <f t="shared" si="13"/>
        <v>0</v>
      </c>
      <c r="H69" s="58">
        <f t="shared" si="13"/>
        <v>0</v>
      </c>
      <c r="I69" s="58">
        <f t="shared" si="13"/>
        <v>0</v>
      </c>
      <c r="J69" s="58">
        <f t="shared" si="13"/>
        <v>1</v>
      </c>
      <c r="K69" s="58">
        <f t="shared" si="13"/>
        <v>0</v>
      </c>
      <c r="L69" s="58">
        <f t="shared" si="13"/>
        <v>0</v>
      </c>
      <c r="M69" s="58">
        <f t="shared" si="13"/>
        <v>0</v>
      </c>
      <c r="N69" s="58"/>
      <c r="O69" s="58">
        <f t="shared" si="13"/>
        <v>0</v>
      </c>
      <c r="P69" s="58">
        <f t="shared" si="13"/>
        <v>0</v>
      </c>
      <c r="Q69" s="58">
        <f t="shared" si="13"/>
        <v>0</v>
      </c>
    </row>
    <row r="70" spans="1:17">
      <c r="A70" s="74" t="s">
        <v>32</v>
      </c>
      <c r="B70" s="58" t="s">
        <v>96</v>
      </c>
      <c r="C70" s="58" t="s">
        <v>96</v>
      </c>
      <c r="D70" s="58" t="s">
        <v>96</v>
      </c>
      <c r="E70" s="58" t="s">
        <v>96</v>
      </c>
      <c r="F70" s="58">
        <f t="shared" si="13"/>
        <v>0</v>
      </c>
      <c r="G70" s="58">
        <f t="shared" si="13"/>
        <v>0</v>
      </c>
      <c r="H70" s="58">
        <f t="shared" si="13"/>
        <v>0</v>
      </c>
      <c r="I70" s="58">
        <f t="shared" si="13"/>
        <v>0</v>
      </c>
      <c r="J70" s="58">
        <f t="shared" si="13"/>
        <v>0</v>
      </c>
      <c r="K70" s="58">
        <f t="shared" si="13"/>
        <v>0</v>
      </c>
      <c r="L70" s="58">
        <f t="shared" si="13"/>
        <v>0</v>
      </c>
      <c r="M70" s="58">
        <f t="shared" si="13"/>
        <v>0</v>
      </c>
      <c r="N70" s="58">
        <f t="shared" si="13"/>
        <v>0</v>
      </c>
      <c r="O70" s="58"/>
      <c r="P70" s="58">
        <f t="shared" si="13"/>
        <v>0</v>
      </c>
      <c r="Q70" s="58">
        <f t="shared" si="13"/>
        <v>0</v>
      </c>
    </row>
    <row r="71" spans="1:17">
      <c r="A71" s="74" t="s">
        <v>28</v>
      </c>
      <c r="B71" s="58" t="s">
        <v>96</v>
      </c>
      <c r="C71" s="58" t="s">
        <v>96</v>
      </c>
      <c r="D71" s="58" t="s">
        <v>96</v>
      </c>
      <c r="E71" s="58" t="s">
        <v>96</v>
      </c>
      <c r="F71" s="58">
        <f t="shared" si="13"/>
        <v>0</v>
      </c>
      <c r="G71" s="58">
        <f t="shared" si="13"/>
        <v>0</v>
      </c>
      <c r="H71" s="58">
        <f t="shared" si="13"/>
        <v>0</v>
      </c>
      <c r="I71" s="58">
        <f t="shared" si="13"/>
        <v>1</v>
      </c>
      <c r="J71" s="58">
        <f t="shared" si="13"/>
        <v>1</v>
      </c>
      <c r="K71" s="58">
        <f t="shared" si="13"/>
        <v>0</v>
      </c>
      <c r="L71" s="58">
        <f t="shared" si="13"/>
        <v>0</v>
      </c>
      <c r="M71" s="58">
        <f t="shared" si="13"/>
        <v>0</v>
      </c>
      <c r="N71" s="58">
        <f t="shared" si="13"/>
        <v>0</v>
      </c>
      <c r="O71" s="58">
        <f t="shared" si="13"/>
        <v>0</v>
      </c>
      <c r="P71" s="58"/>
      <c r="Q71" s="58">
        <f t="shared" si="13"/>
        <v>1</v>
      </c>
    </row>
    <row r="72" spans="1:17">
      <c r="A72" s="74" t="s">
        <v>31</v>
      </c>
      <c r="B72" s="58" t="s">
        <v>96</v>
      </c>
      <c r="C72" s="58" t="s">
        <v>96</v>
      </c>
      <c r="D72" s="58" t="s">
        <v>96</v>
      </c>
      <c r="E72" s="58" t="s">
        <v>96</v>
      </c>
      <c r="F72" s="58">
        <f t="shared" si="13"/>
        <v>0</v>
      </c>
      <c r="G72" s="58">
        <f t="shared" si="13"/>
        <v>0</v>
      </c>
      <c r="H72" s="58">
        <f t="shared" si="13"/>
        <v>0</v>
      </c>
      <c r="I72" s="58">
        <f t="shared" si="13"/>
        <v>0</v>
      </c>
      <c r="J72" s="58">
        <f t="shared" si="13"/>
        <v>1</v>
      </c>
      <c r="K72" s="58">
        <f t="shared" si="13"/>
        <v>0</v>
      </c>
      <c r="L72" s="58">
        <f t="shared" si="13"/>
        <v>0</v>
      </c>
      <c r="M72" s="58">
        <f t="shared" si="13"/>
        <v>0</v>
      </c>
      <c r="N72" s="58">
        <f t="shared" si="13"/>
        <v>0</v>
      </c>
      <c r="O72" s="58">
        <f t="shared" si="13"/>
        <v>0</v>
      </c>
      <c r="P72" s="58">
        <f t="shared" si="13"/>
        <v>0</v>
      </c>
      <c r="Q72" s="58"/>
    </row>
    <row r="73" spans="1:17">
      <c r="A73" s="2" t="s">
        <v>233</v>
      </c>
      <c r="B73" s="58"/>
      <c r="C73" s="58"/>
      <c r="D73" s="58"/>
      <c r="E73" s="58"/>
      <c r="F73" s="58"/>
      <c r="G73" s="58"/>
      <c r="H73" s="58"/>
      <c r="I73" s="58"/>
      <c r="J73" s="58"/>
      <c r="K73" s="58"/>
      <c r="L73" s="58"/>
      <c r="M73" s="58"/>
      <c r="N73" s="58"/>
      <c r="O73" s="58"/>
      <c r="P73" s="58"/>
      <c r="Q73" s="58"/>
    </row>
    <row r="74" spans="1:17" ht="17">
      <c r="A74" s="73" t="s">
        <v>26</v>
      </c>
      <c r="B74" s="58" t="s">
        <v>96</v>
      </c>
      <c r="C74" s="58" t="s">
        <v>96</v>
      </c>
      <c r="D74" s="58" t="s">
        <v>96</v>
      </c>
      <c r="E74" s="58" t="s">
        <v>96</v>
      </c>
      <c r="F74" s="58"/>
      <c r="G74" s="58">
        <f>$F$62</f>
        <v>0</v>
      </c>
      <c r="H74" s="58">
        <f>$F$63</f>
        <v>0</v>
      </c>
      <c r="I74" s="58">
        <f>$F$64</f>
        <v>0</v>
      </c>
      <c r="J74" s="58">
        <f>$F$65</f>
        <v>0</v>
      </c>
      <c r="K74" s="58">
        <f>$F$66</f>
        <v>0</v>
      </c>
      <c r="L74" s="58">
        <f>$F$67</f>
        <v>0</v>
      </c>
      <c r="M74" s="58">
        <f>$F$68</f>
        <v>0</v>
      </c>
      <c r="N74" s="58">
        <f>$F$69</f>
        <v>0</v>
      </c>
      <c r="O74" s="58">
        <f>$F$70</f>
        <v>0</v>
      </c>
      <c r="P74" s="58">
        <f>$F$71</f>
        <v>0</v>
      </c>
      <c r="Q74" s="58">
        <f>$F$72</f>
        <v>0</v>
      </c>
    </row>
    <row r="75" spans="1:17" ht="17">
      <c r="A75" s="73" t="s">
        <v>29</v>
      </c>
      <c r="B75" s="58" t="s">
        <v>96</v>
      </c>
      <c r="C75" s="58" t="s">
        <v>96</v>
      </c>
      <c r="D75" s="58" t="s">
        <v>96</v>
      </c>
      <c r="E75" s="58" t="s">
        <v>96</v>
      </c>
      <c r="F75" s="58">
        <f>$G$61</f>
        <v>0</v>
      </c>
      <c r="G75" s="58"/>
      <c r="H75" s="58">
        <f>$G$63</f>
        <v>0</v>
      </c>
      <c r="I75" s="58">
        <f>$G$64</f>
        <v>0</v>
      </c>
      <c r="J75" s="58">
        <f>$G$65</f>
        <v>0</v>
      </c>
      <c r="K75" s="58">
        <f>$G$66</f>
        <v>0</v>
      </c>
      <c r="L75" s="58">
        <f>$G$67</f>
        <v>0</v>
      </c>
      <c r="M75" s="58">
        <f>$G$68</f>
        <v>0</v>
      </c>
      <c r="N75" s="58">
        <f>$G$69</f>
        <v>0</v>
      </c>
      <c r="O75" s="58">
        <f>$G$70</f>
        <v>0</v>
      </c>
      <c r="P75" s="58">
        <f>$F$71</f>
        <v>0</v>
      </c>
      <c r="Q75" s="58">
        <f>$G$72</f>
        <v>0</v>
      </c>
    </row>
    <row r="76" spans="1:17" ht="17">
      <c r="A76" s="73" t="s">
        <v>30</v>
      </c>
      <c r="B76" s="58" t="s">
        <v>96</v>
      </c>
      <c r="C76" s="58" t="s">
        <v>96</v>
      </c>
      <c r="D76" s="58" t="s">
        <v>96</v>
      </c>
      <c r="E76" s="58" t="s">
        <v>96</v>
      </c>
      <c r="F76" s="58">
        <f>$H$61</f>
        <v>0</v>
      </c>
      <c r="G76" s="58">
        <f>$H$62</f>
        <v>0</v>
      </c>
      <c r="H76" s="58"/>
      <c r="I76" s="58">
        <f>$H$64</f>
        <v>0</v>
      </c>
      <c r="J76" s="58">
        <f>$H$65</f>
        <v>0</v>
      </c>
      <c r="K76" s="58">
        <f>$H$66</f>
        <v>0</v>
      </c>
      <c r="L76" s="58">
        <f>$H$67</f>
        <v>0</v>
      </c>
      <c r="M76" s="58">
        <f>$H$68</f>
        <v>0</v>
      </c>
      <c r="N76" s="58">
        <f>$H$69</f>
        <v>0</v>
      </c>
      <c r="O76" s="58">
        <f>$H$70</f>
        <v>0</v>
      </c>
      <c r="P76" s="58">
        <f>$H$71</f>
        <v>0</v>
      </c>
      <c r="Q76" s="58">
        <f>$H$72</f>
        <v>0</v>
      </c>
    </row>
    <row r="77" spans="1:17" ht="17">
      <c r="A77" s="73" t="s">
        <v>33</v>
      </c>
      <c r="B77" s="58" t="s">
        <v>96</v>
      </c>
      <c r="C77" s="58" t="s">
        <v>96</v>
      </c>
      <c r="D77" s="58" t="s">
        <v>96</v>
      </c>
      <c r="E77" s="58" t="s">
        <v>96</v>
      </c>
      <c r="F77" s="58">
        <f>$I$61</f>
        <v>0</v>
      </c>
      <c r="G77" s="58">
        <f>$I$62</f>
        <v>1</v>
      </c>
      <c r="H77" s="58">
        <f>$I$63</f>
        <v>0</v>
      </c>
      <c r="I77" s="58"/>
      <c r="J77" s="58">
        <f>$I$65</f>
        <v>0</v>
      </c>
      <c r="K77" s="58">
        <f>$I$66</f>
        <v>0</v>
      </c>
      <c r="L77" s="58">
        <f>$I$67</f>
        <v>0</v>
      </c>
      <c r="M77" s="58">
        <f>$I$68</f>
        <v>0</v>
      </c>
      <c r="N77" s="58">
        <f>$I$69</f>
        <v>0</v>
      </c>
      <c r="O77" s="58">
        <f>$I$70</f>
        <v>0</v>
      </c>
      <c r="P77" s="58">
        <f>$I$71</f>
        <v>1</v>
      </c>
      <c r="Q77" s="58">
        <f>$I$72</f>
        <v>0</v>
      </c>
    </row>
    <row r="78" spans="1:17" ht="17">
      <c r="A78" s="73" t="s">
        <v>34</v>
      </c>
      <c r="B78" s="58" t="s">
        <v>96</v>
      </c>
      <c r="C78" s="58" t="s">
        <v>96</v>
      </c>
      <c r="D78" s="58" t="s">
        <v>96</v>
      </c>
      <c r="E78" s="58" t="s">
        <v>96</v>
      </c>
      <c r="F78" s="58">
        <f>$J$61</f>
        <v>1</v>
      </c>
      <c r="G78" s="58">
        <f>$J$62</f>
        <v>1</v>
      </c>
      <c r="H78" s="58">
        <f>$J$63</f>
        <v>0</v>
      </c>
      <c r="I78" s="58">
        <f>$J$64</f>
        <v>0</v>
      </c>
      <c r="J78" s="58"/>
      <c r="K78" s="58">
        <f>$J$66</f>
        <v>0</v>
      </c>
      <c r="L78" s="58">
        <f>$J$67</f>
        <v>0</v>
      </c>
      <c r="M78" s="58">
        <f>$J$68</f>
        <v>0</v>
      </c>
      <c r="N78" s="58">
        <f>$J$69</f>
        <v>1</v>
      </c>
      <c r="O78" s="58">
        <f>$J$70</f>
        <v>0</v>
      </c>
      <c r="P78" s="58">
        <f>$J$71</f>
        <v>1</v>
      </c>
      <c r="Q78" s="58">
        <f>$J$72</f>
        <v>1</v>
      </c>
    </row>
    <row r="79" spans="1:17" ht="17">
      <c r="A79" s="73" t="s">
        <v>35</v>
      </c>
      <c r="B79" s="58" t="s">
        <v>96</v>
      </c>
      <c r="C79" s="58" t="s">
        <v>96</v>
      </c>
      <c r="D79" s="58" t="s">
        <v>96</v>
      </c>
      <c r="E79" s="58" t="s">
        <v>96</v>
      </c>
      <c r="F79" s="58">
        <f>$K$61</f>
        <v>0</v>
      </c>
      <c r="G79" s="58">
        <f>$K$62</f>
        <v>0</v>
      </c>
      <c r="H79" s="58">
        <f>$K$63</f>
        <v>0</v>
      </c>
      <c r="I79" s="58">
        <f>$K$64</f>
        <v>0</v>
      </c>
      <c r="J79" s="58">
        <f>$K$65</f>
        <v>0</v>
      </c>
      <c r="K79" s="58"/>
      <c r="L79" s="58">
        <f>$K$67</f>
        <v>0</v>
      </c>
      <c r="M79" s="58">
        <f>$K$68</f>
        <v>0</v>
      </c>
      <c r="N79" s="58">
        <f>$K$69</f>
        <v>0</v>
      </c>
      <c r="O79" s="58">
        <f>$K$70</f>
        <v>0</v>
      </c>
      <c r="P79" s="58">
        <f>$K$71</f>
        <v>0</v>
      </c>
      <c r="Q79" s="58">
        <f>$K$72</f>
        <v>0</v>
      </c>
    </row>
    <row r="80" spans="1:17" ht="17">
      <c r="A80" s="73" t="s">
        <v>36</v>
      </c>
      <c r="B80" s="58" t="s">
        <v>96</v>
      </c>
      <c r="C80" s="58" t="s">
        <v>96</v>
      </c>
      <c r="D80" s="58" t="s">
        <v>96</v>
      </c>
      <c r="E80" s="58" t="s">
        <v>96</v>
      </c>
      <c r="F80" s="58">
        <f>$L$61</f>
        <v>0</v>
      </c>
      <c r="G80" s="58">
        <f>$L$62</f>
        <v>0</v>
      </c>
      <c r="H80" s="58">
        <f>$L$63</f>
        <v>0</v>
      </c>
      <c r="I80" s="58">
        <f>$L$64</f>
        <v>0</v>
      </c>
      <c r="J80" s="58">
        <f>$L$65</f>
        <v>0</v>
      </c>
      <c r="K80" s="58">
        <f>$L$66</f>
        <v>0</v>
      </c>
      <c r="L80" s="58"/>
      <c r="M80" s="58">
        <f>$L$68</f>
        <v>0</v>
      </c>
      <c r="N80" s="58">
        <f>$L$69</f>
        <v>0</v>
      </c>
      <c r="O80" s="58">
        <f>$L$70</f>
        <v>0</v>
      </c>
      <c r="P80" s="58">
        <f>$L$71</f>
        <v>0</v>
      </c>
      <c r="Q80" s="58">
        <f>$L$72</f>
        <v>0</v>
      </c>
    </row>
    <row r="81" spans="1:17" ht="17">
      <c r="A81" s="73" t="s">
        <v>37</v>
      </c>
      <c r="B81" s="58" t="s">
        <v>96</v>
      </c>
      <c r="C81" s="58" t="s">
        <v>96</v>
      </c>
      <c r="D81" s="58" t="s">
        <v>96</v>
      </c>
      <c r="E81" s="58" t="s">
        <v>96</v>
      </c>
      <c r="F81" s="58">
        <f>$M$61</f>
        <v>0</v>
      </c>
      <c r="G81" s="58">
        <f>$M$62</f>
        <v>0</v>
      </c>
      <c r="H81" s="58">
        <f>$M$63</f>
        <v>0</v>
      </c>
      <c r="I81" s="58">
        <f>$M$64</f>
        <v>0</v>
      </c>
      <c r="J81" s="58">
        <f>$M$65</f>
        <v>0</v>
      </c>
      <c r="K81" s="58">
        <f>$M$66</f>
        <v>0</v>
      </c>
      <c r="L81" s="58">
        <f>$M$67</f>
        <v>0</v>
      </c>
      <c r="M81" s="58"/>
      <c r="N81" s="58">
        <f>$M$69</f>
        <v>0</v>
      </c>
      <c r="O81" s="58">
        <f>$M$70</f>
        <v>0</v>
      </c>
      <c r="P81" s="58">
        <f>$M$71</f>
        <v>0</v>
      </c>
      <c r="Q81" s="58">
        <f>$M$72</f>
        <v>0</v>
      </c>
    </row>
    <row r="82" spans="1:17">
      <c r="A82" s="74" t="s">
        <v>27</v>
      </c>
      <c r="B82" s="58" t="s">
        <v>96</v>
      </c>
      <c r="C82" s="58" t="s">
        <v>96</v>
      </c>
      <c r="D82" s="58" t="s">
        <v>96</v>
      </c>
      <c r="E82" s="58" t="s">
        <v>96</v>
      </c>
      <c r="F82" s="58">
        <f>$N$61</f>
        <v>0</v>
      </c>
      <c r="G82" s="58">
        <f>$N$62</f>
        <v>0</v>
      </c>
      <c r="H82" s="58">
        <f>$N$63</f>
        <v>0</v>
      </c>
      <c r="I82" s="58">
        <f>$N$64</f>
        <v>0</v>
      </c>
      <c r="J82" s="58">
        <f>$N$65</f>
        <v>0</v>
      </c>
      <c r="K82" s="58">
        <f>$N$66</f>
        <v>0</v>
      </c>
      <c r="L82" s="58">
        <f>$N$67</f>
        <v>0</v>
      </c>
      <c r="M82" s="58">
        <f>$N$68</f>
        <v>0</v>
      </c>
      <c r="N82" s="58"/>
      <c r="O82" s="58">
        <f>$N$70</f>
        <v>0</v>
      </c>
      <c r="P82" s="58">
        <f>$N$71</f>
        <v>0</v>
      </c>
      <c r="Q82" s="58">
        <f>$N$72</f>
        <v>0</v>
      </c>
    </row>
    <row r="83" spans="1:17">
      <c r="A83" s="74" t="s">
        <v>32</v>
      </c>
      <c r="B83" s="58" t="s">
        <v>96</v>
      </c>
      <c r="C83" s="58" t="s">
        <v>96</v>
      </c>
      <c r="D83" s="58" t="s">
        <v>96</v>
      </c>
      <c r="E83" s="58" t="s">
        <v>96</v>
      </c>
      <c r="F83" s="58">
        <f>$O$61</f>
        <v>0</v>
      </c>
      <c r="G83" s="58">
        <f>$O$62</f>
        <v>0</v>
      </c>
      <c r="H83" s="58">
        <f>$O$63</f>
        <v>0</v>
      </c>
      <c r="I83" s="58">
        <f>$O$64</f>
        <v>0</v>
      </c>
      <c r="J83" s="58">
        <f>$O$65</f>
        <v>0</v>
      </c>
      <c r="K83" s="58">
        <f>$O$66</f>
        <v>0</v>
      </c>
      <c r="L83" s="58">
        <f>$O$67</f>
        <v>0</v>
      </c>
      <c r="M83" s="58">
        <f>$O$68</f>
        <v>0</v>
      </c>
      <c r="N83" s="58">
        <f>$O$69</f>
        <v>0</v>
      </c>
      <c r="O83" s="58"/>
      <c r="P83" s="58">
        <f>$O$71</f>
        <v>0</v>
      </c>
      <c r="Q83" s="58">
        <f>$O$72</f>
        <v>0</v>
      </c>
    </row>
    <row r="84" spans="1:17">
      <c r="A84" s="74" t="s">
        <v>28</v>
      </c>
      <c r="B84" s="58" t="s">
        <v>96</v>
      </c>
      <c r="C84" s="58" t="s">
        <v>96</v>
      </c>
      <c r="D84" s="58" t="s">
        <v>96</v>
      </c>
      <c r="E84" s="58" t="s">
        <v>96</v>
      </c>
      <c r="F84" s="58">
        <f>$P$61</f>
        <v>0</v>
      </c>
      <c r="G84" s="58">
        <f>$P$62</f>
        <v>0</v>
      </c>
      <c r="H84" s="58">
        <f>$P$63</f>
        <v>0</v>
      </c>
      <c r="I84" s="58">
        <f>$P$64</f>
        <v>0</v>
      </c>
      <c r="J84" s="58">
        <f>$P$65</f>
        <v>0</v>
      </c>
      <c r="K84" s="58">
        <f>$P$66</f>
        <v>0</v>
      </c>
      <c r="L84" s="58">
        <f>$P$67</f>
        <v>0</v>
      </c>
      <c r="M84" s="58">
        <f>$P$68</f>
        <v>0</v>
      </c>
      <c r="N84" s="58">
        <f>$P$69</f>
        <v>0</v>
      </c>
      <c r="O84" s="58">
        <f>$P$70</f>
        <v>0</v>
      </c>
      <c r="P84" s="58"/>
      <c r="Q84" s="58">
        <f>$P$72</f>
        <v>0</v>
      </c>
    </row>
    <row r="85" spans="1:17">
      <c r="A85" s="74" t="s">
        <v>31</v>
      </c>
      <c r="B85" s="58" t="s">
        <v>96</v>
      </c>
      <c r="C85" s="58" t="s">
        <v>96</v>
      </c>
      <c r="D85" s="58" t="s">
        <v>96</v>
      </c>
      <c r="E85" s="58" t="s">
        <v>96</v>
      </c>
      <c r="F85" s="58">
        <f>$Q$61</f>
        <v>1</v>
      </c>
      <c r="G85" s="58">
        <f>$Q$62</f>
        <v>0</v>
      </c>
      <c r="H85" s="58">
        <f>$Q$63</f>
        <v>0</v>
      </c>
      <c r="I85" s="58">
        <f>$Q$64</f>
        <v>0</v>
      </c>
      <c r="J85" s="58">
        <f>$Q$65</f>
        <v>0</v>
      </c>
      <c r="K85" s="58">
        <f>$Q$66</f>
        <v>1</v>
      </c>
      <c r="L85" s="58">
        <f>$Q$67</f>
        <v>1</v>
      </c>
      <c r="M85" s="58">
        <f>$Q$68</f>
        <v>0</v>
      </c>
      <c r="N85" s="58">
        <f>$Q$69</f>
        <v>0</v>
      </c>
      <c r="O85" s="58">
        <f>$Q$70</f>
        <v>0</v>
      </c>
      <c r="P85" s="58">
        <f>$Q$71</f>
        <v>1</v>
      </c>
      <c r="Q85" s="58"/>
    </row>
    <row r="86" spans="1:17">
      <c r="A86" s="2" t="s">
        <v>216</v>
      </c>
      <c r="B86" s="58"/>
      <c r="C86" s="58"/>
      <c r="D86" s="58"/>
      <c r="E86" s="58"/>
      <c r="F86" s="58"/>
      <c r="G86" s="58"/>
      <c r="H86" s="58"/>
      <c r="I86" s="58"/>
      <c r="J86" s="58"/>
      <c r="K86" s="58"/>
      <c r="L86" s="58"/>
      <c r="M86" s="58"/>
      <c r="N86" s="58"/>
      <c r="O86" s="58"/>
      <c r="P86" s="58"/>
      <c r="Q86" s="58"/>
    </row>
    <row r="87" spans="1:17">
      <c r="A87" s="72" t="s">
        <v>208</v>
      </c>
      <c r="B87" s="58"/>
      <c r="C87" s="58"/>
      <c r="D87" s="58"/>
      <c r="E87" s="58"/>
      <c r="F87" s="75"/>
      <c r="G87" s="75"/>
      <c r="H87" s="75"/>
      <c r="I87" s="75"/>
      <c r="J87" s="75"/>
      <c r="K87" s="75"/>
      <c r="L87" s="75"/>
      <c r="M87" s="75"/>
      <c r="N87" s="75"/>
      <c r="O87" s="75"/>
      <c r="P87" s="75"/>
      <c r="Q87" s="75"/>
    </row>
    <row r="88" spans="1:17" ht="17">
      <c r="A88" s="73" t="s">
        <v>26</v>
      </c>
      <c r="B88" s="58" t="s">
        <v>96</v>
      </c>
      <c r="C88" s="58" t="s">
        <v>96</v>
      </c>
      <c r="D88" s="58" t="s">
        <v>96</v>
      </c>
      <c r="E88" s="58" t="s">
        <v>96</v>
      </c>
      <c r="F88" s="75"/>
      <c r="G88" s="75">
        <f t="shared" ref="G88:Q88" si="14">G47-SUMPRODUCT($F$74:$F$85,G$25:G$36)</f>
        <v>49.554295366735005</v>
      </c>
      <c r="H88" s="75">
        <f t="shared" si="14"/>
        <v>266.58823340057461</v>
      </c>
      <c r="I88" s="75">
        <f t="shared" si="14"/>
        <v>12.278013959775762</v>
      </c>
      <c r="J88" s="75">
        <f t="shared" si="14"/>
        <v>-27.54956493507666</v>
      </c>
      <c r="K88" s="75">
        <f t="shared" si="14"/>
        <v>524.80622271803077</v>
      </c>
      <c r="L88" s="75">
        <f t="shared" si="14"/>
        <v>53.145302614260117</v>
      </c>
      <c r="M88" s="75">
        <f t="shared" si="14"/>
        <v>536.32418988199333</v>
      </c>
      <c r="N88" s="75">
        <f t="shared" si="14"/>
        <v>1643.0387901601134</v>
      </c>
      <c r="O88" s="75">
        <f t="shared" si="14"/>
        <v>1714.6382806229649</v>
      </c>
      <c r="P88" s="75">
        <f t="shared" si="14"/>
        <v>283.23607978969812</v>
      </c>
      <c r="Q88" s="75">
        <f t="shared" si="14"/>
        <v>-537.98232758210565</v>
      </c>
    </row>
    <row r="89" spans="1:17" ht="17">
      <c r="A89" s="73" t="s">
        <v>29</v>
      </c>
      <c r="B89" s="58" t="s">
        <v>96</v>
      </c>
      <c r="C89" s="58" t="s">
        <v>96</v>
      </c>
      <c r="D89" s="58" t="s">
        <v>96</v>
      </c>
      <c r="E89" s="58" t="s">
        <v>96</v>
      </c>
      <c r="F89" s="75">
        <f>F48-SUMPRODUCT($G$74:$G$85,F$25:F$36)</f>
        <v>32.391216683900893</v>
      </c>
      <c r="G89" s="75"/>
      <c r="H89" s="75">
        <f t="shared" ref="H89:Q89" si="15">H48-SUMPRODUCT($G$74:$G$85,H$25:H$36)</f>
        <v>264.58823340057461</v>
      </c>
      <c r="I89" s="75">
        <f t="shared" si="15"/>
        <v>-37.721986040224238</v>
      </c>
      <c r="J89" s="75">
        <f t="shared" si="15"/>
        <v>-52.54956493507666</v>
      </c>
      <c r="K89" s="75">
        <f t="shared" si="15"/>
        <v>462.80622271803077</v>
      </c>
      <c r="L89" s="75">
        <f t="shared" si="15"/>
        <v>30.145302614260117</v>
      </c>
      <c r="M89" s="75">
        <f t="shared" si="15"/>
        <v>516.32418988199333</v>
      </c>
      <c r="N89" s="75">
        <f t="shared" si="15"/>
        <v>1641.0387901601134</v>
      </c>
      <c r="O89" s="75">
        <f t="shared" si="15"/>
        <v>1666.6382806229649</v>
      </c>
      <c r="P89" s="75">
        <f t="shared" si="15"/>
        <v>283.23607978969812</v>
      </c>
      <c r="Q89" s="75">
        <f t="shared" si="15"/>
        <v>0.75700000000000001</v>
      </c>
    </row>
    <row r="90" spans="1:17" ht="17">
      <c r="A90" s="73" t="s">
        <v>30</v>
      </c>
      <c r="B90" s="58" t="s">
        <v>96</v>
      </c>
      <c r="C90" s="58" t="s">
        <v>96</v>
      </c>
      <c r="D90" s="58" t="s">
        <v>96</v>
      </c>
      <c r="E90" s="58" t="s">
        <v>96</v>
      </c>
      <c r="F90" s="75">
        <f>F49-SUMPRODUCT($H$74:$H$85,F$25:F$36)</f>
        <v>81.391216683900893</v>
      </c>
      <c r="G90" s="75">
        <f t="shared" ref="G90:Q90" si="16">G49-SUMPRODUCT($H$74:$H$85,G$25:G$36)</f>
        <v>65.554295366735005</v>
      </c>
      <c r="H90" s="75"/>
      <c r="I90" s="75">
        <f t="shared" si="16"/>
        <v>37.278013959775762</v>
      </c>
      <c r="J90" s="75">
        <f t="shared" si="16"/>
        <v>2.4504350649233402</v>
      </c>
      <c r="K90" s="75">
        <f t="shared" si="16"/>
        <v>526.80622271803077</v>
      </c>
      <c r="L90" s="75">
        <f t="shared" si="16"/>
        <v>56.145302614260117</v>
      </c>
      <c r="M90" s="75">
        <f t="shared" si="16"/>
        <v>563.32418988199333</v>
      </c>
      <c r="N90" s="75">
        <f t="shared" si="16"/>
        <v>1663.0387901601134</v>
      </c>
      <c r="O90" s="75">
        <f t="shared" si="16"/>
        <v>1714.6382806229649</v>
      </c>
      <c r="P90" s="75">
        <f t="shared" si="16"/>
        <v>283.23607978969812</v>
      </c>
      <c r="Q90" s="75">
        <f t="shared" si="16"/>
        <v>0.75700000000000001</v>
      </c>
    </row>
    <row r="91" spans="1:17" ht="17">
      <c r="A91" s="73" t="s">
        <v>33</v>
      </c>
      <c r="B91" s="58" t="s">
        <v>96</v>
      </c>
      <c r="C91" s="58" t="s">
        <v>96</v>
      </c>
      <c r="D91" s="58" t="s">
        <v>96</v>
      </c>
      <c r="E91" s="58" t="s">
        <v>96</v>
      </c>
      <c r="F91" s="75">
        <f>F50-SUMPRODUCT($I$74:$I$85,F$25:F$36)</f>
        <v>77.391216683900893</v>
      </c>
      <c r="G91" s="75">
        <f t="shared" ref="G91:Q91" si="17">G50-SUMPRODUCT($I$74:$I$85,G$25:G$36)</f>
        <v>65.554295366735005</v>
      </c>
      <c r="H91" s="75">
        <f t="shared" si="17"/>
        <v>334.58823340057461</v>
      </c>
      <c r="I91" s="75"/>
      <c r="J91" s="75">
        <f t="shared" si="17"/>
        <v>2.4504350649233402</v>
      </c>
      <c r="K91" s="75">
        <f t="shared" si="17"/>
        <v>524.80622271803077</v>
      </c>
      <c r="L91" s="75">
        <f t="shared" si="17"/>
        <v>49.145302614260117</v>
      </c>
      <c r="M91" s="75">
        <f t="shared" si="17"/>
        <v>562.32418988199333</v>
      </c>
      <c r="N91" s="75">
        <f t="shared" si="17"/>
        <v>1663.0387901601134</v>
      </c>
      <c r="O91" s="75">
        <f t="shared" si="17"/>
        <v>1714.6382806229649</v>
      </c>
      <c r="P91" s="75">
        <f t="shared" si="17"/>
        <v>283.23607978969812</v>
      </c>
      <c r="Q91" s="75">
        <f t="shared" si="17"/>
        <v>0.75700000000000001</v>
      </c>
    </row>
    <row r="92" spans="1:17" ht="17">
      <c r="A92" s="73" t="s">
        <v>34</v>
      </c>
      <c r="B92" s="58" t="s">
        <v>96</v>
      </c>
      <c r="C92" s="58" t="s">
        <v>96</v>
      </c>
      <c r="D92" s="58" t="s">
        <v>96</v>
      </c>
      <c r="E92" s="58" t="s">
        <v>96</v>
      </c>
      <c r="F92" s="75">
        <f>F51-SUMPRODUCT($J$74:$J$85,F$25:F$36)</f>
        <v>81.391216683900893</v>
      </c>
      <c r="G92" s="75">
        <f t="shared" ref="G92:Q92" si="18">G51-SUMPRODUCT($J$74:$J$85,G$25:G$36)</f>
        <v>65.554295366735005</v>
      </c>
      <c r="H92" s="75">
        <f t="shared" si="18"/>
        <v>320.58823340057461</v>
      </c>
      <c r="I92" s="75">
        <f t="shared" si="18"/>
        <v>32.278013959775762</v>
      </c>
      <c r="J92" s="75"/>
      <c r="K92" s="75">
        <f t="shared" si="18"/>
        <v>524.80622271803077</v>
      </c>
      <c r="L92" s="75">
        <f t="shared" si="18"/>
        <v>53.145302614260117</v>
      </c>
      <c r="M92" s="75">
        <f t="shared" si="18"/>
        <v>568.32418988199333</v>
      </c>
      <c r="N92" s="75">
        <f t="shared" si="18"/>
        <v>1663.0387901601134</v>
      </c>
      <c r="O92" s="75">
        <f t="shared" si="18"/>
        <v>1714.6382806229649</v>
      </c>
      <c r="P92" s="75">
        <f t="shared" si="18"/>
        <v>283.23607978969812</v>
      </c>
      <c r="Q92" s="75">
        <f t="shared" si="18"/>
        <v>0.75700000000000001</v>
      </c>
    </row>
    <row r="93" spans="1:17" ht="17">
      <c r="A93" s="73" t="s">
        <v>35</v>
      </c>
      <c r="B93" s="58" t="s">
        <v>96</v>
      </c>
      <c r="C93" s="58" t="s">
        <v>96</v>
      </c>
      <c r="D93" s="58" t="s">
        <v>96</v>
      </c>
      <c r="E93" s="58" t="s">
        <v>96</v>
      </c>
      <c r="F93" s="75">
        <f>F52-SUMPRODUCT($K$74:$K$85,F$25:F$36)</f>
        <v>68.391216683900893</v>
      </c>
      <c r="G93" s="75">
        <f t="shared" ref="G93:Q93" si="19">G52-SUMPRODUCT($K$74:$K$85,G$25:G$36)</f>
        <v>49.554295366735005</v>
      </c>
      <c r="H93" s="75">
        <f t="shared" si="19"/>
        <v>328.58823340057461</v>
      </c>
      <c r="I93" s="75">
        <f t="shared" si="19"/>
        <v>17.278013959775762</v>
      </c>
      <c r="J93" s="75">
        <f t="shared" si="19"/>
        <v>-17.54956493507666</v>
      </c>
      <c r="K93" s="75"/>
      <c r="L93" s="75">
        <f t="shared" si="19"/>
        <v>56.145302614260117</v>
      </c>
      <c r="M93" s="75">
        <f t="shared" si="19"/>
        <v>545.32418988199333</v>
      </c>
      <c r="N93" s="75">
        <f t="shared" si="19"/>
        <v>1623.0387901601134</v>
      </c>
      <c r="O93" s="75">
        <f t="shared" si="19"/>
        <v>1714.6382806229649</v>
      </c>
      <c r="P93" s="75">
        <f t="shared" si="19"/>
        <v>283.23607978969812</v>
      </c>
      <c r="Q93" s="75">
        <f t="shared" si="19"/>
        <v>-985.86887969351983</v>
      </c>
    </row>
    <row r="94" spans="1:17" ht="17">
      <c r="A94" s="73" t="s">
        <v>36</v>
      </c>
      <c r="B94" s="58" t="s">
        <v>96</v>
      </c>
      <c r="C94" s="58" t="s">
        <v>96</v>
      </c>
      <c r="D94" s="58" t="s">
        <v>96</v>
      </c>
      <c r="E94" s="58" t="s">
        <v>96</v>
      </c>
      <c r="F94" s="75">
        <f>F53-SUMPRODUCT($L$74:$L$85,F$25:F$36)</f>
        <v>72.391216683900893</v>
      </c>
      <c r="G94" s="75">
        <f t="shared" ref="G94:Q94" si="20">G53-SUMPRODUCT($L$74:$L$85,G$25:G$36)</f>
        <v>49.554295366735005</v>
      </c>
      <c r="H94" s="75">
        <f t="shared" si="20"/>
        <v>324.58823340057461</v>
      </c>
      <c r="I94" s="75">
        <f t="shared" si="20"/>
        <v>17.278013959775762</v>
      </c>
      <c r="J94" s="75">
        <f t="shared" si="20"/>
        <v>-17.54956493507666</v>
      </c>
      <c r="K94" s="75">
        <f t="shared" si="20"/>
        <v>523.80622271803077</v>
      </c>
      <c r="L94" s="75"/>
      <c r="M94" s="75">
        <f t="shared" si="20"/>
        <v>554.32418988199333</v>
      </c>
      <c r="N94" s="75">
        <f t="shared" si="20"/>
        <v>1624.0387901601134</v>
      </c>
      <c r="O94" s="75">
        <f t="shared" si="20"/>
        <v>1714.6382806229649</v>
      </c>
      <c r="P94" s="75">
        <f t="shared" si="20"/>
        <v>283.23607978969812</v>
      </c>
      <c r="Q94" s="75">
        <f t="shared" si="20"/>
        <v>-615.06506128053582</v>
      </c>
    </row>
    <row r="95" spans="1:17" ht="17">
      <c r="A95" s="73" t="s">
        <v>37</v>
      </c>
      <c r="B95" s="58" t="s">
        <v>96</v>
      </c>
      <c r="C95" s="58" t="s">
        <v>96</v>
      </c>
      <c r="D95" s="58" t="s">
        <v>96</v>
      </c>
      <c r="E95" s="58" t="s">
        <v>96</v>
      </c>
      <c r="F95" s="75">
        <f>F54-SUMPRODUCT($M$74:$M$85,F$25:F$36)</f>
        <v>81.391216683900893</v>
      </c>
      <c r="G95" s="75">
        <f t="shared" ref="G95:Q95" si="21">G54-SUMPRODUCT($M$74:$M$85,G$25:G$36)</f>
        <v>65.554295366735005</v>
      </c>
      <c r="H95" s="75">
        <f t="shared" si="21"/>
        <v>360.58823340057461</v>
      </c>
      <c r="I95" s="75">
        <f t="shared" si="21"/>
        <v>37.278013959775762</v>
      </c>
      <c r="J95" s="75">
        <f t="shared" si="21"/>
        <v>2.4504350649233402</v>
      </c>
      <c r="K95" s="75">
        <f t="shared" si="21"/>
        <v>526.80622271803077</v>
      </c>
      <c r="L95" s="75">
        <f t="shared" si="21"/>
        <v>56.145302614260117</v>
      </c>
      <c r="M95" s="75"/>
      <c r="N95" s="75">
        <f t="shared" si="21"/>
        <v>1663.0387901601134</v>
      </c>
      <c r="O95" s="75">
        <f t="shared" si="21"/>
        <v>1714.6382806229649</v>
      </c>
      <c r="P95" s="75">
        <f t="shared" si="21"/>
        <v>283.23607978969812</v>
      </c>
      <c r="Q95" s="75">
        <f t="shared" si="21"/>
        <v>0.75700000000000001</v>
      </c>
    </row>
    <row r="96" spans="1:17">
      <c r="A96" s="74" t="s">
        <v>27</v>
      </c>
      <c r="B96" s="58" t="s">
        <v>96</v>
      </c>
      <c r="C96" s="58" t="s">
        <v>96</v>
      </c>
      <c r="D96" s="58" t="s">
        <v>96</v>
      </c>
      <c r="E96" s="58" t="s">
        <v>96</v>
      </c>
      <c r="F96" s="75">
        <f>F55-SUMPRODUCT($N$74:$N$85,F$25:F$36)</f>
        <v>36.391216683900893</v>
      </c>
      <c r="G96" s="75">
        <f t="shared" ref="G96:Q96" si="22">G55-SUMPRODUCT($N$74:$N$85,G$25:G$36)</f>
        <v>65.554295366735005</v>
      </c>
      <c r="H96" s="75">
        <f t="shared" si="22"/>
        <v>310.58823340057461</v>
      </c>
      <c r="I96" s="75">
        <f t="shared" si="22"/>
        <v>28.278013959775762</v>
      </c>
      <c r="J96" s="75">
        <f t="shared" si="22"/>
        <v>-40.54956493507666</v>
      </c>
      <c r="K96" s="75">
        <f t="shared" si="22"/>
        <v>524.80622271803077</v>
      </c>
      <c r="L96" s="75">
        <f t="shared" si="22"/>
        <v>53.145302614260117</v>
      </c>
      <c r="M96" s="75">
        <f t="shared" si="22"/>
        <v>568.32418988199333</v>
      </c>
      <c r="N96" s="75"/>
      <c r="O96" s="75">
        <f t="shared" si="22"/>
        <v>1714.6382806229649</v>
      </c>
      <c r="P96" s="75">
        <f t="shared" si="22"/>
        <v>283.23607978969812</v>
      </c>
      <c r="Q96" s="75">
        <f t="shared" si="22"/>
        <v>0.75700000000000001</v>
      </c>
    </row>
    <row r="97" spans="1:17">
      <c r="A97" s="74" t="s">
        <v>32</v>
      </c>
      <c r="B97" s="58" t="s">
        <v>96</v>
      </c>
      <c r="C97" s="58" t="s">
        <v>96</v>
      </c>
      <c r="D97" s="58" t="s">
        <v>96</v>
      </c>
      <c r="E97" s="58" t="s">
        <v>96</v>
      </c>
      <c r="F97" s="75">
        <f>F56-SUMPRODUCT($O$74:$O$85,F$25:F$36)</f>
        <v>77.391216683900893</v>
      </c>
      <c r="G97" s="75">
        <f t="shared" ref="G97:Q97" si="23">G56-SUMPRODUCT($O$74:$O$85,G$25:G$36)</f>
        <v>65.554295366735005</v>
      </c>
      <c r="H97" s="75">
        <f t="shared" si="23"/>
        <v>278.58823340057461</v>
      </c>
      <c r="I97" s="75">
        <f t="shared" si="23"/>
        <v>37.278013959775762</v>
      </c>
      <c r="J97" s="75">
        <f t="shared" si="23"/>
        <v>2.4504350649233402</v>
      </c>
      <c r="K97" s="75">
        <f t="shared" si="23"/>
        <v>522.80622271803077</v>
      </c>
      <c r="L97" s="75">
        <f t="shared" si="23"/>
        <v>26.145302614260117</v>
      </c>
      <c r="M97" s="75">
        <f t="shared" si="23"/>
        <v>574.32418988199333</v>
      </c>
      <c r="N97" s="75">
        <f t="shared" si="23"/>
        <v>1643.0387901601134</v>
      </c>
      <c r="O97" s="75"/>
      <c r="P97" s="75">
        <f t="shared" si="23"/>
        <v>283.23607978969812</v>
      </c>
      <c r="Q97" s="75">
        <f t="shared" si="23"/>
        <v>0.75700000000000001</v>
      </c>
    </row>
    <row r="98" spans="1:17">
      <c r="A98" s="74" t="s">
        <v>28</v>
      </c>
      <c r="B98" s="58" t="s">
        <v>96</v>
      </c>
      <c r="C98" s="58" t="s">
        <v>96</v>
      </c>
      <c r="D98" s="58" t="s">
        <v>96</v>
      </c>
      <c r="E98" s="58" t="s">
        <v>96</v>
      </c>
      <c r="F98" s="75">
        <f>F57-SUMPRODUCT($P$74:$P$85,F$25:F$36)</f>
        <v>34.391216683900893</v>
      </c>
      <c r="G98" s="75">
        <f t="shared" ref="G98:Q98" si="24">G57-SUMPRODUCT($P$74:$P$85,G$25:G$36)</f>
        <v>49.554295366735005</v>
      </c>
      <c r="H98" s="75">
        <f t="shared" si="24"/>
        <v>175.58823340057461</v>
      </c>
      <c r="I98" s="75">
        <f t="shared" si="24"/>
        <v>-32.721986040224238</v>
      </c>
      <c r="J98" s="75">
        <f t="shared" si="24"/>
        <v>-60.54956493507666</v>
      </c>
      <c r="K98" s="75">
        <f t="shared" si="24"/>
        <v>516.80622271803077</v>
      </c>
      <c r="L98" s="75">
        <f t="shared" si="24"/>
        <v>38.145302614260117</v>
      </c>
      <c r="M98" s="75">
        <f t="shared" si="24"/>
        <v>493.32418988199333</v>
      </c>
      <c r="N98" s="75">
        <f t="shared" si="24"/>
        <v>1623.0387901601134</v>
      </c>
      <c r="O98" s="75">
        <f t="shared" si="24"/>
        <v>1714.6382806229649</v>
      </c>
      <c r="P98" s="75"/>
      <c r="Q98" s="75">
        <f t="shared" si="24"/>
        <v>-509.50719635802585</v>
      </c>
    </row>
    <row r="99" spans="1:17">
      <c r="A99" s="74" t="s">
        <v>31</v>
      </c>
      <c r="B99" s="58" t="s">
        <v>96</v>
      </c>
      <c r="C99" s="58" t="s">
        <v>96</v>
      </c>
      <c r="D99" s="58" t="s">
        <v>96</v>
      </c>
      <c r="E99" s="58" t="s">
        <v>96</v>
      </c>
      <c r="F99" s="75">
        <f>F58-SUMPRODUCT($Q$74:$Q$85,F$25:F$36)</f>
        <v>81.391216683900893</v>
      </c>
      <c r="G99" s="75">
        <f t="shared" ref="G99:P99" si="25">G58-SUMPRODUCT($Q$74:$Q$85,G$25:G$36)</f>
        <v>49.554295366735005</v>
      </c>
      <c r="H99" s="75">
        <f t="shared" si="25"/>
        <v>298.58823340057461</v>
      </c>
      <c r="I99" s="75">
        <f t="shared" si="25"/>
        <v>12.278013959775762</v>
      </c>
      <c r="J99" s="75">
        <f t="shared" si="25"/>
        <v>-17.54956493507666</v>
      </c>
      <c r="K99" s="75">
        <f t="shared" si="25"/>
        <v>524.80622271803077</v>
      </c>
      <c r="L99" s="75">
        <f t="shared" si="25"/>
        <v>53.145302614260117</v>
      </c>
      <c r="M99" s="75">
        <f t="shared" si="25"/>
        <v>548.32418988199333</v>
      </c>
      <c r="N99" s="75">
        <f t="shared" si="25"/>
        <v>1643.0387901601134</v>
      </c>
      <c r="O99" s="75">
        <f t="shared" si="25"/>
        <v>1714.6382806229649</v>
      </c>
      <c r="P99" s="75">
        <f t="shared" si="25"/>
        <v>283.23607978969812</v>
      </c>
      <c r="Q99" s="75"/>
    </row>
    <row r="100" spans="1:17">
      <c r="A100" s="72" t="s">
        <v>232</v>
      </c>
      <c r="B100" s="58"/>
      <c r="C100" s="58"/>
      <c r="D100" s="58"/>
      <c r="E100" s="58"/>
      <c r="F100" s="75"/>
      <c r="G100" s="75"/>
      <c r="H100" s="75"/>
      <c r="I100" s="75"/>
      <c r="J100" s="75"/>
      <c r="K100" s="75"/>
      <c r="L100" s="75"/>
      <c r="M100" s="75"/>
      <c r="N100" s="75"/>
      <c r="O100" s="75"/>
      <c r="P100" s="75"/>
      <c r="Q100" s="75"/>
    </row>
    <row r="101" spans="1:17" ht="17">
      <c r="A101" s="73" t="s">
        <v>26</v>
      </c>
      <c r="B101" s="58"/>
      <c r="C101" s="58" t="s">
        <v>96</v>
      </c>
      <c r="D101" s="58" t="s">
        <v>96</v>
      </c>
      <c r="E101" s="58" t="s">
        <v>96</v>
      </c>
      <c r="F101" s="75" t="str">
        <f>IF(F47="...","...",F88-F47)</f>
        <v>...</v>
      </c>
      <c r="G101" s="75">
        <f t="shared" ref="G101:Q101" si="26">IF(G47="...","...",G88-G47)</f>
        <v>-16</v>
      </c>
      <c r="H101" s="75">
        <f t="shared" si="26"/>
        <v>-62</v>
      </c>
      <c r="I101" s="75">
        <f t="shared" si="26"/>
        <v>-25</v>
      </c>
      <c r="J101" s="75">
        <f t="shared" si="26"/>
        <v>-20</v>
      </c>
      <c r="K101" s="75">
        <f t="shared" si="26"/>
        <v>-2</v>
      </c>
      <c r="L101" s="75">
        <f t="shared" si="26"/>
        <v>-3</v>
      </c>
      <c r="M101" s="75">
        <f t="shared" si="26"/>
        <v>-46</v>
      </c>
      <c r="N101" s="75">
        <f t="shared" si="26"/>
        <v>-20</v>
      </c>
      <c r="O101" s="75">
        <f t="shared" si="26"/>
        <v>0</v>
      </c>
      <c r="P101" s="75">
        <f t="shared" si="26"/>
        <v>0</v>
      </c>
      <c r="Q101" s="75">
        <f t="shared" si="26"/>
        <v>0</v>
      </c>
    </row>
    <row r="102" spans="1:17" ht="17">
      <c r="A102" s="73" t="s">
        <v>29</v>
      </c>
      <c r="B102" s="58"/>
      <c r="C102" s="58" t="s">
        <v>96</v>
      </c>
      <c r="D102" s="58" t="s">
        <v>96</v>
      </c>
      <c r="E102" s="58" t="s">
        <v>96</v>
      </c>
      <c r="F102" s="75">
        <f t="shared" ref="F102:Q112" si="27">IF(F48="...","...",F89-F48)</f>
        <v>-4</v>
      </c>
      <c r="G102" s="75" t="str">
        <f t="shared" si="27"/>
        <v>...</v>
      </c>
      <c r="H102" s="75">
        <f t="shared" si="27"/>
        <v>-66</v>
      </c>
      <c r="I102" s="75">
        <f t="shared" si="27"/>
        <v>-5</v>
      </c>
      <c r="J102" s="75">
        <f t="shared" si="27"/>
        <v>0</v>
      </c>
      <c r="K102" s="75">
        <f t="shared" si="27"/>
        <v>-4</v>
      </c>
      <c r="L102" s="75">
        <f t="shared" si="27"/>
        <v>-10</v>
      </c>
      <c r="M102" s="75">
        <f t="shared" si="27"/>
        <v>-58</v>
      </c>
      <c r="N102" s="75">
        <f t="shared" si="27"/>
        <v>0</v>
      </c>
      <c r="O102" s="75">
        <f t="shared" si="27"/>
        <v>0</v>
      </c>
      <c r="P102" s="75">
        <f t="shared" si="27"/>
        <v>0</v>
      </c>
      <c r="Q102" s="75">
        <f t="shared" si="27"/>
        <v>0</v>
      </c>
    </row>
    <row r="103" spans="1:17" ht="17">
      <c r="A103" s="73" t="s">
        <v>30</v>
      </c>
      <c r="B103" s="58"/>
      <c r="C103" s="58" t="s">
        <v>96</v>
      </c>
      <c r="D103" s="58" t="s">
        <v>96</v>
      </c>
      <c r="E103" s="58" t="s">
        <v>96</v>
      </c>
      <c r="F103" s="75">
        <f t="shared" ref="F103:F112" si="28">IF(F49="...","...",F90-F49)</f>
        <v>0</v>
      </c>
      <c r="G103" s="75">
        <f t="shared" si="27"/>
        <v>0</v>
      </c>
      <c r="H103" s="75" t="str">
        <f t="shared" si="27"/>
        <v>...</v>
      </c>
      <c r="I103" s="75">
        <f t="shared" si="27"/>
        <v>0</v>
      </c>
      <c r="J103" s="75">
        <f t="shared" si="27"/>
        <v>0</v>
      </c>
      <c r="K103" s="75">
        <f t="shared" si="27"/>
        <v>0</v>
      </c>
      <c r="L103" s="75">
        <f t="shared" si="27"/>
        <v>0</v>
      </c>
      <c r="M103" s="75">
        <f t="shared" si="27"/>
        <v>0</v>
      </c>
      <c r="N103" s="75">
        <f t="shared" si="27"/>
        <v>0</v>
      </c>
      <c r="O103" s="75">
        <f t="shared" si="27"/>
        <v>0</v>
      </c>
      <c r="P103" s="75">
        <f t="shared" si="27"/>
        <v>0</v>
      </c>
      <c r="Q103" s="75">
        <f t="shared" si="27"/>
        <v>0</v>
      </c>
    </row>
    <row r="104" spans="1:17" ht="17">
      <c r="A104" s="73" t="s">
        <v>33</v>
      </c>
      <c r="B104" s="58"/>
      <c r="C104" s="58" t="s">
        <v>96</v>
      </c>
      <c r="D104" s="58" t="s">
        <v>96</v>
      </c>
      <c r="E104" s="58" t="s">
        <v>96</v>
      </c>
      <c r="F104" s="75">
        <f t="shared" si="28"/>
        <v>0</v>
      </c>
      <c r="G104" s="75">
        <f t="shared" si="27"/>
        <v>0</v>
      </c>
      <c r="H104" s="75">
        <f t="shared" si="27"/>
        <v>0</v>
      </c>
      <c r="I104" s="75" t="str">
        <f t="shared" si="27"/>
        <v>...</v>
      </c>
      <c r="J104" s="75">
        <f t="shared" si="27"/>
        <v>0</v>
      </c>
      <c r="K104" s="75">
        <f t="shared" si="27"/>
        <v>0</v>
      </c>
      <c r="L104" s="75">
        <f t="shared" si="27"/>
        <v>0</v>
      </c>
      <c r="M104" s="75">
        <f t="shared" si="27"/>
        <v>0</v>
      </c>
      <c r="N104" s="75">
        <f t="shared" si="27"/>
        <v>0</v>
      </c>
      <c r="O104" s="75">
        <f t="shared" si="27"/>
        <v>0</v>
      </c>
      <c r="P104" s="75">
        <f t="shared" si="27"/>
        <v>0</v>
      </c>
      <c r="Q104" s="75">
        <f t="shared" si="27"/>
        <v>0</v>
      </c>
    </row>
    <row r="105" spans="1:17" ht="17">
      <c r="A105" s="73" t="s">
        <v>34</v>
      </c>
      <c r="B105" s="58"/>
      <c r="C105" s="58" t="s">
        <v>96</v>
      </c>
      <c r="D105" s="58" t="s">
        <v>96</v>
      </c>
      <c r="E105" s="58" t="s">
        <v>96</v>
      </c>
      <c r="F105" s="75">
        <f t="shared" si="28"/>
        <v>0</v>
      </c>
      <c r="G105" s="75">
        <f t="shared" si="27"/>
        <v>0</v>
      </c>
      <c r="H105" s="75">
        <f t="shared" si="27"/>
        <v>0</v>
      </c>
      <c r="I105" s="75">
        <f t="shared" si="27"/>
        <v>0</v>
      </c>
      <c r="J105" s="75" t="str">
        <f t="shared" si="27"/>
        <v>...</v>
      </c>
      <c r="K105" s="75">
        <f t="shared" si="27"/>
        <v>0</v>
      </c>
      <c r="L105" s="75">
        <f t="shared" si="27"/>
        <v>0</v>
      </c>
      <c r="M105" s="75">
        <f t="shared" si="27"/>
        <v>0</v>
      </c>
      <c r="N105" s="75">
        <f t="shared" si="27"/>
        <v>0</v>
      </c>
      <c r="O105" s="75">
        <f t="shared" si="27"/>
        <v>0</v>
      </c>
      <c r="P105" s="75">
        <f t="shared" si="27"/>
        <v>0</v>
      </c>
      <c r="Q105" s="75">
        <f t="shared" si="27"/>
        <v>0</v>
      </c>
    </row>
    <row r="106" spans="1:17" ht="17">
      <c r="A106" s="73" t="s">
        <v>35</v>
      </c>
      <c r="B106" s="58"/>
      <c r="C106" s="58" t="s">
        <v>96</v>
      </c>
      <c r="D106" s="58" t="s">
        <v>96</v>
      </c>
      <c r="E106" s="58" t="s">
        <v>96</v>
      </c>
      <c r="F106" s="75">
        <f t="shared" si="28"/>
        <v>0</v>
      </c>
      <c r="G106" s="75">
        <f t="shared" si="27"/>
        <v>-16</v>
      </c>
      <c r="H106" s="75">
        <f t="shared" si="27"/>
        <v>-22</v>
      </c>
      <c r="I106" s="75">
        <f t="shared" si="27"/>
        <v>-20</v>
      </c>
      <c r="J106" s="75">
        <f t="shared" si="27"/>
        <v>-20</v>
      </c>
      <c r="K106" s="75" t="str">
        <f t="shared" si="27"/>
        <v>...</v>
      </c>
      <c r="L106" s="75">
        <f t="shared" si="27"/>
        <v>0</v>
      </c>
      <c r="M106" s="75">
        <f t="shared" si="27"/>
        <v>-20</v>
      </c>
      <c r="N106" s="75">
        <f t="shared" si="27"/>
        <v>-20</v>
      </c>
      <c r="O106" s="75">
        <f t="shared" si="27"/>
        <v>0</v>
      </c>
      <c r="P106" s="75">
        <f t="shared" si="27"/>
        <v>0</v>
      </c>
      <c r="Q106" s="75">
        <f t="shared" si="27"/>
        <v>0</v>
      </c>
    </row>
    <row r="107" spans="1:17" ht="17">
      <c r="A107" s="73" t="s">
        <v>36</v>
      </c>
      <c r="B107" s="58"/>
      <c r="C107" s="58" t="s">
        <v>96</v>
      </c>
      <c r="D107" s="58" t="s">
        <v>96</v>
      </c>
      <c r="E107" s="58" t="s">
        <v>96</v>
      </c>
      <c r="F107" s="75">
        <f t="shared" si="28"/>
        <v>0</v>
      </c>
      <c r="G107" s="75">
        <f t="shared" si="27"/>
        <v>-16</v>
      </c>
      <c r="H107" s="75">
        <f t="shared" si="27"/>
        <v>-22</v>
      </c>
      <c r="I107" s="75">
        <f t="shared" si="27"/>
        <v>-20</v>
      </c>
      <c r="J107" s="75">
        <f t="shared" si="27"/>
        <v>-20</v>
      </c>
      <c r="K107" s="75">
        <f t="shared" si="27"/>
        <v>0</v>
      </c>
      <c r="L107" s="75" t="str">
        <f t="shared" si="27"/>
        <v>...</v>
      </c>
      <c r="M107" s="75">
        <f t="shared" si="27"/>
        <v>-20</v>
      </c>
      <c r="N107" s="75">
        <f t="shared" si="27"/>
        <v>-20</v>
      </c>
      <c r="O107" s="75">
        <f t="shared" si="27"/>
        <v>0</v>
      </c>
      <c r="P107" s="75">
        <f t="shared" si="27"/>
        <v>0</v>
      </c>
      <c r="Q107" s="75">
        <f t="shared" si="27"/>
        <v>0</v>
      </c>
    </row>
    <row r="108" spans="1:17" ht="17">
      <c r="A108" s="73" t="s">
        <v>37</v>
      </c>
      <c r="B108" s="58"/>
      <c r="C108" s="58" t="s">
        <v>96</v>
      </c>
      <c r="D108" s="58" t="s">
        <v>96</v>
      </c>
      <c r="E108" s="58" t="s">
        <v>96</v>
      </c>
      <c r="F108" s="75">
        <f t="shared" si="28"/>
        <v>0</v>
      </c>
      <c r="G108" s="75">
        <f t="shared" si="27"/>
        <v>0</v>
      </c>
      <c r="H108" s="75">
        <f t="shared" si="27"/>
        <v>0</v>
      </c>
      <c r="I108" s="75">
        <f t="shared" si="27"/>
        <v>0</v>
      </c>
      <c r="J108" s="75">
        <f t="shared" si="27"/>
        <v>0</v>
      </c>
      <c r="K108" s="75">
        <f t="shared" si="27"/>
        <v>0</v>
      </c>
      <c r="L108" s="75">
        <f t="shared" si="27"/>
        <v>0</v>
      </c>
      <c r="M108" s="75" t="str">
        <f t="shared" si="27"/>
        <v>...</v>
      </c>
      <c r="N108" s="75">
        <f t="shared" si="27"/>
        <v>0</v>
      </c>
      <c r="O108" s="75">
        <f t="shared" si="27"/>
        <v>0</v>
      </c>
      <c r="P108" s="75">
        <f t="shared" si="27"/>
        <v>0</v>
      </c>
      <c r="Q108" s="75">
        <f t="shared" si="27"/>
        <v>0</v>
      </c>
    </row>
    <row r="109" spans="1:17">
      <c r="A109" s="74" t="s">
        <v>27</v>
      </c>
      <c r="B109" s="58"/>
      <c r="C109" s="58" t="s">
        <v>96</v>
      </c>
      <c r="D109" s="58" t="s">
        <v>96</v>
      </c>
      <c r="E109" s="58" t="s">
        <v>96</v>
      </c>
      <c r="F109" s="75">
        <f t="shared" si="28"/>
        <v>0</v>
      </c>
      <c r="G109" s="75">
        <f t="shared" si="27"/>
        <v>0</v>
      </c>
      <c r="H109" s="75">
        <f t="shared" si="27"/>
        <v>-40</v>
      </c>
      <c r="I109" s="75">
        <f t="shared" si="27"/>
        <v>-5</v>
      </c>
      <c r="J109" s="75">
        <f t="shared" si="27"/>
        <v>0</v>
      </c>
      <c r="K109" s="75">
        <f t="shared" si="27"/>
        <v>-2</v>
      </c>
      <c r="L109" s="75">
        <f t="shared" si="27"/>
        <v>-3</v>
      </c>
      <c r="M109" s="75">
        <f t="shared" si="27"/>
        <v>-26</v>
      </c>
      <c r="N109" s="75" t="str">
        <f t="shared" si="27"/>
        <v>...</v>
      </c>
      <c r="O109" s="75">
        <f t="shared" si="27"/>
        <v>0</v>
      </c>
      <c r="P109" s="75">
        <f t="shared" si="27"/>
        <v>0</v>
      </c>
      <c r="Q109" s="75">
        <f t="shared" si="27"/>
        <v>0</v>
      </c>
    </row>
    <row r="110" spans="1:17">
      <c r="A110" s="74" t="s">
        <v>32</v>
      </c>
      <c r="B110" s="58"/>
      <c r="C110" s="58" t="s">
        <v>96</v>
      </c>
      <c r="D110" s="58" t="s">
        <v>96</v>
      </c>
      <c r="E110" s="58" t="s">
        <v>96</v>
      </c>
      <c r="F110" s="75">
        <f t="shared" si="28"/>
        <v>0</v>
      </c>
      <c r="G110" s="75">
        <f t="shared" si="27"/>
        <v>0</v>
      </c>
      <c r="H110" s="75">
        <f t="shared" si="27"/>
        <v>0</v>
      </c>
      <c r="I110" s="75">
        <f t="shared" si="27"/>
        <v>0</v>
      </c>
      <c r="J110" s="75">
        <f t="shared" si="27"/>
        <v>0</v>
      </c>
      <c r="K110" s="75">
        <f t="shared" si="27"/>
        <v>0</v>
      </c>
      <c r="L110" s="75">
        <f t="shared" si="27"/>
        <v>0</v>
      </c>
      <c r="M110" s="75">
        <f t="shared" si="27"/>
        <v>0</v>
      </c>
      <c r="N110" s="75">
        <f t="shared" si="27"/>
        <v>0</v>
      </c>
      <c r="O110" s="75" t="str">
        <f t="shared" si="27"/>
        <v>...</v>
      </c>
      <c r="P110" s="75">
        <f t="shared" si="27"/>
        <v>0</v>
      </c>
      <c r="Q110" s="75">
        <f t="shared" si="27"/>
        <v>0</v>
      </c>
    </row>
    <row r="111" spans="1:17">
      <c r="A111" s="74" t="s">
        <v>28</v>
      </c>
      <c r="B111" s="58"/>
      <c r="C111" s="58" t="s">
        <v>96</v>
      </c>
      <c r="D111" s="58" t="s">
        <v>96</v>
      </c>
      <c r="E111" s="58" t="s">
        <v>96</v>
      </c>
      <c r="F111" s="75">
        <f t="shared" si="28"/>
        <v>-4</v>
      </c>
      <c r="G111" s="75">
        <f t="shared" si="27"/>
        <v>-16</v>
      </c>
      <c r="H111" s="75">
        <f t="shared" si="27"/>
        <v>-88</v>
      </c>
      <c r="I111" s="75">
        <f t="shared" si="27"/>
        <v>-25</v>
      </c>
      <c r="J111" s="75">
        <f t="shared" si="27"/>
        <v>-20</v>
      </c>
      <c r="K111" s="75">
        <f t="shared" si="27"/>
        <v>-4</v>
      </c>
      <c r="L111" s="75">
        <f t="shared" si="27"/>
        <v>-10</v>
      </c>
      <c r="M111" s="75">
        <f t="shared" si="27"/>
        <v>-78</v>
      </c>
      <c r="N111" s="75">
        <f t="shared" si="27"/>
        <v>-20</v>
      </c>
      <c r="O111" s="75">
        <f t="shared" si="27"/>
        <v>0</v>
      </c>
      <c r="P111" s="75" t="str">
        <f t="shared" si="27"/>
        <v>...</v>
      </c>
      <c r="Q111" s="75">
        <f t="shared" si="27"/>
        <v>0</v>
      </c>
    </row>
    <row r="112" spans="1:17">
      <c r="A112" s="74" t="s">
        <v>31</v>
      </c>
      <c r="B112" s="58"/>
      <c r="C112" s="58" t="s">
        <v>96</v>
      </c>
      <c r="D112" s="58" t="s">
        <v>96</v>
      </c>
      <c r="E112" s="58" t="s">
        <v>96</v>
      </c>
      <c r="F112" s="75">
        <f t="shared" si="28"/>
        <v>0</v>
      </c>
      <c r="G112" s="75">
        <f t="shared" si="27"/>
        <v>0</v>
      </c>
      <c r="H112" s="75">
        <f t="shared" si="27"/>
        <v>-40</v>
      </c>
      <c r="I112" s="75">
        <f t="shared" si="27"/>
        <v>-5</v>
      </c>
      <c r="J112" s="75">
        <f t="shared" si="27"/>
        <v>0</v>
      </c>
      <c r="K112" s="75">
        <f t="shared" si="27"/>
        <v>-2</v>
      </c>
      <c r="L112" s="75">
        <f t="shared" si="27"/>
        <v>-3</v>
      </c>
      <c r="M112" s="75">
        <f t="shared" si="27"/>
        <v>-26</v>
      </c>
      <c r="N112" s="75">
        <f t="shared" si="27"/>
        <v>0</v>
      </c>
      <c r="O112" s="75">
        <f t="shared" si="27"/>
        <v>0</v>
      </c>
      <c r="P112" s="75">
        <f t="shared" si="27"/>
        <v>0</v>
      </c>
      <c r="Q112" s="75" t="str">
        <f t="shared" si="27"/>
        <v>...</v>
      </c>
    </row>
    <row r="113" spans="1:19">
      <c r="A113" s="30" t="s">
        <v>225</v>
      </c>
    </row>
    <row r="114" spans="1:19">
      <c r="A114" s="2" t="s">
        <v>226</v>
      </c>
      <c r="B114" s="58" t="s">
        <v>96</v>
      </c>
      <c r="C114" s="58" t="s">
        <v>96</v>
      </c>
      <c r="D114" s="58" t="s">
        <v>96</v>
      </c>
      <c r="E114" s="58" t="s">
        <v>96</v>
      </c>
      <c r="F114" s="75"/>
      <c r="G114" s="75"/>
      <c r="H114" s="75"/>
      <c r="I114" s="75"/>
      <c r="J114" s="75"/>
      <c r="K114" s="75"/>
      <c r="L114" s="75"/>
      <c r="M114" s="75"/>
      <c r="N114" s="75"/>
      <c r="O114" s="75"/>
      <c r="P114" s="75"/>
      <c r="Q114" s="75"/>
      <c r="S114" s="2"/>
    </row>
    <row r="115" spans="1:19" ht="17">
      <c r="A115" s="73" t="s">
        <v>26</v>
      </c>
      <c r="B115" s="58" t="s">
        <v>96</v>
      </c>
      <c r="C115" s="58" t="s">
        <v>96</v>
      </c>
      <c r="D115" s="58" t="s">
        <v>96</v>
      </c>
      <c r="E115" s="58" t="s">
        <v>96</v>
      </c>
      <c r="F115" s="58"/>
      <c r="G115" s="58">
        <f t="shared" ref="G115:Q115" si="29">IF(AND(G47&gt;0,G88&lt;0),1,0)</f>
        <v>0</v>
      </c>
      <c r="H115" s="58">
        <f t="shared" si="29"/>
        <v>0</v>
      </c>
      <c r="I115" s="58">
        <f t="shared" si="29"/>
        <v>0</v>
      </c>
      <c r="J115" s="58">
        <f t="shared" si="29"/>
        <v>0</v>
      </c>
      <c r="K115" s="58">
        <f t="shared" si="29"/>
        <v>0</v>
      </c>
      <c r="L115" s="58">
        <f t="shared" si="29"/>
        <v>0</v>
      </c>
      <c r="M115" s="58">
        <f t="shared" si="29"/>
        <v>0</v>
      </c>
      <c r="N115" s="58">
        <f t="shared" si="29"/>
        <v>0</v>
      </c>
      <c r="O115" s="58">
        <f t="shared" si="29"/>
        <v>0</v>
      </c>
      <c r="P115" s="58">
        <f t="shared" si="29"/>
        <v>0</v>
      </c>
      <c r="Q115" s="58">
        <f t="shared" si="29"/>
        <v>0</v>
      </c>
    </row>
    <row r="116" spans="1:19" ht="17">
      <c r="A116" s="73" t="s">
        <v>29</v>
      </c>
      <c r="B116" s="58" t="s">
        <v>96</v>
      </c>
      <c r="C116" s="58" t="s">
        <v>96</v>
      </c>
      <c r="D116" s="58" t="s">
        <v>96</v>
      </c>
      <c r="E116" s="58" t="s">
        <v>96</v>
      </c>
      <c r="F116" s="58">
        <f t="shared" ref="F116:Q116" si="30">IF(AND(F48&gt;0,F89&lt;0),1,0)</f>
        <v>0</v>
      </c>
      <c r="G116" s="58"/>
      <c r="H116" s="58">
        <f t="shared" si="30"/>
        <v>0</v>
      </c>
      <c r="I116" s="58">
        <f t="shared" si="30"/>
        <v>0</v>
      </c>
      <c r="J116" s="58">
        <f t="shared" si="30"/>
        <v>0</v>
      </c>
      <c r="K116" s="58">
        <f t="shared" si="30"/>
        <v>0</v>
      </c>
      <c r="L116" s="58">
        <f t="shared" si="30"/>
        <v>0</v>
      </c>
      <c r="M116" s="58">
        <f t="shared" si="30"/>
        <v>0</v>
      </c>
      <c r="N116" s="58">
        <f t="shared" si="30"/>
        <v>0</v>
      </c>
      <c r="O116" s="58">
        <f t="shared" si="30"/>
        <v>0</v>
      </c>
      <c r="P116" s="58">
        <f t="shared" si="30"/>
        <v>0</v>
      </c>
      <c r="Q116" s="58">
        <f t="shared" si="30"/>
        <v>0</v>
      </c>
    </row>
    <row r="117" spans="1:19" ht="17">
      <c r="A117" s="73" t="s">
        <v>30</v>
      </c>
      <c r="B117" s="58" t="s">
        <v>96</v>
      </c>
      <c r="C117" s="58" t="s">
        <v>96</v>
      </c>
      <c r="D117" s="58" t="s">
        <v>96</v>
      </c>
      <c r="E117" s="58" t="s">
        <v>96</v>
      </c>
      <c r="F117" s="58">
        <f t="shared" ref="F117:Q117" si="31">IF(AND(F49&gt;0,F90&lt;0),1,0)</f>
        <v>0</v>
      </c>
      <c r="G117" s="58">
        <f t="shared" si="31"/>
        <v>0</v>
      </c>
      <c r="H117" s="58"/>
      <c r="I117" s="58">
        <f t="shared" si="31"/>
        <v>0</v>
      </c>
      <c r="J117" s="58">
        <f t="shared" si="31"/>
        <v>0</v>
      </c>
      <c r="K117" s="58">
        <f t="shared" si="31"/>
        <v>0</v>
      </c>
      <c r="L117" s="58">
        <f t="shared" si="31"/>
        <v>0</v>
      </c>
      <c r="M117" s="58">
        <f t="shared" si="31"/>
        <v>0</v>
      </c>
      <c r="N117" s="58">
        <f t="shared" si="31"/>
        <v>0</v>
      </c>
      <c r="O117" s="58">
        <f t="shared" si="31"/>
        <v>0</v>
      </c>
      <c r="P117" s="58">
        <f t="shared" si="31"/>
        <v>0</v>
      </c>
      <c r="Q117" s="58">
        <f t="shared" si="31"/>
        <v>0</v>
      </c>
    </row>
    <row r="118" spans="1:19" ht="17">
      <c r="A118" s="73" t="s">
        <v>33</v>
      </c>
      <c r="B118" s="58" t="s">
        <v>96</v>
      </c>
      <c r="C118" s="58" t="s">
        <v>96</v>
      </c>
      <c r="D118" s="58" t="s">
        <v>96</v>
      </c>
      <c r="E118" s="58" t="s">
        <v>96</v>
      </c>
      <c r="F118" s="58">
        <f t="shared" ref="F118:Q118" si="32">IF(AND(F50&gt;0,F91&lt;0),1,0)</f>
        <v>0</v>
      </c>
      <c r="G118" s="58">
        <f t="shared" si="32"/>
        <v>0</v>
      </c>
      <c r="H118" s="58">
        <f t="shared" si="32"/>
        <v>0</v>
      </c>
      <c r="I118" s="58"/>
      <c r="J118" s="58">
        <f t="shared" si="32"/>
        <v>0</v>
      </c>
      <c r="K118" s="58">
        <f t="shared" si="32"/>
        <v>0</v>
      </c>
      <c r="L118" s="58">
        <f t="shared" si="32"/>
        <v>0</v>
      </c>
      <c r="M118" s="58">
        <f t="shared" si="32"/>
        <v>0</v>
      </c>
      <c r="N118" s="58">
        <f t="shared" si="32"/>
        <v>0</v>
      </c>
      <c r="O118" s="58">
        <f t="shared" si="32"/>
        <v>0</v>
      </c>
      <c r="P118" s="58">
        <f t="shared" si="32"/>
        <v>0</v>
      </c>
      <c r="Q118" s="58">
        <f t="shared" si="32"/>
        <v>0</v>
      </c>
    </row>
    <row r="119" spans="1:19" ht="17">
      <c r="A119" s="73" t="s">
        <v>34</v>
      </c>
      <c r="B119" s="58" t="s">
        <v>96</v>
      </c>
      <c r="C119" s="58" t="s">
        <v>96</v>
      </c>
      <c r="D119" s="58" t="s">
        <v>96</v>
      </c>
      <c r="E119" s="58" t="s">
        <v>96</v>
      </c>
      <c r="F119" s="58">
        <f t="shared" ref="F119:Q119" si="33">IF(AND(F51&gt;0,F92&lt;0),1,0)</f>
        <v>0</v>
      </c>
      <c r="G119" s="58">
        <f t="shared" si="33"/>
        <v>0</v>
      </c>
      <c r="H119" s="58">
        <f t="shared" si="33"/>
        <v>0</v>
      </c>
      <c r="I119" s="58">
        <f t="shared" si="33"/>
        <v>0</v>
      </c>
      <c r="J119" s="58"/>
      <c r="K119" s="58">
        <f t="shared" si="33"/>
        <v>0</v>
      </c>
      <c r="L119" s="58">
        <f t="shared" si="33"/>
        <v>0</v>
      </c>
      <c r="M119" s="58">
        <f t="shared" si="33"/>
        <v>0</v>
      </c>
      <c r="N119" s="58">
        <f t="shared" si="33"/>
        <v>0</v>
      </c>
      <c r="O119" s="58">
        <f t="shared" si="33"/>
        <v>0</v>
      </c>
      <c r="P119" s="58">
        <f t="shared" si="33"/>
        <v>0</v>
      </c>
      <c r="Q119" s="58">
        <f t="shared" si="33"/>
        <v>0</v>
      </c>
    </row>
    <row r="120" spans="1:19" ht="17">
      <c r="A120" s="73" t="s">
        <v>35</v>
      </c>
      <c r="B120" s="58" t="s">
        <v>96</v>
      </c>
      <c r="C120" s="58" t="s">
        <v>96</v>
      </c>
      <c r="D120" s="58" t="s">
        <v>96</v>
      </c>
      <c r="E120" s="58" t="s">
        <v>96</v>
      </c>
      <c r="F120" s="58">
        <f t="shared" ref="F120:Q120" si="34">IF(AND(F52&gt;0,F93&lt;0),1,0)</f>
        <v>0</v>
      </c>
      <c r="G120" s="58">
        <f t="shared" si="34"/>
        <v>0</v>
      </c>
      <c r="H120" s="58">
        <f t="shared" si="34"/>
        <v>0</v>
      </c>
      <c r="I120" s="58">
        <f t="shared" si="34"/>
        <v>0</v>
      </c>
      <c r="J120" s="58">
        <f t="shared" si="34"/>
        <v>1</v>
      </c>
      <c r="K120" s="58"/>
      <c r="L120" s="58">
        <f t="shared" si="34"/>
        <v>0</v>
      </c>
      <c r="M120" s="58">
        <f t="shared" si="34"/>
        <v>0</v>
      </c>
      <c r="N120" s="58">
        <f t="shared" si="34"/>
        <v>0</v>
      </c>
      <c r="O120" s="58">
        <f t="shared" si="34"/>
        <v>0</v>
      </c>
      <c r="P120" s="58">
        <f t="shared" si="34"/>
        <v>0</v>
      </c>
      <c r="Q120" s="58">
        <f t="shared" si="34"/>
        <v>0</v>
      </c>
    </row>
    <row r="121" spans="1:19" ht="17">
      <c r="A121" s="73" t="s">
        <v>36</v>
      </c>
      <c r="B121" s="58" t="s">
        <v>96</v>
      </c>
      <c r="C121" s="58" t="s">
        <v>96</v>
      </c>
      <c r="D121" s="58" t="s">
        <v>96</v>
      </c>
      <c r="E121" s="58" t="s">
        <v>96</v>
      </c>
      <c r="F121" s="58">
        <f t="shared" ref="F121:Q121" si="35">IF(AND(F53&gt;0,F94&lt;0),1,0)</f>
        <v>0</v>
      </c>
      <c r="G121" s="58">
        <f t="shared" si="35"/>
        <v>0</v>
      </c>
      <c r="H121" s="58">
        <f t="shared" si="35"/>
        <v>0</v>
      </c>
      <c r="I121" s="58">
        <f t="shared" si="35"/>
        <v>0</v>
      </c>
      <c r="J121" s="58">
        <f t="shared" si="35"/>
        <v>1</v>
      </c>
      <c r="K121" s="58">
        <f t="shared" si="35"/>
        <v>0</v>
      </c>
      <c r="L121" s="58"/>
      <c r="M121" s="58">
        <f t="shared" si="35"/>
        <v>0</v>
      </c>
      <c r="N121" s="58">
        <f t="shared" si="35"/>
        <v>0</v>
      </c>
      <c r="O121" s="58">
        <f t="shared" si="35"/>
        <v>0</v>
      </c>
      <c r="P121" s="58">
        <f t="shared" si="35"/>
        <v>0</v>
      </c>
      <c r="Q121" s="58">
        <f t="shared" si="35"/>
        <v>0</v>
      </c>
    </row>
    <row r="122" spans="1:19" ht="17">
      <c r="A122" s="73" t="s">
        <v>37</v>
      </c>
      <c r="B122" s="58" t="s">
        <v>96</v>
      </c>
      <c r="C122" s="58" t="s">
        <v>96</v>
      </c>
      <c r="D122" s="58" t="s">
        <v>96</v>
      </c>
      <c r="E122" s="58" t="s">
        <v>96</v>
      </c>
      <c r="F122" s="58">
        <f t="shared" ref="F122:Q122" si="36">IF(AND(F54&gt;0,F95&lt;0),1,0)</f>
        <v>0</v>
      </c>
      <c r="G122" s="58">
        <f t="shared" si="36"/>
        <v>0</v>
      </c>
      <c r="H122" s="58">
        <f t="shared" si="36"/>
        <v>0</v>
      </c>
      <c r="I122" s="58">
        <f t="shared" si="36"/>
        <v>0</v>
      </c>
      <c r="J122" s="58">
        <f t="shared" si="36"/>
        <v>0</v>
      </c>
      <c r="K122" s="58">
        <f t="shared" si="36"/>
        <v>0</v>
      </c>
      <c r="L122" s="58">
        <f t="shared" si="36"/>
        <v>0</v>
      </c>
      <c r="M122" s="58"/>
      <c r="N122" s="58">
        <f t="shared" si="36"/>
        <v>0</v>
      </c>
      <c r="O122" s="58">
        <f t="shared" si="36"/>
        <v>0</v>
      </c>
      <c r="P122" s="58">
        <f t="shared" si="36"/>
        <v>0</v>
      </c>
      <c r="Q122" s="58">
        <f t="shared" si="36"/>
        <v>0</v>
      </c>
    </row>
    <row r="123" spans="1:19">
      <c r="A123" s="74" t="s">
        <v>27</v>
      </c>
      <c r="B123" s="58" t="s">
        <v>96</v>
      </c>
      <c r="C123" s="58" t="s">
        <v>96</v>
      </c>
      <c r="D123" s="58" t="s">
        <v>96</v>
      </c>
      <c r="E123" s="58" t="s">
        <v>96</v>
      </c>
      <c r="F123" s="58">
        <f t="shared" ref="F123:Q123" si="37">IF(AND(F55&gt;0,F96&lt;0),1,0)</f>
        <v>0</v>
      </c>
      <c r="G123" s="58">
        <f t="shared" si="37"/>
        <v>0</v>
      </c>
      <c r="H123" s="58">
        <f t="shared" si="37"/>
        <v>0</v>
      </c>
      <c r="I123" s="58">
        <f t="shared" si="37"/>
        <v>0</v>
      </c>
      <c r="J123" s="58">
        <f t="shared" si="37"/>
        <v>0</v>
      </c>
      <c r="K123" s="58">
        <f t="shared" si="37"/>
        <v>0</v>
      </c>
      <c r="L123" s="58">
        <f t="shared" si="37"/>
        <v>0</v>
      </c>
      <c r="M123" s="58">
        <f t="shared" si="37"/>
        <v>0</v>
      </c>
      <c r="N123" s="58"/>
      <c r="O123" s="58">
        <f t="shared" si="37"/>
        <v>0</v>
      </c>
      <c r="P123" s="58">
        <f t="shared" si="37"/>
        <v>0</v>
      </c>
      <c r="Q123" s="58">
        <f t="shared" si="37"/>
        <v>0</v>
      </c>
    </row>
    <row r="124" spans="1:19">
      <c r="A124" s="74" t="s">
        <v>32</v>
      </c>
      <c r="B124" s="58" t="s">
        <v>96</v>
      </c>
      <c r="C124" s="58" t="s">
        <v>96</v>
      </c>
      <c r="D124" s="58" t="s">
        <v>96</v>
      </c>
      <c r="E124" s="58" t="s">
        <v>96</v>
      </c>
      <c r="F124" s="58">
        <f t="shared" ref="F124:Q124" si="38">IF(AND(F56&gt;0,F97&lt;0),1,0)</f>
        <v>0</v>
      </c>
      <c r="G124" s="58">
        <f t="shared" si="38"/>
        <v>0</v>
      </c>
      <c r="H124" s="58">
        <f t="shared" si="38"/>
        <v>0</v>
      </c>
      <c r="I124" s="58">
        <f t="shared" si="38"/>
        <v>0</v>
      </c>
      <c r="J124" s="58">
        <f t="shared" si="38"/>
        <v>0</v>
      </c>
      <c r="K124" s="58">
        <f t="shared" si="38"/>
        <v>0</v>
      </c>
      <c r="L124" s="58">
        <f t="shared" si="38"/>
        <v>0</v>
      </c>
      <c r="M124" s="58">
        <f t="shared" si="38"/>
        <v>0</v>
      </c>
      <c r="N124" s="58">
        <f t="shared" si="38"/>
        <v>0</v>
      </c>
      <c r="O124" s="58"/>
      <c r="P124" s="58">
        <f t="shared" si="38"/>
        <v>0</v>
      </c>
      <c r="Q124" s="58">
        <f t="shared" si="38"/>
        <v>0</v>
      </c>
    </row>
    <row r="125" spans="1:19">
      <c r="A125" s="74" t="s">
        <v>28</v>
      </c>
      <c r="B125" s="58" t="s">
        <v>96</v>
      </c>
      <c r="C125" s="58" t="s">
        <v>96</v>
      </c>
      <c r="D125" s="58" t="s">
        <v>96</v>
      </c>
      <c r="E125" s="58" t="s">
        <v>96</v>
      </c>
      <c r="F125" s="58">
        <f t="shared" ref="F125:Q125" si="39">IF(AND(F57&gt;0,F98&lt;0),1,0)</f>
        <v>0</v>
      </c>
      <c r="G125" s="58">
        <f t="shared" si="39"/>
        <v>0</v>
      </c>
      <c r="H125" s="58">
        <f t="shared" si="39"/>
        <v>0</v>
      </c>
      <c r="I125" s="58">
        <f t="shared" si="39"/>
        <v>0</v>
      </c>
      <c r="J125" s="58">
        <f t="shared" si="39"/>
        <v>0</v>
      </c>
      <c r="K125" s="58">
        <f t="shared" si="39"/>
        <v>0</v>
      </c>
      <c r="L125" s="58">
        <f t="shared" si="39"/>
        <v>0</v>
      </c>
      <c r="M125" s="58">
        <f t="shared" si="39"/>
        <v>0</v>
      </c>
      <c r="N125" s="58">
        <f t="shared" si="39"/>
        <v>0</v>
      </c>
      <c r="O125" s="58">
        <f t="shared" si="39"/>
        <v>0</v>
      </c>
      <c r="P125" s="58"/>
      <c r="Q125" s="58">
        <f t="shared" si="39"/>
        <v>0</v>
      </c>
    </row>
    <row r="126" spans="1:19">
      <c r="A126" s="74" t="s">
        <v>31</v>
      </c>
      <c r="B126" s="58" t="s">
        <v>96</v>
      </c>
      <c r="C126" s="58" t="s">
        <v>96</v>
      </c>
      <c r="D126" s="58" t="s">
        <v>96</v>
      </c>
      <c r="E126" s="58" t="s">
        <v>96</v>
      </c>
      <c r="F126" s="58">
        <f t="shared" ref="F126:P126" si="40">IF(AND(F58&gt;0,F99&lt;0),1,0)</f>
        <v>0</v>
      </c>
      <c r="G126" s="58">
        <f t="shared" si="40"/>
        <v>0</v>
      </c>
      <c r="H126" s="58">
        <f t="shared" si="40"/>
        <v>0</v>
      </c>
      <c r="I126" s="58">
        <f t="shared" si="40"/>
        <v>0</v>
      </c>
      <c r="J126" s="58">
        <f t="shared" si="40"/>
        <v>0</v>
      </c>
      <c r="K126" s="58">
        <f t="shared" si="40"/>
        <v>0</v>
      </c>
      <c r="L126" s="58">
        <f t="shared" si="40"/>
        <v>0</v>
      </c>
      <c r="M126" s="58">
        <f t="shared" si="40"/>
        <v>0</v>
      </c>
      <c r="N126" s="58">
        <f t="shared" si="40"/>
        <v>0</v>
      </c>
      <c r="O126" s="58">
        <f t="shared" si="40"/>
        <v>0</v>
      </c>
      <c r="P126" s="58">
        <f t="shared" si="40"/>
        <v>0</v>
      </c>
      <c r="Q126" s="58"/>
    </row>
    <row r="127" spans="1:19">
      <c r="A127" s="74"/>
      <c r="B127" s="58"/>
      <c r="C127" s="58"/>
      <c r="D127" s="58"/>
      <c r="E127" s="58"/>
      <c r="F127" s="58"/>
      <c r="G127" s="58"/>
      <c r="H127" s="58"/>
      <c r="I127" s="58"/>
      <c r="J127" s="58"/>
      <c r="K127" s="58"/>
      <c r="L127" s="58"/>
      <c r="M127" s="58"/>
      <c r="N127" s="58"/>
      <c r="O127" s="58"/>
      <c r="P127" s="58"/>
      <c r="Q127" s="58"/>
    </row>
    <row r="128" spans="1:19">
      <c r="A128" s="2" t="s">
        <v>234</v>
      </c>
      <c r="B128" s="58"/>
      <c r="C128" s="58"/>
      <c r="D128" s="58"/>
      <c r="E128" s="58"/>
      <c r="F128" s="58"/>
      <c r="G128" s="58"/>
      <c r="H128" s="58"/>
      <c r="I128" s="58"/>
      <c r="J128" s="58"/>
      <c r="K128" s="58"/>
      <c r="L128" s="58"/>
      <c r="M128" s="58"/>
      <c r="N128" s="58"/>
      <c r="O128" s="58"/>
      <c r="P128" s="58"/>
      <c r="Q128" s="58"/>
    </row>
    <row r="129" spans="1:19" ht="17">
      <c r="A129" s="73" t="s">
        <v>26</v>
      </c>
      <c r="B129" s="75">
        <f>SUM(C129:E129)</f>
        <v>4518.0775159969635</v>
      </c>
      <c r="C129" s="75">
        <f>SUM(F129:H129)</f>
        <v>316.14252876730961</v>
      </c>
      <c r="D129" s="75">
        <f>SUM(I129:M129)</f>
        <v>1099.0041642389833</v>
      </c>
      <c r="E129" s="75">
        <f>SUM(N129:Q129)</f>
        <v>3102.930822990671</v>
      </c>
      <c r="F129" s="75">
        <f>F88</f>
        <v>0</v>
      </c>
      <c r="G129" s="75">
        <f t="shared" ref="G129:Q129" si="41">G88</f>
        <v>49.554295366735005</v>
      </c>
      <c r="H129" s="75">
        <f t="shared" si="41"/>
        <v>266.58823340057461</v>
      </c>
      <c r="I129" s="75">
        <f t="shared" si="41"/>
        <v>12.278013959775762</v>
      </c>
      <c r="J129" s="75">
        <f t="shared" si="41"/>
        <v>-27.54956493507666</v>
      </c>
      <c r="K129" s="75">
        <f t="shared" si="41"/>
        <v>524.80622271803077</v>
      </c>
      <c r="L129" s="75">
        <f t="shared" si="41"/>
        <v>53.145302614260117</v>
      </c>
      <c r="M129" s="75">
        <f t="shared" si="41"/>
        <v>536.32418988199333</v>
      </c>
      <c r="N129" s="75">
        <f t="shared" si="41"/>
        <v>1643.0387901601134</v>
      </c>
      <c r="O129" s="75">
        <f t="shared" si="41"/>
        <v>1714.6382806229649</v>
      </c>
      <c r="P129" s="75">
        <f t="shared" si="41"/>
        <v>283.23607978969812</v>
      </c>
      <c r="Q129" s="75">
        <f t="shared" si="41"/>
        <v>-537.98232758210565</v>
      </c>
    </row>
    <row r="130" spans="1:19" ht="17">
      <c r="A130" s="73" t="s">
        <v>29</v>
      </c>
      <c r="B130" s="75">
        <f t="shared" ref="B130:B140" si="42">SUM(C130:E130)</f>
        <v>4807.6537648962349</v>
      </c>
      <c r="C130" s="75">
        <f t="shared" ref="C130:C140" si="43">SUM(F130:H130)</f>
        <v>296.9794500844755</v>
      </c>
      <c r="D130" s="75">
        <f t="shared" ref="D130:D140" si="44">SUM(I130:M130)</f>
        <v>919.00416423898332</v>
      </c>
      <c r="E130" s="75">
        <f t="shared" ref="E130:E140" si="45">SUM(N130:Q130)</f>
        <v>3591.6701505727765</v>
      </c>
      <c r="F130" s="75">
        <f t="shared" ref="F130:Q130" si="46">F89</f>
        <v>32.391216683900893</v>
      </c>
      <c r="G130" s="75">
        <f t="shared" si="46"/>
        <v>0</v>
      </c>
      <c r="H130" s="75">
        <f t="shared" si="46"/>
        <v>264.58823340057461</v>
      </c>
      <c r="I130" s="75">
        <f t="shared" si="46"/>
        <v>-37.721986040224238</v>
      </c>
      <c r="J130" s="75">
        <f t="shared" si="46"/>
        <v>-52.54956493507666</v>
      </c>
      <c r="K130" s="75">
        <f t="shared" si="46"/>
        <v>462.80622271803077</v>
      </c>
      <c r="L130" s="75">
        <f t="shared" si="46"/>
        <v>30.145302614260117</v>
      </c>
      <c r="M130" s="75">
        <f t="shared" si="46"/>
        <v>516.32418988199333</v>
      </c>
      <c r="N130" s="75">
        <f t="shared" si="46"/>
        <v>1641.0387901601134</v>
      </c>
      <c r="O130" s="75">
        <f t="shared" si="46"/>
        <v>1666.6382806229649</v>
      </c>
      <c r="P130" s="75">
        <f t="shared" si="46"/>
        <v>283.23607978969812</v>
      </c>
      <c r="Q130" s="75">
        <f t="shared" si="46"/>
        <v>0.75700000000000001</v>
      </c>
    </row>
    <row r="131" spans="1:19" ht="17">
      <c r="A131" s="73" t="s">
        <v>30</v>
      </c>
      <c r="B131" s="75">
        <f t="shared" si="42"/>
        <v>4994.6198268623957</v>
      </c>
      <c r="C131" s="75">
        <f t="shared" si="43"/>
        <v>146.9455120506359</v>
      </c>
      <c r="D131" s="75">
        <f t="shared" si="44"/>
        <v>1186.0041642389833</v>
      </c>
      <c r="E131" s="75">
        <f t="shared" si="45"/>
        <v>3661.6701505727765</v>
      </c>
      <c r="F131" s="75">
        <f t="shared" ref="F131:Q131" si="47">F90</f>
        <v>81.391216683900893</v>
      </c>
      <c r="G131" s="75">
        <f t="shared" si="47"/>
        <v>65.554295366735005</v>
      </c>
      <c r="H131" s="75">
        <f t="shared" si="47"/>
        <v>0</v>
      </c>
      <c r="I131" s="75">
        <f t="shared" si="47"/>
        <v>37.278013959775762</v>
      </c>
      <c r="J131" s="75">
        <f t="shared" si="47"/>
        <v>2.4504350649233402</v>
      </c>
      <c r="K131" s="75">
        <f t="shared" si="47"/>
        <v>526.80622271803077</v>
      </c>
      <c r="L131" s="75">
        <f t="shared" si="47"/>
        <v>56.145302614260117</v>
      </c>
      <c r="M131" s="75">
        <f t="shared" si="47"/>
        <v>563.32418988199333</v>
      </c>
      <c r="N131" s="75">
        <f t="shared" si="47"/>
        <v>1663.0387901601134</v>
      </c>
      <c r="O131" s="75">
        <f t="shared" si="47"/>
        <v>1714.6382806229649</v>
      </c>
      <c r="P131" s="75">
        <f t="shared" si="47"/>
        <v>283.23607978969812</v>
      </c>
      <c r="Q131" s="75">
        <f t="shared" si="47"/>
        <v>0.75700000000000001</v>
      </c>
    </row>
    <row r="132" spans="1:19" ht="17">
      <c r="A132" s="73" t="s">
        <v>33</v>
      </c>
      <c r="B132" s="75">
        <f t="shared" si="42"/>
        <v>5277.9300463031941</v>
      </c>
      <c r="C132" s="75">
        <f t="shared" si="43"/>
        <v>477.53374545121051</v>
      </c>
      <c r="D132" s="75">
        <f t="shared" si="44"/>
        <v>1138.7261502792076</v>
      </c>
      <c r="E132" s="75">
        <f t="shared" si="45"/>
        <v>3661.6701505727765</v>
      </c>
      <c r="F132" s="75">
        <f t="shared" ref="F132:Q132" si="48">F91</f>
        <v>77.391216683900893</v>
      </c>
      <c r="G132" s="75">
        <f t="shared" si="48"/>
        <v>65.554295366735005</v>
      </c>
      <c r="H132" s="75">
        <f t="shared" si="48"/>
        <v>334.58823340057461</v>
      </c>
      <c r="I132" s="75">
        <f t="shared" si="48"/>
        <v>0</v>
      </c>
      <c r="J132" s="75">
        <f t="shared" si="48"/>
        <v>2.4504350649233402</v>
      </c>
      <c r="K132" s="75">
        <f t="shared" si="48"/>
        <v>524.80622271803077</v>
      </c>
      <c r="L132" s="75">
        <f t="shared" si="48"/>
        <v>49.145302614260117</v>
      </c>
      <c r="M132" s="75">
        <f t="shared" si="48"/>
        <v>562.32418988199333</v>
      </c>
      <c r="N132" s="75">
        <f t="shared" si="48"/>
        <v>1663.0387901601134</v>
      </c>
      <c r="O132" s="75">
        <f t="shared" si="48"/>
        <v>1714.6382806229649</v>
      </c>
      <c r="P132" s="75">
        <f t="shared" si="48"/>
        <v>283.23607978969812</v>
      </c>
      <c r="Q132" s="75">
        <f t="shared" si="48"/>
        <v>0.75700000000000001</v>
      </c>
    </row>
    <row r="133" spans="1:19" ht="17">
      <c r="A133" s="73" t="s">
        <v>34</v>
      </c>
      <c r="B133" s="75">
        <f t="shared" si="42"/>
        <v>5307.7576251980472</v>
      </c>
      <c r="C133" s="75">
        <f t="shared" si="43"/>
        <v>467.53374545121051</v>
      </c>
      <c r="D133" s="75">
        <f t="shared" si="44"/>
        <v>1178.55372917406</v>
      </c>
      <c r="E133" s="75">
        <f t="shared" si="45"/>
        <v>3661.6701505727765</v>
      </c>
      <c r="F133" s="75">
        <f t="shared" ref="F133:Q133" si="49">F92</f>
        <v>81.391216683900893</v>
      </c>
      <c r="G133" s="75">
        <f t="shared" si="49"/>
        <v>65.554295366735005</v>
      </c>
      <c r="H133" s="75">
        <f t="shared" si="49"/>
        <v>320.58823340057461</v>
      </c>
      <c r="I133" s="75">
        <f t="shared" si="49"/>
        <v>32.278013959775762</v>
      </c>
      <c r="J133" s="75">
        <f t="shared" si="49"/>
        <v>0</v>
      </c>
      <c r="K133" s="75">
        <f t="shared" si="49"/>
        <v>524.80622271803077</v>
      </c>
      <c r="L133" s="75">
        <f t="shared" si="49"/>
        <v>53.145302614260117</v>
      </c>
      <c r="M133" s="75">
        <f t="shared" si="49"/>
        <v>568.32418988199333</v>
      </c>
      <c r="N133" s="75">
        <f t="shared" si="49"/>
        <v>1663.0387901601134</v>
      </c>
      <c r="O133" s="75">
        <f t="shared" si="49"/>
        <v>1714.6382806229649</v>
      </c>
      <c r="P133" s="75">
        <f t="shared" si="49"/>
        <v>283.23607978969812</v>
      </c>
      <c r="Q133" s="75">
        <f t="shared" si="49"/>
        <v>0.75700000000000001</v>
      </c>
    </row>
    <row r="134" spans="1:19" ht="17">
      <c r="A134" s="73" t="s">
        <v>35</v>
      </c>
      <c r="B134" s="75">
        <f t="shared" si="42"/>
        <v>3682.7759578514197</v>
      </c>
      <c r="C134" s="75">
        <f t="shared" si="43"/>
        <v>446.53374545121051</v>
      </c>
      <c r="D134" s="75">
        <f t="shared" si="44"/>
        <v>601.19794152095255</v>
      </c>
      <c r="E134" s="75">
        <f t="shared" si="45"/>
        <v>2635.0442708792566</v>
      </c>
      <c r="F134" s="75">
        <f t="shared" ref="F134:Q134" si="50">F93</f>
        <v>68.391216683900893</v>
      </c>
      <c r="G134" s="75">
        <f t="shared" si="50"/>
        <v>49.554295366735005</v>
      </c>
      <c r="H134" s="75">
        <f t="shared" si="50"/>
        <v>328.58823340057461</v>
      </c>
      <c r="I134" s="75">
        <f t="shared" si="50"/>
        <v>17.278013959775762</v>
      </c>
      <c r="J134" s="75">
        <f t="shared" si="50"/>
        <v>-17.54956493507666</v>
      </c>
      <c r="K134" s="75">
        <f t="shared" si="50"/>
        <v>0</v>
      </c>
      <c r="L134" s="75">
        <f t="shared" si="50"/>
        <v>56.145302614260117</v>
      </c>
      <c r="M134" s="75">
        <f t="shared" si="50"/>
        <v>545.32418988199333</v>
      </c>
      <c r="N134" s="75">
        <f t="shared" si="50"/>
        <v>1623.0387901601134</v>
      </c>
      <c r="O134" s="75">
        <f t="shared" si="50"/>
        <v>1714.6382806229649</v>
      </c>
      <c r="P134" s="75">
        <f t="shared" si="50"/>
        <v>283.23607978969812</v>
      </c>
      <c r="Q134" s="75">
        <f t="shared" si="50"/>
        <v>-985.86887969351983</v>
      </c>
    </row>
    <row r="135" spans="1:19" ht="17">
      <c r="A135" s="73" t="s">
        <v>36</v>
      </c>
      <c r="B135" s="75">
        <f t="shared" si="42"/>
        <v>4531.2406963681742</v>
      </c>
      <c r="C135" s="75">
        <f t="shared" si="43"/>
        <v>446.53374545121051</v>
      </c>
      <c r="D135" s="75">
        <f t="shared" si="44"/>
        <v>1077.8588616247232</v>
      </c>
      <c r="E135" s="75">
        <f t="shared" si="45"/>
        <v>3006.8480892922407</v>
      </c>
      <c r="F135" s="75">
        <f t="shared" ref="F135:Q135" si="51">F94</f>
        <v>72.391216683900893</v>
      </c>
      <c r="G135" s="75">
        <f t="shared" si="51"/>
        <v>49.554295366735005</v>
      </c>
      <c r="H135" s="75">
        <f t="shared" si="51"/>
        <v>324.58823340057461</v>
      </c>
      <c r="I135" s="75">
        <f t="shared" si="51"/>
        <v>17.278013959775762</v>
      </c>
      <c r="J135" s="75">
        <f t="shared" si="51"/>
        <v>-17.54956493507666</v>
      </c>
      <c r="K135" s="75">
        <f t="shared" si="51"/>
        <v>523.80622271803077</v>
      </c>
      <c r="L135" s="75">
        <f t="shared" si="51"/>
        <v>0</v>
      </c>
      <c r="M135" s="75">
        <f t="shared" si="51"/>
        <v>554.32418988199333</v>
      </c>
      <c r="N135" s="75">
        <f t="shared" si="51"/>
        <v>1624.0387901601134</v>
      </c>
      <c r="O135" s="75">
        <f t="shared" si="51"/>
        <v>1714.6382806229649</v>
      </c>
      <c r="P135" s="75">
        <f t="shared" si="51"/>
        <v>283.23607978969812</v>
      </c>
      <c r="Q135" s="75">
        <f t="shared" si="51"/>
        <v>-615.06506128053582</v>
      </c>
    </row>
    <row r="136" spans="1:19" ht="17">
      <c r="A136" s="73" t="s">
        <v>37</v>
      </c>
      <c r="B136" s="75">
        <f t="shared" si="42"/>
        <v>4791.883870380977</v>
      </c>
      <c r="C136" s="75">
        <f t="shared" si="43"/>
        <v>507.53374545121051</v>
      </c>
      <c r="D136" s="75">
        <f t="shared" si="44"/>
        <v>622.67997435698999</v>
      </c>
      <c r="E136" s="75">
        <f t="shared" si="45"/>
        <v>3661.6701505727765</v>
      </c>
      <c r="F136" s="75">
        <f t="shared" ref="F136:Q136" si="52">F95</f>
        <v>81.391216683900893</v>
      </c>
      <c r="G136" s="75">
        <f t="shared" si="52"/>
        <v>65.554295366735005</v>
      </c>
      <c r="H136" s="75">
        <f t="shared" si="52"/>
        <v>360.58823340057461</v>
      </c>
      <c r="I136" s="75">
        <f t="shared" si="52"/>
        <v>37.278013959775762</v>
      </c>
      <c r="J136" s="75">
        <f t="shared" si="52"/>
        <v>2.4504350649233402</v>
      </c>
      <c r="K136" s="75">
        <f t="shared" si="52"/>
        <v>526.80622271803077</v>
      </c>
      <c r="L136" s="75">
        <f t="shared" si="52"/>
        <v>56.145302614260117</v>
      </c>
      <c r="M136" s="75">
        <f t="shared" si="52"/>
        <v>0</v>
      </c>
      <c r="N136" s="75">
        <f t="shared" si="52"/>
        <v>1663.0387901601134</v>
      </c>
      <c r="O136" s="75">
        <f t="shared" si="52"/>
        <v>1714.6382806229649</v>
      </c>
      <c r="P136" s="75">
        <f t="shared" si="52"/>
        <v>283.23607978969812</v>
      </c>
      <c r="Q136" s="75">
        <f t="shared" si="52"/>
        <v>0.75700000000000001</v>
      </c>
    </row>
    <row r="137" spans="1:19">
      <c r="A137" s="74" t="s">
        <v>27</v>
      </c>
      <c r="B137" s="75">
        <f t="shared" si="42"/>
        <v>3545.1692701028569</v>
      </c>
      <c r="C137" s="75">
        <f t="shared" si="43"/>
        <v>412.53374545121051</v>
      </c>
      <c r="D137" s="75">
        <f t="shared" si="44"/>
        <v>1134.0041642389833</v>
      </c>
      <c r="E137" s="75">
        <f t="shared" si="45"/>
        <v>1998.6313604126631</v>
      </c>
      <c r="F137" s="75">
        <f t="shared" ref="F137:Q137" si="53">F96</f>
        <v>36.391216683900893</v>
      </c>
      <c r="G137" s="75">
        <f t="shared" si="53"/>
        <v>65.554295366735005</v>
      </c>
      <c r="H137" s="75">
        <f t="shared" si="53"/>
        <v>310.58823340057461</v>
      </c>
      <c r="I137" s="75">
        <f t="shared" si="53"/>
        <v>28.278013959775762</v>
      </c>
      <c r="J137" s="75">
        <f t="shared" si="53"/>
        <v>-40.54956493507666</v>
      </c>
      <c r="K137" s="75">
        <f t="shared" si="53"/>
        <v>524.80622271803077</v>
      </c>
      <c r="L137" s="75">
        <f t="shared" si="53"/>
        <v>53.145302614260117</v>
      </c>
      <c r="M137" s="75">
        <f t="shared" si="53"/>
        <v>568.32418988199333</v>
      </c>
      <c r="N137" s="75">
        <f t="shared" si="53"/>
        <v>0</v>
      </c>
      <c r="O137" s="75">
        <f t="shared" si="53"/>
        <v>1714.6382806229649</v>
      </c>
      <c r="P137" s="75">
        <f t="shared" si="53"/>
        <v>283.23607978969812</v>
      </c>
      <c r="Q137" s="75">
        <f t="shared" si="53"/>
        <v>0.75700000000000001</v>
      </c>
    </row>
    <row r="138" spans="1:19">
      <c r="A138" s="74" t="s">
        <v>32</v>
      </c>
      <c r="B138" s="75">
        <f t="shared" si="42"/>
        <v>3511.5697796400054</v>
      </c>
      <c r="C138" s="75">
        <f t="shared" si="43"/>
        <v>421.53374545121051</v>
      </c>
      <c r="D138" s="75">
        <f t="shared" si="44"/>
        <v>1163.0041642389833</v>
      </c>
      <c r="E138" s="75">
        <f t="shared" si="45"/>
        <v>1927.0318699498116</v>
      </c>
      <c r="F138" s="75">
        <f t="shared" ref="F138:Q138" si="54">F97</f>
        <v>77.391216683900893</v>
      </c>
      <c r="G138" s="75">
        <f t="shared" si="54"/>
        <v>65.554295366735005</v>
      </c>
      <c r="H138" s="75">
        <f t="shared" si="54"/>
        <v>278.58823340057461</v>
      </c>
      <c r="I138" s="75">
        <f t="shared" si="54"/>
        <v>37.278013959775762</v>
      </c>
      <c r="J138" s="75">
        <f t="shared" si="54"/>
        <v>2.4504350649233402</v>
      </c>
      <c r="K138" s="75">
        <f t="shared" si="54"/>
        <v>522.80622271803077</v>
      </c>
      <c r="L138" s="75">
        <f t="shared" si="54"/>
        <v>26.145302614260117</v>
      </c>
      <c r="M138" s="75">
        <f t="shared" si="54"/>
        <v>574.32418988199333</v>
      </c>
      <c r="N138" s="75">
        <f t="shared" si="54"/>
        <v>1643.0387901601134</v>
      </c>
      <c r="O138" s="75">
        <f t="shared" si="54"/>
        <v>0</v>
      </c>
      <c r="P138" s="75">
        <f t="shared" si="54"/>
        <v>283.23607978969812</v>
      </c>
      <c r="Q138" s="75">
        <f t="shared" si="54"/>
        <v>0.75700000000000001</v>
      </c>
    </row>
    <row r="139" spans="1:19">
      <c r="A139" s="74" t="s">
        <v>28</v>
      </c>
      <c r="B139" s="75">
        <f t="shared" si="42"/>
        <v>4042.7077841152463</v>
      </c>
      <c r="C139" s="75">
        <f t="shared" si="43"/>
        <v>259.53374545121051</v>
      </c>
      <c r="D139" s="75">
        <f t="shared" si="44"/>
        <v>955.00416423898332</v>
      </c>
      <c r="E139" s="75">
        <f t="shared" si="45"/>
        <v>2828.1698744250525</v>
      </c>
      <c r="F139" s="75">
        <f t="shared" ref="F139:Q139" si="55">F98</f>
        <v>34.391216683900893</v>
      </c>
      <c r="G139" s="75">
        <f t="shared" si="55"/>
        <v>49.554295366735005</v>
      </c>
      <c r="H139" s="75">
        <f t="shared" si="55"/>
        <v>175.58823340057461</v>
      </c>
      <c r="I139" s="75">
        <f t="shared" si="55"/>
        <v>-32.721986040224238</v>
      </c>
      <c r="J139" s="75">
        <f t="shared" si="55"/>
        <v>-60.54956493507666</v>
      </c>
      <c r="K139" s="75">
        <f t="shared" si="55"/>
        <v>516.80622271803077</v>
      </c>
      <c r="L139" s="75">
        <f t="shared" si="55"/>
        <v>38.145302614260117</v>
      </c>
      <c r="M139" s="75">
        <f t="shared" si="55"/>
        <v>493.32418988199333</v>
      </c>
      <c r="N139" s="75">
        <f t="shared" si="55"/>
        <v>1623.0387901601134</v>
      </c>
      <c r="O139" s="75">
        <f t="shared" si="55"/>
        <v>1714.6382806229649</v>
      </c>
      <c r="P139" s="75">
        <f t="shared" si="55"/>
        <v>0</v>
      </c>
      <c r="Q139" s="75">
        <f t="shared" si="55"/>
        <v>-509.50719635802585</v>
      </c>
    </row>
    <row r="140" spans="1:19">
      <c r="A140" s="74" t="s">
        <v>31</v>
      </c>
      <c r="B140" s="75">
        <f t="shared" si="42"/>
        <v>5191.4510602629707</v>
      </c>
      <c r="C140" s="75">
        <f t="shared" si="43"/>
        <v>429.53374545121051</v>
      </c>
      <c r="D140" s="75">
        <f t="shared" si="44"/>
        <v>1121.0041642389833</v>
      </c>
      <c r="E140" s="75">
        <f t="shared" si="45"/>
        <v>3640.9131505727764</v>
      </c>
      <c r="F140" s="75">
        <f t="shared" ref="F140:Q140" si="56">F99</f>
        <v>81.391216683900893</v>
      </c>
      <c r="G140" s="75">
        <f t="shared" si="56"/>
        <v>49.554295366735005</v>
      </c>
      <c r="H140" s="75">
        <f t="shared" si="56"/>
        <v>298.58823340057461</v>
      </c>
      <c r="I140" s="75">
        <f t="shared" si="56"/>
        <v>12.278013959775762</v>
      </c>
      <c r="J140" s="75">
        <f t="shared" si="56"/>
        <v>-17.54956493507666</v>
      </c>
      <c r="K140" s="75">
        <f t="shared" si="56"/>
        <v>524.80622271803077</v>
      </c>
      <c r="L140" s="75">
        <f t="shared" si="56"/>
        <v>53.145302614260117</v>
      </c>
      <c r="M140" s="75">
        <f t="shared" si="56"/>
        <v>548.32418988199333</v>
      </c>
      <c r="N140" s="75">
        <f t="shared" si="56"/>
        <v>1643.0387901601134</v>
      </c>
      <c r="O140" s="75">
        <f t="shared" si="56"/>
        <v>1714.6382806229649</v>
      </c>
      <c r="P140" s="75">
        <f t="shared" si="56"/>
        <v>283.23607978969812</v>
      </c>
      <c r="Q140" s="75">
        <f t="shared" si="56"/>
        <v>0</v>
      </c>
    </row>
    <row r="141" spans="1:19">
      <c r="A141" s="74"/>
      <c r="B141" s="75"/>
      <c r="C141" s="58"/>
      <c r="D141" s="58"/>
      <c r="E141" s="58"/>
      <c r="F141" s="58"/>
      <c r="G141" s="58"/>
      <c r="H141" s="58"/>
      <c r="I141" s="58"/>
      <c r="J141" s="58"/>
      <c r="K141" s="58"/>
      <c r="L141" s="58"/>
      <c r="M141" s="58"/>
      <c r="N141" s="58"/>
      <c r="O141" s="58"/>
      <c r="P141" s="58"/>
      <c r="Q141" s="58"/>
    </row>
    <row r="142" spans="1:19">
      <c r="A142" s="2" t="s">
        <v>227</v>
      </c>
      <c r="B142" s="58"/>
      <c r="C142" s="58"/>
      <c r="D142" s="58"/>
      <c r="E142" s="58"/>
      <c r="F142" s="75"/>
      <c r="G142" s="75"/>
      <c r="H142" s="75"/>
      <c r="I142" s="75"/>
      <c r="J142" s="75"/>
      <c r="K142" s="75"/>
      <c r="L142" s="75"/>
      <c r="M142" s="75"/>
      <c r="N142" s="75"/>
      <c r="O142" s="75"/>
      <c r="P142" s="75"/>
      <c r="Q142" s="75"/>
      <c r="S142" s="2"/>
    </row>
    <row r="143" spans="1:19" ht="17">
      <c r="A143" s="73" t="s">
        <v>26</v>
      </c>
      <c r="B143" s="59">
        <f t="shared" ref="B143:F154" si="57">100*B129/(B$39-$B$41*(B129-B$38)/100)</f>
        <v>9.8296969586824812</v>
      </c>
      <c r="C143" s="59">
        <f t="shared" si="57"/>
        <v>3.0741475830258009</v>
      </c>
      <c r="D143" s="59">
        <f t="shared" si="57"/>
        <v>16.399271510509084</v>
      </c>
      <c r="E143" s="59">
        <f t="shared" si="57"/>
        <v>10.707848784829752</v>
      </c>
      <c r="F143" s="59">
        <f t="shared" si="57"/>
        <v>0</v>
      </c>
      <c r="G143" s="59">
        <f t="shared" ref="G143:Q143" si="58">100*G129/(G$39-$B$41*(G129-G$38)/100)</f>
        <v>6.0988979575370452</v>
      </c>
      <c r="H143" s="59">
        <f t="shared" si="58"/>
        <v>3.1643085397228092</v>
      </c>
      <c r="I143" s="59">
        <f t="shared" si="58"/>
        <v>7.6199928102922696</v>
      </c>
      <c r="J143" s="59">
        <f t="shared" si="58"/>
        <v>-4.8015860831805579</v>
      </c>
      <c r="K143" s="59">
        <f t="shared" si="58"/>
        <v>16.666755707608303</v>
      </c>
      <c r="L143" s="59">
        <f t="shared" si="58"/>
        <v>7.8495454439551731</v>
      </c>
      <c r="M143" s="59">
        <f t="shared" si="58"/>
        <v>25.052699610839547</v>
      </c>
      <c r="N143" s="59">
        <f t="shared" si="58"/>
        <v>21.175585906625695</v>
      </c>
      <c r="O143" s="59">
        <f t="shared" si="58"/>
        <v>19.034078146894551</v>
      </c>
      <c r="P143" s="59">
        <f t="shared" si="58"/>
        <v>12.168478051305209</v>
      </c>
      <c r="Q143" s="59">
        <f t="shared" si="58"/>
        <v>-5.4434558869491472</v>
      </c>
    </row>
    <row r="144" spans="1:19" ht="17">
      <c r="A144" s="73" t="s">
        <v>29</v>
      </c>
      <c r="B144" s="59">
        <f t="shared" si="57"/>
        <v>10.472905912336111</v>
      </c>
      <c r="C144" s="59">
        <f t="shared" si="57"/>
        <v>2.8867313322134036</v>
      </c>
      <c r="D144" s="59">
        <f t="shared" si="57"/>
        <v>13.640049801072591</v>
      </c>
      <c r="E144" s="59">
        <f t="shared" si="57"/>
        <v>12.436380584718261</v>
      </c>
      <c r="F144" s="59">
        <f t="shared" si="57"/>
        <v>3.1143347424045253</v>
      </c>
      <c r="G144" s="59">
        <f t="shared" ref="G144:Q154" si="59">100*G130/(G$39-$B$41*(G130-G$38)/100)</f>
        <v>0</v>
      </c>
      <c r="H144" s="59">
        <f t="shared" si="59"/>
        <v>3.1404201406314884</v>
      </c>
      <c r="I144" s="59">
        <f t="shared" si="59"/>
        <v>-22.043019213890741</v>
      </c>
      <c r="J144" s="59">
        <f t="shared" si="59"/>
        <v>-9.0796865730727632</v>
      </c>
      <c r="K144" s="59">
        <f t="shared" si="59"/>
        <v>14.640111965844127</v>
      </c>
      <c r="L144" s="59">
        <f t="shared" si="59"/>
        <v>4.4224056131926694</v>
      </c>
      <c r="M144" s="59">
        <f t="shared" si="59"/>
        <v>24.07348176012637</v>
      </c>
      <c r="N144" s="59">
        <f t="shared" si="59"/>
        <v>21.148719518451827</v>
      </c>
      <c r="O144" s="59">
        <f t="shared" si="59"/>
        <v>18.48153797010897</v>
      </c>
      <c r="P144" s="59">
        <f t="shared" si="59"/>
        <v>12.168478051305209</v>
      </c>
      <c r="Q144" s="59">
        <f t="shared" si="59"/>
        <v>7.7439645354870487E-3</v>
      </c>
    </row>
    <row r="145" spans="1:17" ht="17">
      <c r="A145" s="73" t="s">
        <v>30</v>
      </c>
      <c r="B145" s="59">
        <f t="shared" si="57"/>
        <v>10.889059264440062</v>
      </c>
      <c r="C145" s="59">
        <f t="shared" si="57"/>
        <v>1.4242014002812287</v>
      </c>
      <c r="D145" s="59">
        <f t="shared" si="57"/>
        <v>17.743549734274378</v>
      </c>
      <c r="E145" s="59">
        <f t="shared" si="57"/>
        <v>12.684909044578768</v>
      </c>
      <c r="F145" s="59">
        <f t="shared" si="57"/>
        <v>7.8999999999999977</v>
      </c>
      <c r="G145" s="59">
        <f t="shared" si="59"/>
        <v>8.1000000000000085</v>
      </c>
      <c r="H145" s="59">
        <f t="shared" si="59"/>
        <v>0</v>
      </c>
      <c r="I145" s="59">
        <f t="shared" si="59"/>
        <v>23.876427373511582</v>
      </c>
      <c r="J145" s="59">
        <f t="shared" si="59"/>
        <v>0.43159723245679266</v>
      </c>
      <c r="K145" s="59">
        <f t="shared" si="59"/>
        <v>16.732397098703455</v>
      </c>
      <c r="L145" s="59">
        <f t="shared" si="59"/>
        <v>8.2999999999999989</v>
      </c>
      <c r="M145" s="59">
        <f t="shared" si="59"/>
        <v>26.380462931703718</v>
      </c>
      <c r="N145" s="59">
        <f t="shared" si="59"/>
        <v>21.444402219444481</v>
      </c>
      <c r="O145" s="59">
        <f t="shared" si="59"/>
        <v>19.034078146894551</v>
      </c>
      <c r="P145" s="59">
        <f t="shared" si="59"/>
        <v>12.168478051305209</v>
      </c>
      <c r="Q145" s="59">
        <f t="shared" si="59"/>
        <v>7.7439645354870487E-3</v>
      </c>
    </row>
    <row r="146" spans="1:17" ht="17">
      <c r="A146" s="73" t="s">
        <v>33</v>
      </c>
      <c r="B146" s="59">
        <f t="shared" si="57"/>
        <v>11.520952328361295</v>
      </c>
      <c r="C146" s="59">
        <f t="shared" si="57"/>
        <v>4.6581248754673261</v>
      </c>
      <c r="D146" s="59">
        <f t="shared" si="57"/>
        <v>17.012167715880999</v>
      </c>
      <c r="E146" s="59">
        <f t="shared" si="57"/>
        <v>12.684909044578768</v>
      </c>
      <c r="F146" s="59">
        <f t="shared" si="57"/>
        <v>7.5059233948655306</v>
      </c>
      <c r="G146" s="59">
        <f t="shared" si="59"/>
        <v>8.1000000000000085</v>
      </c>
      <c r="H146" s="59">
        <f t="shared" si="59"/>
        <v>3.9778659743163569</v>
      </c>
      <c r="I146" s="59">
        <f t="shared" si="59"/>
        <v>0</v>
      </c>
      <c r="J146" s="59">
        <f t="shared" si="59"/>
        <v>0.43159723245679266</v>
      </c>
      <c r="K146" s="59">
        <f t="shared" si="59"/>
        <v>16.666755707608303</v>
      </c>
      <c r="L146" s="59">
        <f t="shared" si="59"/>
        <v>7.2501798342472732</v>
      </c>
      <c r="M146" s="59">
        <f t="shared" si="59"/>
        <v>26.331166771218516</v>
      </c>
      <c r="N146" s="59">
        <f t="shared" si="59"/>
        <v>21.444402219444481</v>
      </c>
      <c r="O146" s="59">
        <f t="shared" si="59"/>
        <v>19.034078146894551</v>
      </c>
      <c r="P146" s="59">
        <f t="shared" si="59"/>
        <v>12.168478051305209</v>
      </c>
      <c r="Q146" s="59">
        <f t="shared" si="59"/>
        <v>7.7439645354870487E-3</v>
      </c>
    </row>
    <row r="147" spans="1:17" ht="17">
      <c r="A147" s="73" t="s">
        <v>34</v>
      </c>
      <c r="B147" s="59">
        <f t="shared" si="57"/>
        <v>11.587570503648465</v>
      </c>
      <c r="C147" s="59">
        <f t="shared" si="57"/>
        <v>4.5596898616116377</v>
      </c>
      <c r="D147" s="59">
        <f t="shared" si="57"/>
        <v>17.628155578308967</v>
      </c>
      <c r="E147" s="59">
        <f t="shared" si="57"/>
        <v>12.684909044578768</v>
      </c>
      <c r="F147" s="59">
        <f t="shared" si="57"/>
        <v>7.8999999999999977</v>
      </c>
      <c r="G147" s="59">
        <f t="shared" si="59"/>
        <v>8.1000000000000085</v>
      </c>
      <c r="H147" s="59">
        <f t="shared" si="59"/>
        <v>3.81015386158187</v>
      </c>
      <c r="I147" s="59">
        <f t="shared" si="59"/>
        <v>20.542373102373329</v>
      </c>
      <c r="J147" s="59">
        <f t="shared" si="59"/>
        <v>0</v>
      </c>
      <c r="K147" s="59">
        <f t="shared" si="59"/>
        <v>16.666755707608303</v>
      </c>
      <c r="L147" s="59">
        <f t="shared" si="59"/>
        <v>7.8495454439551731</v>
      </c>
      <c r="M147" s="59">
        <f t="shared" si="59"/>
        <v>26.627082311330494</v>
      </c>
      <c r="N147" s="59">
        <f t="shared" si="59"/>
        <v>21.444402219444481</v>
      </c>
      <c r="O147" s="59">
        <f t="shared" si="59"/>
        <v>19.034078146894551</v>
      </c>
      <c r="P147" s="59">
        <f t="shared" si="59"/>
        <v>12.168478051305209</v>
      </c>
      <c r="Q147" s="59">
        <f t="shared" si="59"/>
        <v>7.7439645354870487E-3</v>
      </c>
    </row>
    <row r="148" spans="1:17" ht="17">
      <c r="A148" s="73" t="s">
        <v>35</v>
      </c>
      <c r="B148" s="59">
        <f t="shared" si="57"/>
        <v>7.9833673634270408</v>
      </c>
      <c r="C148" s="59">
        <f t="shared" si="57"/>
        <v>4.3531012735432864</v>
      </c>
      <c r="D148" s="59">
        <f t="shared" si="57"/>
        <v>8.8397112646653824</v>
      </c>
      <c r="E148" s="59">
        <f t="shared" si="57"/>
        <v>9.0639576847702692</v>
      </c>
      <c r="F148" s="59">
        <f t="shared" si="57"/>
        <v>6.6214830192759315</v>
      </c>
      <c r="G148" s="59">
        <f t="shared" si="59"/>
        <v>6.0988979575370452</v>
      </c>
      <c r="H148" s="59">
        <f t="shared" si="59"/>
        <v>3.9059756840492108</v>
      </c>
      <c r="I148" s="59">
        <f t="shared" si="59"/>
        <v>10.790063002752611</v>
      </c>
      <c r="J148" s="59">
        <f t="shared" si="59"/>
        <v>-3.0693953344033567</v>
      </c>
      <c r="K148" s="59">
        <f t="shared" si="59"/>
        <v>0</v>
      </c>
      <c r="L148" s="59">
        <f t="shared" si="59"/>
        <v>8.2999999999999989</v>
      </c>
      <c r="M148" s="59">
        <f t="shared" si="59"/>
        <v>25.494542490637492</v>
      </c>
      <c r="N148" s="59">
        <f t="shared" si="59"/>
        <v>20.90704661270339</v>
      </c>
      <c r="O148" s="59">
        <f t="shared" si="59"/>
        <v>19.034078146894551</v>
      </c>
      <c r="P148" s="59">
        <f t="shared" si="59"/>
        <v>12.168478051305209</v>
      </c>
      <c r="Q148" s="59">
        <f t="shared" si="59"/>
        <v>-9.8856966579889995</v>
      </c>
    </row>
    <row r="149" spans="1:17" ht="17">
      <c r="A149" s="73" t="s">
        <v>36</v>
      </c>
      <c r="B149" s="59">
        <f t="shared" si="57"/>
        <v>9.8588999462768179</v>
      </c>
      <c r="C149" s="59">
        <f t="shared" si="57"/>
        <v>4.3531012735432864</v>
      </c>
      <c r="D149" s="59">
        <f t="shared" si="57"/>
        <v>16.073599255628093</v>
      </c>
      <c r="E149" s="59">
        <f t="shared" si="57"/>
        <v>10.369402218679467</v>
      </c>
      <c r="F149" s="59">
        <f t="shared" si="57"/>
        <v>7.0141867600127084</v>
      </c>
      <c r="G149" s="59">
        <f t="shared" si="59"/>
        <v>6.0988979575370452</v>
      </c>
      <c r="H149" s="59">
        <f t="shared" si="59"/>
        <v>3.8580602170575284</v>
      </c>
      <c r="I149" s="59">
        <f t="shared" si="59"/>
        <v>10.790063002752611</v>
      </c>
      <c r="J149" s="59">
        <f t="shared" si="59"/>
        <v>-3.0693953344033567</v>
      </c>
      <c r="K149" s="59">
        <f t="shared" si="59"/>
        <v>16.6339412655663</v>
      </c>
      <c r="L149" s="59">
        <f t="shared" si="59"/>
        <v>0</v>
      </c>
      <c r="M149" s="59">
        <f t="shared" si="59"/>
        <v>25.937129636887136</v>
      </c>
      <c r="N149" s="59">
        <f t="shared" si="59"/>
        <v>20.920467004811339</v>
      </c>
      <c r="O149" s="59">
        <f t="shared" si="59"/>
        <v>19.034078146894551</v>
      </c>
      <c r="P149" s="59">
        <f t="shared" si="59"/>
        <v>12.168478051305209</v>
      </c>
      <c r="Q149" s="59">
        <f t="shared" si="59"/>
        <v>-6.2137078815220876</v>
      </c>
    </row>
    <row r="150" spans="1:17" ht="17">
      <c r="A150" s="73" t="s">
        <v>37</v>
      </c>
      <c r="B150" s="59">
        <f t="shared" si="57"/>
        <v>10.437835920780175</v>
      </c>
      <c r="C150" s="59">
        <f t="shared" si="57"/>
        <v>4.9536604973151626</v>
      </c>
      <c r="D150" s="59">
        <f t="shared" si="57"/>
        <v>9.1613596711056022</v>
      </c>
      <c r="E150" s="59">
        <f t="shared" si="57"/>
        <v>12.684909044578768</v>
      </c>
      <c r="F150" s="59">
        <f t="shared" si="57"/>
        <v>7.8999999999999977</v>
      </c>
      <c r="G150" s="59">
        <f t="shared" si="59"/>
        <v>8.1000000000000085</v>
      </c>
      <c r="H150" s="59">
        <f t="shared" si="59"/>
        <v>4.289627746729507</v>
      </c>
      <c r="I150" s="59">
        <f t="shared" si="59"/>
        <v>23.876427373511582</v>
      </c>
      <c r="J150" s="59">
        <f t="shared" si="59"/>
        <v>0.43159723245679266</v>
      </c>
      <c r="K150" s="59">
        <f t="shared" si="59"/>
        <v>16.732397098703455</v>
      </c>
      <c r="L150" s="59">
        <f t="shared" si="59"/>
        <v>8.2999999999999989</v>
      </c>
      <c r="M150" s="59">
        <f t="shared" si="59"/>
        <v>0</v>
      </c>
      <c r="N150" s="59">
        <f t="shared" si="59"/>
        <v>21.444402219444481</v>
      </c>
      <c r="O150" s="59">
        <f t="shared" si="59"/>
        <v>19.034078146894551</v>
      </c>
      <c r="P150" s="59">
        <f t="shared" si="59"/>
        <v>12.168478051305209</v>
      </c>
      <c r="Q150" s="59">
        <f t="shared" si="59"/>
        <v>7.7439645354870487E-3</v>
      </c>
    </row>
    <row r="151" spans="1:17">
      <c r="A151" s="74" t="s">
        <v>27</v>
      </c>
      <c r="B151" s="59">
        <f t="shared" si="57"/>
        <v>7.6804872052024118</v>
      </c>
      <c r="C151" s="59">
        <f t="shared" si="57"/>
        <v>4.018982950959936</v>
      </c>
      <c r="D151" s="59">
        <f t="shared" si="57"/>
        <v>16.939232957252042</v>
      </c>
      <c r="E151" s="59">
        <f t="shared" si="57"/>
        <v>6.8448724310790716</v>
      </c>
      <c r="F151" s="59">
        <f t="shared" si="57"/>
        <v>3.5016181464341618</v>
      </c>
      <c r="G151" s="59">
        <f t="shared" si="59"/>
        <v>8.1000000000000085</v>
      </c>
      <c r="H151" s="59">
        <f t="shared" si="59"/>
        <v>3.6904278187238111</v>
      </c>
      <c r="I151" s="59">
        <f t="shared" si="59"/>
        <v>17.905529674370271</v>
      </c>
      <c r="J151" s="59">
        <f t="shared" si="59"/>
        <v>-7.035461771156772</v>
      </c>
      <c r="K151" s="59">
        <f t="shared" si="59"/>
        <v>16.666755707608303</v>
      </c>
      <c r="L151" s="59">
        <f t="shared" si="59"/>
        <v>7.8495454439551731</v>
      </c>
      <c r="M151" s="59">
        <f t="shared" si="59"/>
        <v>26.627082311330494</v>
      </c>
      <c r="N151" s="59">
        <f t="shared" si="59"/>
        <v>0</v>
      </c>
      <c r="O151" s="59">
        <f t="shared" si="59"/>
        <v>19.034078146894551</v>
      </c>
      <c r="P151" s="59">
        <f t="shared" si="59"/>
        <v>12.168478051305209</v>
      </c>
      <c r="Q151" s="59">
        <f t="shared" si="59"/>
        <v>7.7439645354870487E-3</v>
      </c>
    </row>
    <row r="152" spans="1:17">
      <c r="A152" s="74" t="s">
        <v>32</v>
      </c>
      <c r="B152" s="59">
        <f t="shared" si="57"/>
        <v>7.6065876659665435</v>
      </c>
      <c r="C152" s="59">
        <f t="shared" si="57"/>
        <v>4.1073829473176691</v>
      </c>
      <c r="D152" s="59">
        <f t="shared" si="57"/>
        <v>17.387485750978499</v>
      </c>
      <c r="E152" s="59">
        <f t="shared" si="57"/>
        <v>6.5964248865604516</v>
      </c>
      <c r="F152" s="59">
        <f t="shared" si="57"/>
        <v>7.5059233948655306</v>
      </c>
      <c r="G152" s="59">
        <f t="shared" si="59"/>
        <v>8.1000000000000085</v>
      </c>
      <c r="H152" s="59">
        <f t="shared" si="59"/>
        <v>3.3076865837226972</v>
      </c>
      <c r="I152" s="59">
        <f t="shared" si="59"/>
        <v>23.876427373511582</v>
      </c>
      <c r="J152" s="59">
        <f t="shared" si="59"/>
        <v>0.43159723245679266</v>
      </c>
      <c r="K152" s="59">
        <f t="shared" si="59"/>
        <v>16.601130991468949</v>
      </c>
      <c r="L152" s="59">
        <f t="shared" si="59"/>
        <v>3.8310974410543475</v>
      </c>
      <c r="M152" s="59">
        <f t="shared" si="59"/>
        <v>26.923330779726928</v>
      </c>
      <c r="N152" s="59">
        <f t="shared" si="59"/>
        <v>21.175585906625695</v>
      </c>
      <c r="O152" s="59">
        <f t="shared" si="59"/>
        <v>0</v>
      </c>
      <c r="P152" s="59">
        <f t="shared" si="59"/>
        <v>12.168478051305209</v>
      </c>
      <c r="Q152" s="59">
        <f t="shared" si="59"/>
        <v>7.7439645354870487E-3</v>
      </c>
    </row>
    <row r="153" spans="1:17">
      <c r="A153" s="74" t="s">
        <v>28</v>
      </c>
      <c r="B153" s="59">
        <f t="shared" si="57"/>
        <v>8.7773093961704109</v>
      </c>
      <c r="C153" s="59">
        <f t="shared" si="57"/>
        <v>2.520912457110184</v>
      </c>
      <c r="D153" s="59">
        <f t="shared" si="57"/>
        <v>14.189532730172823</v>
      </c>
      <c r="E153" s="59">
        <f t="shared" si="57"/>
        <v>9.7412085166646172</v>
      </c>
      <c r="F153" s="59">
        <f t="shared" si="57"/>
        <v>3.3079019430990502</v>
      </c>
      <c r="G153" s="59">
        <f t="shared" si="59"/>
        <v>6.0988979575370452</v>
      </c>
      <c r="H153" s="59">
        <f t="shared" si="59"/>
        <v>2.0796778770889675</v>
      </c>
      <c r="I153" s="59">
        <f t="shared" si="59"/>
        <v>-19.233638463513334</v>
      </c>
      <c r="J153" s="59">
        <f t="shared" si="59"/>
        <v>-10.433110197858026</v>
      </c>
      <c r="K153" s="59">
        <f t="shared" si="59"/>
        <v>16.40435682927054</v>
      </c>
      <c r="L153" s="59">
        <f t="shared" si="59"/>
        <v>5.6091955941269793</v>
      </c>
      <c r="M153" s="59">
        <f t="shared" si="59"/>
        <v>22.951886924810736</v>
      </c>
      <c r="N153" s="59">
        <f t="shared" si="59"/>
        <v>20.90704661270339</v>
      </c>
      <c r="O153" s="59">
        <f t="shared" si="59"/>
        <v>19.034078146894551</v>
      </c>
      <c r="P153" s="59">
        <f t="shared" si="59"/>
        <v>0</v>
      </c>
      <c r="Q153" s="59">
        <f t="shared" si="59"/>
        <v>-5.1583089502212207</v>
      </c>
    </row>
    <row r="154" spans="1:17">
      <c r="A154" s="74" t="s">
        <v>31</v>
      </c>
      <c r="B154" s="59">
        <f t="shared" si="57"/>
        <v>11.327904540955332</v>
      </c>
      <c r="C154" s="59">
        <f t="shared" si="57"/>
        <v>4.1859867581540353</v>
      </c>
      <c r="D154" s="59">
        <f t="shared" si="57"/>
        <v>16.738544083120509</v>
      </c>
      <c r="E154" s="59">
        <f t="shared" si="57"/>
        <v>12.611188115556853</v>
      </c>
      <c r="F154" s="59">
        <f t="shared" si="57"/>
        <v>7.8999999999999977</v>
      </c>
      <c r="G154" s="59">
        <f t="shared" si="59"/>
        <v>6.0988979575370452</v>
      </c>
      <c r="H154" s="59">
        <f t="shared" si="59"/>
        <v>3.5468316587350772</v>
      </c>
      <c r="I154" s="59">
        <f t="shared" si="59"/>
        <v>7.6199928102922696</v>
      </c>
      <c r="J154" s="59">
        <f t="shared" si="59"/>
        <v>-3.0693953344033567</v>
      </c>
      <c r="K154" s="59">
        <f t="shared" si="59"/>
        <v>16.666755707608303</v>
      </c>
      <c r="L154" s="59">
        <f t="shared" si="59"/>
        <v>7.8495454439551731</v>
      </c>
      <c r="M154" s="59">
        <f t="shared" si="59"/>
        <v>25.641988750301397</v>
      </c>
      <c r="N154" s="59">
        <f t="shared" si="59"/>
        <v>21.175585906625695</v>
      </c>
      <c r="O154" s="59">
        <f t="shared" si="59"/>
        <v>19.034078146894551</v>
      </c>
      <c r="P154" s="59">
        <f t="shared" si="59"/>
        <v>12.168478051305209</v>
      </c>
      <c r="Q154" s="59">
        <f t="shared" si="59"/>
        <v>0</v>
      </c>
    </row>
    <row r="155" spans="1:17">
      <c r="A155" s="74"/>
      <c r="F155" s="21"/>
      <c r="G155" s="21"/>
      <c r="H155" s="21"/>
      <c r="I155" s="21"/>
      <c r="J155" s="21"/>
      <c r="K155" s="21"/>
      <c r="L155" s="21"/>
      <c r="M155" s="21"/>
      <c r="N155" s="21"/>
      <c r="O155" s="21"/>
      <c r="P155" s="21"/>
      <c r="Q155" s="21"/>
    </row>
    <row r="156" spans="1:17">
      <c r="A156" s="30" t="s">
        <v>432</v>
      </c>
      <c r="B156" s="19"/>
      <c r="C156" s="19"/>
      <c r="D156" s="19"/>
      <c r="E156" s="19"/>
      <c r="F156" s="19"/>
      <c r="G156" s="19"/>
      <c r="H156" s="19"/>
      <c r="I156" s="19"/>
      <c r="J156" s="19"/>
      <c r="K156" s="19"/>
      <c r="L156" s="19"/>
      <c r="M156" s="19"/>
      <c r="N156" s="19"/>
      <c r="O156" s="19"/>
      <c r="P156" s="19"/>
      <c r="Q156" s="19"/>
    </row>
    <row r="157" spans="1:17">
      <c r="A157" s="30" t="s">
        <v>231</v>
      </c>
    </row>
    <row r="158" spans="1:17">
      <c r="A158" s="3" t="s">
        <v>211</v>
      </c>
      <c r="B158" s="19">
        <f>Scenarios!B46</f>
        <v>-576.61407356892119</v>
      </c>
      <c r="C158" s="19">
        <f>Scenarios!C46</f>
        <v>-1121.2681008011882</v>
      </c>
      <c r="D158" s="19">
        <f>Scenarios!D46</f>
        <v>572.9763231440088</v>
      </c>
      <c r="E158" s="19">
        <f>Scenarios!E46</f>
        <v>-28.322295911741776</v>
      </c>
      <c r="F158" s="19">
        <f>Scenarios!F46</f>
        <v>19.838148127190387</v>
      </c>
      <c r="G158" s="19">
        <f>Scenarios!G46</f>
        <v>-260.36463972282689</v>
      </c>
      <c r="H158" s="19">
        <f>Scenarios!H46</f>
        <v>-880.74160920555164</v>
      </c>
      <c r="I158" s="19">
        <f>Scenarios!I46</f>
        <v>12.940397375204057</v>
      </c>
      <c r="J158" s="19">
        <f>Scenarios!J46</f>
        <v>-39.491701421394652</v>
      </c>
      <c r="K158" s="19">
        <f>Scenarios!K46</f>
        <v>259.99216901251305</v>
      </c>
      <c r="L158" s="19">
        <f>Scenarios!L46</f>
        <v>-24.531006716605546</v>
      </c>
      <c r="M158" s="19">
        <f>Scenarios!M46</f>
        <v>364.06646489429181</v>
      </c>
      <c r="N158" s="19">
        <f>Scenarios!N46</f>
        <v>774.9372304633232</v>
      </c>
      <c r="O158" s="19">
        <f>Scenarios!O46</f>
        <v>638.89271815554775</v>
      </c>
      <c r="P158" s="19">
        <f>Scenarios!P46</f>
        <v>12.335659743084989</v>
      </c>
      <c r="Q158" s="19">
        <f>Scenarios!Q46</f>
        <v>-1454.4879042736977</v>
      </c>
    </row>
    <row r="159" spans="1:17">
      <c r="A159" s="3" t="s">
        <v>212</v>
      </c>
      <c r="B159" s="19">
        <f>Scenarios!B52</f>
        <v>41440.473122630072</v>
      </c>
      <c r="C159" s="19">
        <f>Scenarios!C52</f>
        <v>8803.79804781434</v>
      </c>
      <c r="D159" s="19">
        <f>Scenarios!D52</f>
        <v>6067.468336323077</v>
      </c>
      <c r="E159" s="19">
        <f>Scenarios!E52</f>
        <v>26569.206738492656</v>
      </c>
      <c r="F159" s="19">
        <f>Scenarios!F52</f>
        <v>960.23175315388016</v>
      </c>
      <c r="G159" s="19">
        <f>Scenarios!G52</f>
        <v>518.33337954779324</v>
      </c>
      <c r="H159" s="19">
        <f>Scenarios!H52</f>
        <v>7325.2329151126669</v>
      </c>
      <c r="I159" s="19">
        <f>Scenarios!I52</f>
        <v>139.21370779983076</v>
      </c>
      <c r="J159" s="19">
        <f>Scenarios!J52</f>
        <v>505.68563302953214</v>
      </c>
      <c r="K159" s="19">
        <f>Scenarios!K52</f>
        <v>2901.8870431495325</v>
      </c>
      <c r="L159" s="19">
        <f>Scenarios!L52</f>
        <v>605.49246658747131</v>
      </c>
      <c r="M159" s="19">
        <f>Scenarios!M52</f>
        <v>1915.1894857567106</v>
      </c>
      <c r="N159" s="19">
        <f>Scenarios!N52</f>
        <v>7109.4569929493964</v>
      </c>
      <c r="O159" s="19">
        <f>Scenarios!O52</f>
        <v>7961.5928217611854</v>
      </c>
      <c r="P159" s="19">
        <f>Scenarios!P52</f>
        <v>2151.9320219302817</v>
      </c>
      <c r="Q159" s="19">
        <f>Scenarios!Q52</f>
        <v>9346.2249018517923</v>
      </c>
    </row>
    <row r="160" spans="1:17">
      <c r="A160" s="3" t="s">
        <v>213</v>
      </c>
      <c r="B160" s="59">
        <f>100*B158/B159</f>
        <v>-1.3914273417260774</v>
      </c>
      <c r="C160" s="59">
        <f t="shared" ref="C160:Q160" si="60">100*C158/C159</f>
        <v>-12.736186072323161</v>
      </c>
      <c r="D160" s="59">
        <f t="shared" si="60"/>
        <v>9.4434167824802522</v>
      </c>
      <c r="E160" s="59">
        <f t="shared" si="60"/>
        <v>-0.10659819915025652</v>
      </c>
      <c r="F160" s="59">
        <f t="shared" si="60"/>
        <v>2.0659750171801767</v>
      </c>
      <c r="G160" s="59">
        <f t="shared" si="60"/>
        <v>-50.231115725168117</v>
      </c>
      <c r="H160" s="59">
        <f t="shared" si="60"/>
        <v>-12.023393923604752</v>
      </c>
      <c r="I160" s="59">
        <f t="shared" si="60"/>
        <v>9.2953471175485696</v>
      </c>
      <c r="J160" s="59">
        <f t="shared" si="60"/>
        <v>-7.8095359729328768</v>
      </c>
      <c r="K160" s="59">
        <f t="shared" si="60"/>
        <v>8.9594172738830409</v>
      </c>
      <c r="L160" s="59">
        <f t="shared" si="60"/>
        <v>-4.0514140258195468</v>
      </c>
      <c r="M160" s="59">
        <f t="shared" si="60"/>
        <v>19.00942270213255</v>
      </c>
      <c r="N160" s="59">
        <f t="shared" si="60"/>
        <v>10.900090277384692</v>
      </c>
      <c r="O160" s="59">
        <f t="shared" si="60"/>
        <v>8.0246846637180607</v>
      </c>
      <c r="P160" s="59">
        <f t="shared" si="60"/>
        <v>0.57323649712781866</v>
      </c>
      <c r="Q160" s="59">
        <f t="shared" si="60"/>
        <v>-15.562303706018417</v>
      </c>
    </row>
    <row r="161" spans="1:21">
      <c r="A161" s="3" t="s">
        <v>207</v>
      </c>
      <c r="F161" s="3">
        <f>IF(F158&lt;0,1,0)</f>
        <v>0</v>
      </c>
      <c r="G161" s="3">
        <f t="shared" ref="G161:Q161" si="61">IF(G158&lt;0,1,0)</f>
        <v>1</v>
      </c>
      <c r="H161" s="3">
        <f t="shared" si="61"/>
        <v>1</v>
      </c>
      <c r="I161" s="3">
        <f t="shared" si="61"/>
        <v>0</v>
      </c>
      <c r="J161" s="3">
        <f t="shared" si="61"/>
        <v>1</v>
      </c>
      <c r="K161" s="3">
        <f t="shared" si="61"/>
        <v>0</v>
      </c>
      <c r="L161" s="3">
        <f t="shared" si="61"/>
        <v>1</v>
      </c>
      <c r="M161" s="3">
        <f t="shared" si="61"/>
        <v>0</v>
      </c>
      <c r="N161" s="3">
        <f t="shared" si="61"/>
        <v>0</v>
      </c>
      <c r="O161" s="3">
        <f t="shared" si="61"/>
        <v>0</v>
      </c>
      <c r="P161" s="3">
        <f t="shared" si="61"/>
        <v>0</v>
      </c>
      <c r="Q161" s="3">
        <f t="shared" si="61"/>
        <v>1</v>
      </c>
    </row>
    <row r="162" spans="1:21">
      <c r="A162" s="3" t="s">
        <v>181</v>
      </c>
      <c r="B162" s="81">
        <f>Assumptions!B77</f>
        <v>20</v>
      </c>
      <c r="F162" s="21"/>
      <c r="G162" s="21"/>
      <c r="H162" s="21"/>
      <c r="I162" s="21"/>
      <c r="J162" s="21"/>
      <c r="K162" s="21"/>
      <c r="L162" s="21"/>
      <c r="M162" s="21"/>
      <c r="N162" s="21"/>
      <c r="O162" s="21"/>
      <c r="P162" s="21"/>
      <c r="Q162" s="21"/>
    </row>
    <row r="163" spans="1:21">
      <c r="A163" s="76" t="s">
        <v>204</v>
      </c>
      <c r="F163" s="21"/>
      <c r="G163" s="21"/>
      <c r="H163" s="21"/>
      <c r="I163" s="21"/>
      <c r="J163" s="21"/>
      <c r="K163" s="21"/>
      <c r="L163" s="21"/>
      <c r="M163" s="21"/>
      <c r="N163" s="21"/>
      <c r="O163" s="21"/>
      <c r="P163" s="21"/>
      <c r="Q163" s="21"/>
      <c r="S163" s="2" t="s">
        <v>218</v>
      </c>
    </row>
    <row r="164" spans="1:21">
      <c r="A164" s="72" t="s">
        <v>205</v>
      </c>
      <c r="B164" s="32">
        <f>SUM(C164:E164)</f>
        <v>-1848.4361348494572</v>
      </c>
      <c r="C164" s="32">
        <f>SUM(F164:H164)</f>
        <v>-1297.2681008011882</v>
      </c>
      <c r="D164" s="32">
        <f>SUM(I164:M164)</f>
        <v>201.97632314400875</v>
      </c>
      <c r="E164" s="32">
        <f>SUM(N164:Q164)</f>
        <v>-753.14435719227777</v>
      </c>
      <c r="F164" s="32">
        <f t="shared" ref="F164:Q164" si="62">F158-SUMPRODUCT(F$25:F$36,$S$165:$S$176)</f>
        <v>-34.161851872809613</v>
      </c>
      <c r="G164" s="32">
        <f t="shared" si="62"/>
        <v>-276.36463972282689</v>
      </c>
      <c r="H164" s="32">
        <f t="shared" si="62"/>
        <v>-986.74160920555164</v>
      </c>
      <c r="I164" s="32">
        <f t="shared" si="62"/>
        <v>-82.059602624795943</v>
      </c>
      <c r="J164" s="32">
        <f t="shared" si="62"/>
        <v>-114.49170142139465</v>
      </c>
      <c r="K164" s="32">
        <f t="shared" si="62"/>
        <v>194.99216901251305</v>
      </c>
      <c r="L164" s="32">
        <f t="shared" si="62"/>
        <v>-43.531006716605546</v>
      </c>
      <c r="M164" s="32">
        <f t="shared" si="62"/>
        <v>247.06646489429181</v>
      </c>
      <c r="N164" s="32">
        <f t="shared" si="62"/>
        <v>713.9372304633232</v>
      </c>
      <c r="O164" s="32">
        <f t="shared" si="62"/>
        <v>590.89271815554775</v>
      </c>
      <c r="P164" s="32">
        <f t="shared" si="62"/>
        <v>12.335659743084989</v>
      </c>
      <c r="Q164" s="32">
        <f t="shared" si="62"/>
        <v>-2070.3099655542337</v>
      </c>
      <c r="S164" s="2" t="s">
        <v>217</v>
      </c>
      <c r="T164" s="2" t="s">
        <v>219</v>
      </c>
      <c r="U164" s="2" t="s">
        <v>223</v>
      </c>
    </row>
    <row r="165" spans="1:21">
      <c r="A165" s="72" t="s">
        <v>221</v>
      </c>
      <c r="B165" s="32">
        <f>SUM(C165:E165)</f>
        <v>41186.10871037397</v>
      </c>
      <c r="C165" s="32">
        <f>SUM(F165:H165)</f>
        <v>8768.598047814341</v>
      </c>
      <c r="D165" s="32">
        <f>SUM(I165:M165)</f>
        <v>5993.2683363230772</v>
      </c>
      <c r="E165" s="32">
        <f>SUM(N165:Q165)</f>
        <v>26424.242326236548</v>
      </c>
      <c r="F165" s="19">
        <f>F$159+(F164-F$158)*$B$162/100</f>
        <v>949.43175315388021</v>
      </c>
      <c r="G165" s="19">
        <f t="shared" ref="G165:Q165" si="63">G$159+(G164-G$158)*$B$162/100</f>
        <v>515.1333795477932</v>
      </c>
      <c r="H165" s="19">
        <f t="shared" si="63"/>
        <v>7304.0329151126671</v>
      </c>
      <c r="I165" s="19">
        <f t="shared" si="63"/>
        <v>120.21370779983076</v>
      </c>
      <c r="J165" s="19">
        <f t="shared" si="63"/>
        <v>490.68563302953214</v>
      </c>
      <c r="K165" s="19">
        <f t="shared" si="63"/>
        <v>2888.8870431495325</v>
      </c>
      <c r="L165" s="19">
        <f t="shared" si="63"/>
        <v>601.69246658747136</v>
      </c>
      <c r="M165" s="19">
        <f t="shared" si="63"/>
        <v>1891.7894857567105</v>
      </c>
      <c r="N165" s="19">
        <f t="shared" si="63"/>
        <v>7097.2569929493966</v>
      </c>
      <c r="O165" s="19">
        <f t="shared" si="63"/>
        <v>7951.992821761185</v>
      </c>
      <c r="P165" s="19">
        <f t="shared" si="63"/>
        <v>2151.9320219302817</v>
      </c>
      <c r="Q165" s="19">
        <f t="shared" si="63"/>
        <v>9223.0604895956858</v>
      </c>
      <c r="S165" s="3">
        <f>F$161</f>
        <v>0</v>
      </c>
      <c r="T165" s="3">
        <f>F$168</f>
        <v>1</v>
      </c>
      <c r="U165" s="3">
        <f>F$174</f>
        <v>0</v>
      </c>
    </row>
    <row r="166" spans="1:21">
      <c r="A166" s="72" t="s">
        <v>222</v>
      </c>
      <c r="B166" s="59">
        <f t="shared" ref="B166:Q166" si="64">100*B164/B165</f>
        <v>-4.4880086823639944</v>
      </c>
      <c r="C166" s="59">
        <f t="shared" si="64"/>
        <v>-14.794475624578835</v>
      </c>
      <c r="D166" s="59">
        <f t="shared" si="64"/>
        <v>3.3700530630324321</v>
      </c>
      <c r="E166" s="59">
        <f t="shared" si="64"/>
        <v>-2.8502022797621831</v>
      </c>
      <c r="F166" s="59">
        <f t="shared" si="64"/>
        <v>-3.598136649562087</v>
      </c>
      <c r="G166" s="59">
        <f t="shared" si="64"/>
        <v>-53.649142279506712</v>
      </c>
      <c r="H166" s="59">
        <f t="shared" si="64"/>
        <v>-13.509544941451443</v>
      </c>
      <c r="I166" s="59">
        <f t="shared" si="64"/>
        <v>-68.261435510694284</v>
      </c>
      <c r="J166" s="59">
        <f t="shared" si="64"/>
        <v>-23.333004619375906</v>
      </c>
      <c r="K166" s="59">
        <f t="shared" si="64"/>
        <v>6.7497332398267815</v>
      </c>
      <c r="L166" s="59">
        <f t="shared" si="64"/>
        <v>-7.2347601364354457</v>
      </c>
      <c r="M166" s="59">
        <f t="shared" si="64"/>
        <v>13.059934350753933</v>
      </c>
      <c r="N166" s="59">
        <f t="shared" si="64"/>
        <v>10.05934026586</v>
      </c>
      <c r="O166" s="59">
        <f t="shared" si="64"/>
        <v>7.4307501452784068</v>
      </c>
      <c r="P166" s="59">
        <f t="shared" si="64"/>
        <v>0.57323649712781866</v>
      </c>
      <c r="Q166" s="59">
        <f t="shared" si="64"/>
        <v>-22.447103842479411</v>
      </c>
      <c r="S166" s="3">
        <f>G$161</f>
        <v>1</v>
      </c>
      <c r="T166" s="3">
        <f>G$168</f>
        <v>0</v>
      </c>
      <c r="U166" s="3">
        <f>G$174</f>
        <v>0</v>
      </c>
    </row>
    <row r="167" spans="1:21">
      <c r="A167" s="30" t="s">
        <v>215</v>
      </c>
      <c r="S167" s="3">
        <f>H$161</f>
        <v>1</v>
      </c>
      <c r="T167" s="3">
        <f>H$168</f>
        <v>0</v>
      </c>
      <c r="U167" s="3">
        <f>H$174</f>
        <v>0</v>
      </c>
    </row>
    <row r="168" spans="1:21">
      <c r="A168" s="72" t="s">
        <v>214</v>
      </c>
      <c r="F168" s="3">
        <f t="shared" ref="F168:Q168" si="65">IF(AND(F158&gt;0,F164&lt;0),1,0)</f>
        <v>1</v>
      </c>
      <c r="G168" s="3">
        <f t="shared" si="65"/>
        <v>0</v>
      </c>
      <c r="H168" s="3">
        <f t="shared" si="65"/>
        <v>0</v>
      </c>
      <c r="I168" s="3">
        <f t="shared" si="65"/>
        <v>1</v>
      </c>
      <c r="J168" s="3">
        <f t="shared" si="65"/>
        <v>0</v>
      </c>
      <c r="K168" s="3">
        <f t="shared" si="65"/>
        <v>0</v>
      </c>
      <c r="L168" s="3">
        <f t="shared" si="65"/>
        <v>0</v>
      </c>
      <c r="M168" s="3">
        <f t="shared" si="65"/>
        <v>0</v>
      </c>
      <c r="N168" s="3">
        <f t="shared" si="65"/>
        <v>0</v>
      </c>
      <c r="O168" s="3">
        <f t="shared" si="65"/>
        <v>0</v>
      </c>
      <c r="P168" s="3">
        <f t="shared" si="65"/>
        <v>0</v>
      </c>
      <c r="Q168" s="3">
        <f t="shared" si="65"/>
        <v>0</v>
      </c>
      <c r="S168" s="3">
        <f>I$161</f>
        <v>0</v>
      </c>
      <c r="T168" s="3">
        <f>I$168</f>
        <v>1</v>
      </c>
      <c r="U168" s="3">
        <f>I$174</f>
        <v>0</v>
      </c>
    </row>
    <row r="169" spans="1:21">
      <c r="A169" s="76" t="s">
        <v>216</v>
      </c>
      <c r="S169" s="3">
        <f>J$161</f>
        <v>1</v>
      </c>
      <c r="T169" s="3">
        <f>J$168</f>
        <v>0</v>
      </c>
      <c r="U169" s="3">
        <f>J$174</f>
        <v>0</v>
      </c>
    </row>
    <row r="170" spans="1:21">
      <c r="A170" s="72" t="s">
        <v>208</v>
      </c>
      <c r="B170" s="32">
        <f>SUM(C170:E170)</f>
        <v>-2512.1754624315627</v>
      </c>
      <c r="C170" s="32">
        <f>SUM(F170:H170)</f>
        <v>-1359.2681008011882</v>
      </c>
      <c r="D170" s="32">
        <f>SUM(I170:M170)</f>
        <v>138.97632314400875</v>
      </c>
      <c r="E170" s="32">
        <f>SUM(N170:Q170)</f>
        <v>-1291.8836847743833</v>
      </c>
      <c r="F170" s="19">
        <f t="shared" ref="F170:Q170" si="66">F164-SUMPRODUCT(F$25:F$36,$T$165:$T$176)</f>
        <v>-38.161851872809613</v>
      </c>
      <c r="G170" s="19">
        <f t="shared" si="66"/>
        <v>-276.36463972282689</v>
      </c>
      <c r="H170" s="19">
        <f t="shared" si="66"/>
        <v>-1044.7416092055516</v>
      </c>
      <c r="I170" s="19">
        <f t="shared" si="66"/>
        <v>-82.059602624795943</v>
      </c>
      <c r="J170" s="19">
        <f t="shared" si="66"/>
        <v>-124.49170142139465</v>
      </c>
      <c r="K170" s="19">
        <f t="shared" si="66"/>
        <v>192.99216901251305</v>
      </c>
      <c r="L170" s="19">
        <f t="shared" si="66"/>
        <v>-50.531006716605546</v>
      </c>
      <c r="M170" s="19">
        <f t="shared" si="66"/>
        <v>203.06646489429181</v>
      </c>
      <c r="N170" s="19">
        <f t="shared" si="66"/>
        <v>713.9372304633232</v>
      </c>
      <c r="O170" s="19">
        <f t="shared" si="66"/>
        <v>590.89271815554775</v>
      </c>
      <c r="P170" s="19">
        <f t="shared" si="66"/>
        <v>12.335659743084989</v>
      </c>
      <c r="Q170" s="19">
        <f t="shared" si="66"/>
        <v>-2609.0492931363392</v>
      </c>
      <c r="S170" s="3">
        <f>K$161</f>
        <v>0</v>
      </c>
      <c r="T170" s="3">
        <f>K$168</f>
        <v>0</v>
      </c>
      <c r="U170" s="3">
        <f>K$174</f>
        <v>0</v>
      </c>
    </row>
    <row r="171" spans="1:21">
      <c r="A171" s="72" t="s">
        <v>318</v>
      </c>
      <c r="B171" s="32">
        <f>SUM(C171:E171)</f>
        <v>41053.36084485754</v>
      </c>
      <c r="C171" s="32">
        <f>SUM(F171:H171)</f>
        <v>8756.1980478143396</v>
      </c>
      <c r="D171" s="32">
        <f>SUM(I171:M171)</f>
        <v>5980.6683363230777</v>
      </c>
      <c r="E171" s="32">
        <f>SUM(N171:Q171)</f>
        <v>26316.494460720125</v>
      </c>
      <c r="F171" s="19">
        <f>F$159+(F170-F$158)*$B$162/100</f>
        <v>948.63175315388014</v>
      </c>
      <c r="G171" s="19">
        <f t="shared" ref="G171:Q171" si="67">G$159+(G170-G$158)*$B$162/100</f>
        <v>515.1333795477932</v>
      </c>
      <c r="H171" s="19">
        <f t="shared" si="67"/>
        <v>7292.4329151126667</v>
      </c>
      <c r="I171" s="19">
        <f t="shared" si="67"/>
        <v>120.21370779983076</v>
      </c>
      <c r="J171" s="19">
        <f t="shared" si="67"/>
        <v>488.68563302953214</v>
      </c>
      <c r="K171" s="19">
        <f t="shared" si="67"/>
        <v>2888.4870431495324</v>
      </c>
      <c r="L171" s="19">
        <f t="shared" si="67"/>
        <v>600.29246658747127</v>
      </c>
      <c r="M171" s="19">
        <f t="shared" si="67"/>
        <v>1882.9894857567106</v>
      </c>
      <c r="N171" s="19">
        <f t="shared" si="67"/>
        <v>7097.2569929493966</v>
      </c>
      <c r="O171" s="19">
        <f t="shared" si="67"/>
        <v>7951.992821761185</v>
      </c>
      <c r="P171" s="19">
        <f t="shared" si="67"/>
        <v>2151.9320219302817</v>
      </c>
      <c r="Q171" s="19">
        <f t="shared" si="67"/>
        <v>9115.3126240792644</v>
      </c>
      <c r="S171" s="3">
        <f>L$161</f>
        <v>1</v>
      </c>
      <c r="T171" s="3">
        <f>L$168</f>
        <v>0</v>
      </c>
      <c r="U171" s="3">
        <f>L$174</f>
        <v>0</v>
      </c>
    </row>
    <row r="172" spans="1:21">
      <c r="A172" s="72" t="s">
        <v>319</v>
      </c>
      <c r="B172" s="59">
        <f t="shared" ref="B172:Q172" si="68">100*B170/B171</f>
        <v>-6.1192930633016491</v>
      </c>
      <c r="C172" s="59">
        <f t="shared" si="68"/>
        <v>-15.523496537866444</v>
      </c>
      <c r="D172" s="59">
        <f t="shared" si="68"/>
        <v>2.3237590738805549</v>
      </c>
      <c r="E172" s="59">
        <f t="shared" si="68"/>
        <v>-4.9090264917413027</v>
      </c>
      <c r="F172" s="59">
        <f t="shared" si="68"/>
        <v>-4.0228309611115529</v>
      </c>
      <c r="G172" s="59">
        <f t="shared" si="68"/>
        <v>-53.649142279506712</v>
      </c>
      <c r="H172" s="59">
        <f t="shared" si="68"/>
        <v>-14.326379431485117</v>
      </c>
      <c r="I172" s="59">
        <f t="shared" si="68"/>
        <v>-68.261435510694284</v>
      </c>
      <c r="J172" s="59">
        <f t="shared" si="68"/>
        <v>-25.474802819478711</v>
      </c>
      <c r="K172" s="59">
        <f t="shared" si="68"/>
        <v>6.68142754769221</v>
      </c>
      <c r="L172" s="59">
        <f t="shared" si="68"/>
        <v>-8.4177312775326065</v>
      </c>
      <c r="M172" s="59">
        <f t="shared" si="68"/>
        <v>10.784259095992041</v>
      </c>
      <c r="N172" s="59">
        <f t="shared" si="68"/>
        <v>10.05934026586</v>
      </c>
      <c r="O172" s="59">
        <f t="shared" si="68"/>
        <v>7.4307501452784068</v>
      </c>
      <c r="P172" s="59">
        <f t="shared" si="68"/>
        <v>0.57323649712781866</v>
      </c>
      <c r="Q172" s="59">
        <f t="shared" si="68"/>
        <v>-28.622707752712746</v>
      </c>
      <c r="S172" s="3">
        <f>M$161</f>
        <v>0</v>
      </c>
      <c r="T172" s="3">
        <f>M$168</f>
        <v>0</v>
      </c>
      <c r="U172" s="3">
        <f>M$174</f>
        <v>0</v>
      </c>
    </row>
    <row r="173" spans="1:21">
      <c r="A173" s="30" t="s">
        <v>220</v>
      </c>
      <c r="S173" s="3">
        <f>N$161</f>
        <v>0</v>
      </c>
      <c r="T173" s="3">
        <f>N$168</f>
        <v>0</v>
      </c>
      <c r="U173" s="3">
        <f>N$174</f>
        <v>0</v>
      </c>
    </row>
    <row r="174" spans="1:21">
      <c r="A174" s="72" t="s">
        <v>214</v>
      </c>
      <c r="F174" s="3">
        <f t="shared" ref="F174:Q174" si="69">IF(AND(F164&gt;0,F170&lt;0),1,0)</f>
        <v>0</v>
      </c>
      <c r="G174" s="3">
        <f t="shared" si="69"/>
        <v>0</v>
      </c>
      <c r="H174" s="3">
        <f t="shared" si="69"/>
        <v>0</v>
      </c>
      <c r="I174" s="3">
        <f t="shared" si="69"/>
        <v>0</v>
      </c>
      <c r="J174" s="3">
        <f t="shared" si="69"/>
        <v>0</v>
      </c>
      <c r="K174" s="3">
        <f t="shared" si="69"/>
        <v>0</v>
      </c>
      <c r="L174" s="3">
        <f t="shared" si="69"/>
        <v>0</v>
      </c>
      <c r="M174" s="3">
        <f t="shared" si="69"/>
        <v>0</v>
      </c>
      <c r="N174" s="3">
        <f t="shared" si="69"/>
        <v>0</v>
      </c>
      <c r="O174" s="3">
        <f t="shared" si="69"/>
        <v>0</v>
      </c>
      <c r="P174" s="3">
        <f t="shared" si="69"/>
        <v>0</v>
      </c>
      <c r="Q174" s="3">
        <f t="shared" si="69"/>
        <v>0</v>
      </c>
      <c r="S174" s="3">
        <f>O$161</f>
        <v>0</v>
      </c>
      <c r="T174" s="3">
        <f>O$168</f>
        <v>0</v>
      </c>
      <c r="U174" s="3">
        <f>O$174</f>
        <v>0</v>
      </c>
    </row>
    <row r="175" spans="1:21">
      <c r="A175" s="76" t="s">
        <v>406</v>
      </c>
      <c r="S175" s="3">
        <f>P$161</f>
        <v>0</v>
      </c>
      <c r="T175" s="3">
        <f>P$168</f>
        <v>0</v>
      </c>
      <c r="U175" s="3">
        <f>P$174</f>
        <v>0</v>
      </c>
    </row>
    <row r="176" spans="1:21">
      <c r="A176" s="72" t="s">
        <v>408</v>
      </c>
      <c r="B176" s="32">
        <f>SUM(C176:E176)</f>
        <v>-3175.9147900136682</v>
      </c>
      <c r="C176" s="32">
        <f>SUM(F176:H176)</f>
        <v>-1421.2681008011882</v>
      </c>
      <c r="D176" s="32">
        <f>SUM(I176:M176)</f>
        <v>75.976323144008731</v>
      </c>
      <c r="E176" s="32">
        <f>SUM(N176:Q176)</f>
        <v>-1830.6230123564887</v>
      </c>
      <c r="F176" s="19">
        <f t="shared" ref="F176:Q176" si="70">F170-SUMPRODUCT(F$25:F$36,$T$165:$T$176)</f>
        <v>-42.161851872809613</v>
      </c>
      <c r="G176" s="19">
        <f t="shared" si="70"/>
        <v>-276.36463972282689</v>
      </c>
      <c r="H176" s="19">
        <f t="shared" si="70"/>
        <v>-1102.7416092055516</v>
      </c>
      <c r="I176" s="19">
        <f t="shared" si="70"/>
        <v>-82.059602624795943</v>
      </c>
      <c r="J176" s="19">
        <f t="shared" si="70"/>
        <v>-134.49170142139465</v>
      </c>
      <c r="K176" s="19">
        <f t="shared" si="70"/>
        <v>190.99216901251305</v>
      </c>
      <c r="L176" s="19">
        <f t="shared" si="70"/>
        <v>-57.531006716605546</v>
      </c>
      <c r="M176" s="19">
        <f t="shared" si="70"/>
        <v>159.06646489429181</v>
      </c>
      <c r="N176" s="19">
        <f t="shared" si="70"/>
        <v>713.9372304633232</v>
      </c>
      <c r="O176" s="19">
        <f t="shared" si="70"/>
        <v>590.89271815554775</v>
      </c>
      <c r="P176" s="19">
        <f t="shared" si="70"/>
        <v>12.335659743084989</v>
      </c>
      <c r="Q176" s="19">
        <f t="shared" si="70"/>
        <v>-3147.7886207184447</v>
      </c>
      <c r="S176" s="3">
        <f>Q$161</f>
        <v>1</v>
      </c>
      <c r="T176" s="3">
        <f>Q$168</f>
        <v>0</v>
      </c>
      <c r="U176" s="3">
        <f>Q$174</f>
        <v>0</v>
      </c>
    </row>
    <row r="177" spans="1:19">
      <c r="A177" s="72" t="s">
        <v>409</v>
      </c>
      <c r="B177" s="32">
        <f>SUM(C177:E177)</f>
        <v>40920.612979341124</v>
      </c>
      <c r="C177" s="32">
        <f>SUM(F177:H177)</f>
        <v>8743.79804781434</v>
      </c>
      <c r="D177" s="32">
        <f>SUM(I177:M177)</f>
        <v>5968.0683363230764</v>
      </c>
      <c r="E177" s="32">
        <f>SUM(N177:Q177)</f>
        <v>26208.746595203706</v>
      </c>
      <c r="F177" s="19">
        <f t="shared" ref="F177:Q177" si="71">F$159+(F176-F$158)*$B$162/100</f>
        <v>947.83175315388019</v>
      </c>
      <c r="G177" s="19">
        <f t="shared" si="71"/>
        <v>515.1333795477932</v>
      </c>
      <c r="H177" s="19">
        <f t="shared" si="71"/>
        <v>7280.8329151126673</v>
      </c>
      <c r="I177" s="19">
        <f t="shared" si="71"/>
        <v>120.21370779983076</v>
      </c>
      <c r="J177" s="19">
        <f t="shared" si="71"/>
        <v>486.68563302953214</v>
      </c>
      <c r="K177" s="19">
        <f t="shared" si="71"/>
        <v>2888.0870431495323</v>
      </c>
      <c r="L177" s="19">
        <f t="shared" si="71"/>
        <v>598.89246658747129</v>
      </c>
      <c r="M177" s="19">
        <f t="shared" si="71"/>
        <v>1874.1894857567106</v>
      </c>
      <c r="N177" s="19">
        <f t="shared" si="71"/>
        <v>7097.2569929493966</v>
      </c>
      <c r="O177" s="19">
        <f t="shared" si="71"/>
        <v>7951.992821761185</v>
      </c>
      <c r="P177" s="19">
        <f t="shared" si="71"/>
        <v>2151.9320219302817</v>
      </c>
      <c r="Q177" s="19">
        <f t="shared" si="71"/>
        <v>9007.5647585628431</v>
      </c>
    </row>
    <row r="178" spans="1:19">
      <c r="A178" s="72" t="s">
        <v>410</v>
      </c>
      <c r="B178" s="59">
        <f t="shared" ref="B178:Q178" si="72">100*B176/B177</f>
        <v>-7.761161328685465</v>
      </c>
      <c r="C178" s="59">
        <f t="shared" si="72"/>
        <v>-16.254585170302033</v>
      </c>
      <c r="D178" s="59">
        <f t="shared" si="72"/>
        <v>1.2730471379089083</v>
      </c>
      <c r="E178" s="59">
        <f t="shared" si="72"/>
        <v>-6.9847789389955004</v>
      </c>
      <c r="F178" s="59">
        <f t="shared" si="72"/>
        <v>-4.4482421835433748</v>
      </c>
      <c r="G178" s="59">
        <f t="shared" si="72"/>
        <v>-53.649142279506712</v>
      </c>
      <c r="H178" s="59">
        <f t="shared" si="72"/>
        <v>-15.14581672265291</v>
      </c>
      <c r="I178" s="59">
        <f t="shared" si="72"/>
        <v>-68.261435510694284</v>
      </c>
      <c r="J178" s="59">
        <f t="shared" si="72"/>
        <v>-27.63420415437529</v>
      </c>
      <c r="K178" s="59">
        <f t="shared" si="72"/>
        <v>6.6131029348835426</v>
      </c>
      <c r="L178" s="59">
        <f t="shared" si="72"/>
        <v>-9.6062331597558757</v>
      </c>
      <c r="M178" s="59">
        <f t="shared" si="72"/>
        <v>8.4872135983661323</v>
      </c>
      <c r="N178" s="59">
        <f t="shared" si="72"/>
        <v>10.05934026586</v>
      </c>
      <c r="O178" s="59">
        <f t="shared" si="72"/>
        <v>7.4307501452784068</v>
      </c>
      <c r="P178" s="59">
        <f t="shared" si="72"/>
        <v>0.57323649712781866</v>
      </c>
      <c r="Q178" s="59">
        <f t="shared" si="72"/>
        <v>-34.946055955091175</v>
      </c>
      <c r="S178" s="2"/>
    </row>
    <row r="179" spans="1:19">
      <c r="A179" s="30" t="s">
        <v>407</v>
      </c>
    </row>
    <row r="180" spans="1:19">
      <c r="A180" s="72" t="s">
        <v>214</v>
      </c>
      <c r="F180" s="3">
        <f t="shared" ref="F180:Q180" si="73">IF(AND(F170&gt;0,F176&lt;0),1,0)</f>
        <v>0</v>
      </c>
      <c r="G180" s="3">
        <f t="shared" si="73"/>
        <v>0</v>
      </c>
      <c r="H180" s="3">
        <f t="shared" si="73"/>
        <v>0</v>
      </c>
      <c r="I180" s="3">
        <f t="shared" si="73"/>
        <v>0</v>
      </c>
      <c r="J180" s="3">
        <f t="shared" si="73"/>
        <v>0</v>
      </c>
      <c r="K180" s="3">
        <f t="shared" si="73"/>
        <v>0</v>
      </c>
      <c r="L180" s="3">
        <f t="shared" si="73"/>
        <v>0</v>
      </c>
      <c r="M180" s="3">
        <f t="shared" si="73"/>
        <v>0</v>
      </c>
      <c r="N180" s="3">
        <f t="shared" si="73"/>
        <v>0</v>
      </c>
      <c r="O180" s="3">
        <f t="shared" si="73"/>
        <v>0</v>
      </c>
      <c r="P180" s="3">
        <f t="shared" si="73"/>
        <v>0</v>
      </c>
      <c r="Q180" s="3">
        <f t="shared" si="73"/>
        <v>0</v>
      </c>
    </row>
  </sheetData>
  <phoneticPr fontId="3" type="noConversion"/>
  <conditionalFormatting sqref="F47:Q58 F164:Q164 F170:Q170 F176:Q176">
    <cfRule type="cellIs" dxfId="3" priority="1" stopIfTrue="1" operator="lessThan">
      <formula>0</formula>
    </cfRule>
  </conditionalFormatting>
  <conditionalFormatting sqref="F61:Q112 F115:Q141 B143:Q154 F168:Q168">
    <cfRule type="cellIs" dxfId="2" priority="2" stopIfTrue="1" operator="equal">
      <formula>1</formula>
    </cfRule>
  </conditionalFormatting>
  <conditionalFormatting sqref="S47:S58">
    <cfRule type="cellIs" dxfId="1" priority="3" stopIfTrue="1" operator="lessThanOrEqual">
      <formula>#REF!</formula>
    </cfRule>
    <cfRule type="cellIs" dxfId="0" priority="4" stopIfTrue="1" operator="between">
      <formula>#REF!</formula>
      <formula>#REF!</formula>
    </cfRule>
    <cfRule type="cellIs" priority="5" stopIfTrue="1" operator="greaterThan">
      <formula>#REF!</formula>
    </cfRule>
  </conditionalFormatting>
  <pageMargins left="0.75" right="0.75" top="1" bottom="1" header="0.5" footer="0.5"/>
  <pageSetup scale="51" orientation="landscape"/>
  <headerFooter alignWithMargins="0"/>
  <rowBreaks count="3" manualBreakCount="3">
    <brk id="42" max="16" man="1"/>
    <brk id="85" max="16" man="1"/>
    <brk id="141" max="16" man="1"/>
  </rowBreaks>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50"/>
  <sheetViews>
    <sheetView zoomScaleNormal="100" workbookViewId="0">
      <pane ySplit="2" topLeftCell="A3" activePane="bottomLeft" state="frozen"/>
      <selection pane="bottomLeft" activeCell="Q25" sqref="Q25"/>
    </sheetView>
  </sheetViews>
  <sheetFormatPr baseColWidth="10" defaultRowHeight="13"/>
  <cols>
    <col min="1" max="1" width="39" customWidth="1"/>
    <col min="2" max="2" width="11.3984375" bestFit="1" customWidth="1"/>
    <col min="3" max="4" width="9.59765625" bestFit="1" customWidth="1"/>
    <col min="5" max="5" width="9.796875" bestFit="1" customWidth="1"/>
    <col min="6" max="6" width="11" bestFit="1" customWidth="1"/>
    <col min="7" max="7" width="9.796875" bestFit="1" customWidth="1"/>
    <col min="8" max="8" width="10" customWidth="1"/>
    <col min="9" max="13" width="9.796875" bestFit="1" customWidth="1"/>
    <col min="14" max="14" width="10" bestFit="1" customWidth="1"/>
    <col min="15" max="15" width="10.19921875" customWidth="1"/>
    <col min="16" max="17" width="9.3984375" bestFit="1" customWidth="1"/>
    <col min="18" max="256" width="9" customWidth="1"/>
  </cols>
  <sheetData>
    <row r="1" spans="1:38" s="3" customFormat="1" ht="16">
      <c r="A1" s="30" t="s">
        <v>12</v>
      </c>
    </row>
    <row r="2" spans="1:38" s="16" customFormat="1" ht="29.25" customHeight="1">
      <c r="A2" s="14"/>
      <c r="B2" s="14" t="str">
        <f>Data!B3</f>
        <v>All Banks</v>
      </c>
      <c r="C2" s="14" t="str">
        <f>Data!C3</f>
        <v>State Owned (SB)</v>
      </c>
      <c r="D2" s="14" t="str">
        <f>Data!D3</f>
        <v>Domestic Private (DB)</v>
      </c>
      <c r="E2" s="14" t="str">
        <f>Data!E3</f>
        <v>Foreign (FB)</v>
      </c>
      <c r="F2" s="15" t="str">
        <f>Data!F3</f>
        <v>SB1</v>
      </c>
      <c r="G2" s="15" t="str">
        <f>Data!G3</f>
        <v>SB2</v>
      </c>
      <c r="H2" s="15" t="str">
        <f>Data!H3</f>
        <v>SB3</v>
      </c>
      <c r="I2" s="15" t="str">
        <f>Data!I3</f>
        <v>DB1</v>
      </c>
      <c r="J2" s="15" t="str">
        <f>Data!J3</f>
        <v>DB2</v>
      </c>
      <c r="K2" s="15" t="str">
        <f>Data!K3</f>
        <v>DB3</v>
      </c>
      <c r="L2" s="15" t="str">
        <f>Data!L3</f>
        <v>DB4</v>
      </c>
      <c r="M2" s="15" t="str">
        <f>Data!M3</f>
        <v>DB5</v>
      </c>
      <c r="N2" s="15" t="str">
        <f>Data!N3</f>
        <v>FB1</v>
      </c>
      <c r="O2" s="15" t="str">
        <f>Data!O3</f>
        <v>FB2</v>
      </c>
      <c r="P2" s="15" t="str">
        <f>Data!P3</f>
        <v>FB3</v>
      </c>
      <c r="Q2" s="15" t="str">
        <f>Data!Q3</f>
        <v>FB4</v>
      </c>
      <c r="S2" s="17"/>
      <c r="T2" s="17"/>
      <c r="U2" s="17"/>
      <c r="V2" s="17"/>
      <c r="W2" s="17"/>
      <c r="X2" s="17"/>
      <c r="Y2" s="17"/>
      <c r="Z2" s="17"/>
      <c r="AA2" s="17"/>
      <c r="AB2" s="17"/>
      <c r="AC2" s="17"/>
      <c r="AD2" s="17"/>
      <c r="AE2" s="17"/>
      <c r="AF2" s="17"/>
      <c r="AG2" s="17"/>
      <c r="AH2" s="17"/>
      <c r="AI2" s="17"/>
      <c r="AJ2" s="17"/>
      <c r="AK2" s="17"/>
      <c r="AL2" s="17"/>
    </row>
    <row r="3" spans="1:38" s="3" customFormat="1" ht="15" customHeight="1">
      <c r="A3" s="30" t="s">
        <v>0</v>
      </c>
    </row>
    <row r="4" spans="1:38" s="3" customFormat="1" ht="15" customHeight="1">
      <c r="A4" s="3" t="s">
        <v>368</v>
      </c>
      <c r="B4" s="19">
        <f>SUM(C4:E4)</f>
        <v>11535.89</v>
      </c>
      <c r="C4" s="19">
        <f>SUM(F4:H4)</f>
        <v>5335.6</v>
      </c>
      <c r="D4" s="19">
        <f>SUM(I4:M4)</f>
        <v>2701.0599999999995</v>
      </c>
      <c r="E4" s="19">
        <f>SUM(N4:Q4)</f>
        <v>3499.23</v>
      </c>
      <c r="F4" s="19">
        <f>Data!F13</f>
        <v>899.2</v>
      </c>
      <c r="G4" s="19">
        <f>Data!G13</f>
        <v>883.8</v>
      </c>
      <c r="H4" s="19">
        <f>Data!H13</f>
        <v>3552.6</v>
      </c>
      <c r="I4" s="19">
        <f>Data!I13</f>
        <v>54.8</v>
      </c>
      <c r="J4" s="19">
        <f>Data!J13</f>
        <v>319</v>
      </c>
      <c r="K4" s="19">
        <f>Data!K13</f>
        <v>1415.04</v>
      </c>
      <c r="L4" s="19">
        <f>Data!L13</f>
        <v>304.98</v>
      </c>
      <c r="M4" s="19">
        <f>Data!M13</f>
        <v>607.24</v>
      </c>
      <c r="N4" s="19">
        <f>Data!N13</f>
        <v>1768.26</v>
      </c>
      <c r="O4" s="19">
        <f>Data!O13</f>
        <v>1166.4000000000001</v>
      </c>
      <c r="P4" s="19">
        <f>Data!P13</f>
        <v>564.57000000000005</v>
      </c>
      <c r="Q4" s="19">
        <f>Data!Q13</f>
        <v>0</v>
      </c>
    </row>
    <row r="5" spans="1:38" s="3" customFormat="1" ht="15" customHeight="1">
      <c r="A5" s="37" t="s">
        <v>263</v>
      </c>
      <c r="B5" s="19"/>
      <c r="C5" s="19"/>
      <c r="D5" s="19"/>
      <c r="E5" s="19"/>
      <c r="F5" s="81">
        <f>Assumptions!B83</f>
        <v>15</v>
      </c>
      <c r="G5" s="81">
        <f>Assumptions!C83</f>
        <v>15</v>
      </c>
      <c r="H5" s="81">
        <f>Assumptions!D83</f>
        <v>15</v>
      </c>
      <c r="I5" s="81">
        <f>Assumptions!E83</f>
        <v>15</v>
      </c>
      <c r="J5" s="81">
        <f>Assumptions!F83</f>
        <v>15</v>
      </c>
      <c r="K5" s="81">
        <f>Assumptions!G83</f>
        <v>15</v>
      </c>
      <c r="L5" s="81">
        <f>Assumptions!H83</f>
        <v>15</v>
      </c>
      <c r="M5" s="81">
        <f>Assumptions!I83</f>
        <v>15</v>
      </c>
      <c r="N5" s="81">
        <f>Assumptions!J83</f>
        <v>15</v>
      </c>
      <c r="O5" s="81">
        <f>Assumptions!K83</f>
        <v>15</v>
      </c>
      <c r="P5" s="81">
        <f>Assumptions!L83</f>
        <v>15</v>
      </c>
      <c r="Q5" s="81">
        <f>Assumptions!M83</f>
        <v>15</v>
      </c>
    </row>
    <row r="6" spans="1:38" s="3" customFormat="1" ht="15" customHeight="1">
      <c r="A6" s="3" t="s">
        <v>367</v>
      </c>
      <c r="B6" s="19">
        <f>SUM(C6:E6)</f>
        <v>18039.11</v>
      </c>
      <c r="C6" s="19">
        <f>SUM(F6:H6)</f>
        <v>2691.4</v>
      </c>
      <c r="D6" s="19">
        <f>SUM(I6:M6)</f>
        <v>2664.94</v>
      </c>
      <c r="E6" s="19">
        <f>SUM(N6:Q6)</f>
        <v>12682.77</v>
      </c>
      <c r="F6" s="19">
        <f>Data!F14</f>
        <v>224.8</v>
      </c>
      <c r="G6" s="19">
        <f>Data!G14</f>
        <v>98.2</v>
      </c>
      <c r="H6" s="19">
        <f>Data!H14</f>
        <v>2368.4</v>
      </c>
      <c r="I6" s="19">
        <f>Data!I14</f>
        <v>82.2</v>
      </c>
      <c r="J6" s="19">
        <f>Data!J14</f>
        <v>319</v>
      </c>
      <c r="K6" s="19">
        <f>Data!K14</f>
        <v>795.96</v>
      </c>
      <c r="L6" s="19">
        <f>Data!L14</f>
        <v>477.02</v>
      </c>
      <c r="M6" s="19">
        <f>Data!M14</f>
        <v>990.76</v>
      </c>
      <c r="N6" s="19">
        <f>Data!N14</f>
        <v>5032.74</v>
      </c>
      <c r="O6" s="19">
        <f>Data!O14</f>
        <v>6123.6</v>
      </c>
      <c r="P6" s="19">
        <f>Data!P14</f>
        <v>1526.43</v>
      </c>
      <c r="Q6" s="19">
        <f>Data!Q14</f>
        <v>0</v>
      </c>
    </row>
    <row r="7" spans="1:38" s="3" customFormat="1" ht="15" customHeight="1">
      <c r="A7" s="37" t="s">
        <v>263</v>
      </c>
      <c r="B7" s="19"/>
      <c r="C7" s="19"/>
      <c r="D7" s="19"/>
      <c r="E7" s="19"/>
      <c r="F7" s="81">
        <f>Assumptions!B84</f>
        <v>10</v>
      </c>
      <c r="G7" s="81">
        <f>Assumptions!C84</f>
        <v>10</v>
      </c>
      <c r="H7" s="81">
        <f>Assumptions!D84</f>
        <v>10</v>
      </c>
      <c r="I7" s="81">
        <f>Assumptions!E84</f>
        <v>10</v>
      </c>
      <c r="J7" s="81">
        <f>Assumptions!F84</f>
        <v>10</v>
      </c>
      <c r="K7" s="81">
        <f>Assumptions!G84</f>
        <v>10</v>
      </c>
      <c r="L7" s="81">
        <f>Assumptions!H84</f>
        <v>10</v>
      </c>
      <c r="M7" s="81">
        <f>Assumptions!I84</f>
        <v>10</v>
      </c>
      <c r="N7" s="81">
        <f>Assumptions!J84</f>
        <v>10</v>
      </c>
      <c r="O7" s="81">
        <f>Assumptions!K84</f>
        <v>10</v>
      </c>
      <c r="P7" s="81">
        <f>Assumptions!L84</f>
        <v>10</v>
      </c>
      <c r="Q7" s="81">
        <f>Assumptions!M84</f>
        <v>10</v>
      </c>
    </row>
    <row r="8" spans="1:38" ht="16">
      <c r="A8" s="3" t="s">
        <v>369</v>
      </c>
      <c r="B8" s="19">
        <f>SUM(C8:E8)</f>
        <v>26797.966298606858</v>
      </c>
      <c r="C8" s="19">
        <f>SUM(F8:H8)</f>
        <v>6670.3004623917823</v>
      </c>
      <c r="D8" s="19">
        <f>SUM(I8:M8)</f>
        <v>2778.0755368716195</v>
      </c>
      <c r="E8" s="19">
        <f>SUM(N8:Q8)</f>
        <v>17349.590299343454</v>
      </c>
      <c r="F8" s="19">
        <f>Data!F16</f>
        <v>952.004321390516</v>
      </c>
      <c r="G8" s="19">
        <f>Data!G16</f>
        <v>1500.7414554336349</v>
      </c>
      <c r="H8" s="19">
        <f>Data!H16</f>
        <v>4217.5546855676312</v>
      </c>
      <c r="I8" s="19">
        <f>Data!I16</f>
        <v>65.825921340320718</v>
      </c>
      <c r="J8" s="19">
        <f>Data!J16</f>
        <v>425.52119863062836</v>
      </c>
      <c r="K8" s="19">
        <f>Data!K16</f>
        <v>1200.0117194724437</v>
      </c>
      <c r="L8" s="19">
        <f>Data!L16</f>
        <v>461.38348221850441</v>
      </c>
      <c r="M8" s="19">
        <f>Data!M16</f>
        <v>625.33321520972231</v>
      </c>
      <c r="N8" s="19">
        <f>Data!N16</f>
        <v>1527.2988628067699</v>
      </c>
      <c r="O8" s="19">
        <f>Data!O16</f>
        <v>1704.4801650191764</v>
      </c>
      <c r="P8" s="19">
        <f>Data!P16</f>
        <v>684.71043825519359</v>
      </c>
      <c r="Q8" s="19">
        <f>Data!Q16</f>
        <v>13433.100833262313</v>
      </c>
    </row>
    <row r="9" spans="1:38" ht="16">
      <c r="A9" s="37" t="s">
        <v>263</v>
      </c>
      <c r="F9" s="81">
        <f>Assumptions!B86</f>
        <v>3</v>
      </c>
      <c r="G9" s="81">
        <f>Assumptions!C86</f>
        <v>3</v>
      </c>
      <c r="H9" s="81">
        <f>Assumptions!D86</f>
        <v>3</v>
      </c>
      <c r="I9" s="81">
        <f>Assumptions!E86</f>
        <v>3</v>
      </c>
      <c r="J9" s="81">
        <f>Assumptions!F86</f>
        <v>3</v>
      </c>
      <c r="K9" s="81">
        <f>Assumptions!G86</f>
        <v>3</v>
      </c>
      <c r="L9" s="81">
        <f>Assumptions!H86</f>
        <v>3</v>
      </c>
      <c r="M9" s="81">
        <f>Assumptions!I86</f>
        <v>3</v>
      </c>
      <c r="N9" s="81">
        <f>Assumptions!J86</f>
        <v>3</v>
      </c>
      <c r="O9" s="81">
        <f>Assumptions!K86</f>
        <v>3</v>
      </c>
      <c r="P9" s="81">
        <f>Assumptions!L86</f>
        <v>3</v>
      </c>
      <c r="Q9" s="81">
        <f>Assumptions!M86</f>
        <v>3</v>
      </c>
    </row>
    <row r="10" spans="1:38" s="3" customFormat="1" ht="15" customHeight="1">
      <c r="A10" s="3" t="s">
        <v>370</v>
      </c>
      <c r="B10" s="19">
        <f>SUM(C10:E10)</f>
        <v>39281.673619953763</v>
      </c>
      <c r="C10" s="19">
        <f>SUM(F10:H10)</f>
        <v>2800.330728371192</v>
      </c>
      <c r="D10" s="19">
        <f>SUM(I10:M10)</f>
        <v>3258.2241724988071</v>
      </c>
      <c r="E10" s="19">
        <f>SUM(N10:Q10)</f>
        <v>33223.118719083766</v>
      </c>
      <c r="F10" s="19">
        <f>Data!F17</f>
        <v>223.30965563481232</v>
      </c>
      <c r="G10" s="19">
        <f>Data!G17</f>
        <v>204.64656210458656</v>
      </c>
      <c r="H10" s="19">
        <f>Data!H17</f>
        <v>2372.3745106317929</v>
      </c>
      <c r="I10" s="19">
        <f>Data!I17</f>
        <v>90.90246280330004</v>
      </c>
      <c r="J10" s="19">
        <f>Data!J17</f>
        <v>408.83409280197628</v>
      </c>
      <c r="K10" s="19">
        <f>Data!K17</f>
        <v>767.22060753156234</v>
      </c>
      <c r="L10" s="19">
        <f>Data!L17</f>
        <v>721.65108757253256</v>
      </c>
      <c r="M10" s="19">
        <f>Data!M17</f>
        <v>1269.615921789436</v>
      </c>
      <c r="N10" s="19">
        <f>Data!N17</f>
        <v>4129.3635920331189</v>
      </c>
      <c r="O10" s="19">
        <f>Data!O17</f>
        <v>6412.0920493578542</v>
      </c>
      <c r="P10" s="19">
        <f>Data!P17</f>
        <v>1524.0329109551083</v>
      </c>
      <c r="Q10" s="19">
        <f>Data!Q17</f>
        <v>21157.630166737687</v>
      </c>
    </row>
    <row r="11" spans="1:38" s="3" customFormat="1" ht="15" customHeight="1">
      <c r="A11" s="37" t="s">
        <v>263</v>
      </c>
      <c r="B11" s="19"/>
      <c r="C11" s="19"/>
      <c r="D11" s="19"/>
      <c r="E11" s="19"/>
      <c r="F11" s="81">
        <f>Assumptions!B87</f>
        <v>1</v>
      </c>
      <c r="G11" s="81">
        <f>Assumptions!C87</f>
        <v>1</v>
      </c>
      <c r="H11" s="81">
        <f>Assumptions!D87</f>
        <v>1</v>
      </c>
      <c r="I11" s="81">
        <f>Assumptions!E87</f>
        <v>1</v>
      </c>
      <c r="J11" s="81">
        <f>Assumptions!F87</f>
        <v>1</v>
      </c>
      <c r="K11" s="81">
        <f>Assumptions!G87</f>
        <v>1</v>
      </c>
      <c r="L11" s="81">
        <f>Assumptions!H87</f>
        <v>1</v>
      </c>
      <c r="M11" s="81">
        <f>Assumptions!I87</f>
        <v>1</v>
      </c>
      <c r="N11" s="81">
        <f>Assumptions!J87</f>
        <v>1</v>
      </c>
      <c r="O11" s="81">
        <f>Assumptions!K87</f>
        <v>1</v>
      </c>
      <c r="P11" s="81">
        <f>Assumptions!L87</f>
        <v>1</v>
      </c>
      <c r="Q11" s="81">
        <f>Assumptions!M87</f>
        <v>1</v>
      </c>
    </row>
    <row r="12" spans="1:38" ht="16">
      <c r="A12" s="3" t="s">
        <v>253</v>
      </c>
      <c r="B12" s="19">
        <f>SUM(C12:E12)</f>
        <v>20869.582000000002</v>
      </c>
      <c r="C12" s="19">
        <f>SUM(F12:H12)</f>
        <v>1983</v>
      </c>
      <c r="D12" s="19">
        <f>SUM(I12:M12)</f>
        <v>2054</v>
      </c>
      <c r="E12" s="19">
        <f>SUM(N12:Q12)</f>
        <v>16832.582000000002</v>
      </c>
      <c r="F12" s="19">
        <f>Data!F87</f>
        <v>381</v>
      </c>
      <c r="G12" s="19">
        <f>Data!G87</f>
        <v>263</v>
      </c>
      <c r="H12" s="19">
        <f>Data!H87</f>
        <v>1339</v>
      </c>
      <c r="I12" s="19">
        <f>Data!I87</f>
        <v>26</v>
      </c>
      <c r="J12" s="19">
        <f>Data!J87</f>
        <v>262</v>
      </c>
      <c r="K12" s="19">
        <f>Data!K87</f>
        <v>797</v>
      </c>
      <c r="L12" s="19">
        <f>Data!L87</f>
        <v>328</v>
      </c>
      <c r="M12" s="19">
        <f>Data!M87</f>
        <v>641</v>
      </c>
      <c r="N12" s="19">
        <f>Data!N87</f>
        <v>2992</v>
      </c>
      <c r="O12" s="19">
        <f>Data!O87</f>
        <v>1230</v>
      </c>
      <c r="P12" s="19">
        <f>Data!P87</f>
        <v>1371</v>
      </c>
      <c r="Q12" s="19">
        <f>Data!Q87</f>
        <v>11239.582</v>
      </c>
    </row>
    <row r="13" spans="1:38" ht="16">
      <c r="A13" s="37" t="s">
        <v>289</v>
      </c>
      <c r="B13" s="19"/>
      <c r="C13" s="19"/>
      <c r="D13" s="19"/>
      <c r="E13" s="19"/>
      <c r="F13" s="81">
        <f>Assumptions!B88</f>
        <v>95</v>
      </c>
      <c r="G13" s="81">
        <f>Assumptions!C88</f>
        <v>95</v>
      </c>
      <c r="H13" s="81">
        <f>Assumptions!D88</f>
        <v>95</v>
      </c>
      <c r="I13" s="81">
        <f>Assumptions!E88</f>
        <v>95</v>
      </c>
      <c r="J13" s="81">
        <f>Assumptions!F88</f>
        <v>95</v>
      </c>
      <c r="K13" s="81">
        <f>Assumptions!G88</f>
        <v>95</v>
      </c>
      <c r="L13" s="81">
        <f>Assumptions!H88</f>
        <v>95</v>
      </c>
      <c r="M13" s="81">
        <f>Assumptions!I88</f>
        <v>95</v>
      </c>
      <c r="N13" s="81">
        <f>Assumptions!J88</f>
        <v>95</v>
      </c>
      <c r="O13" s="81">
        <f>Assumptions!K88</f>
        <v>95</v>
      </c>
      <c r="P13" s="81">
        <f>Assumptions!L88</f>
        <v>95</v>
      </c>
      <c r="Q13" s="81">
        <f>Assumptions!M88</f>
        <v>95</v>
      </c>
    </row>
    <row r="14" spans="1:38" ht="16">
      <c r="A14" s="3" t="s">
        <v>288</v>
      </c>
      <c r="B14" s="19">
        <f>SUM(C14:E14)</f>
        <v>82606.489978823578</v>
      </c>
      <c r="C14" s="19">
        <f>SUM(F14:H14)</f>
        <v>16022.164936214183</v>
      </c>
      <c r="D14" s="19">
        <f>SUM(I14:M14)</f>
        <v>10565.303873609409</v>
      </c>
      <c r="E14" s="19">
        <f>SUM(N14:Q14)</f>
        <v>56019.021168999992</v>
      </c>
      <c r="F14" s="19">
        <f>Data!F5-Data!F87</f>
        <v>1999.7051937092292</v>
      </c>
      <c r="G14" s="19">
        <f>Data!G5-Data!G87</f>
        <v>2489.9423129049565</v>
      </c>
      <c r="H14" s="19">
        <f>Data!H5-Data!H87</f>
        <v>11532.517429599999</v>
      </c>
      <c r="I14" s="19">
        <f>Data!I5-Data!I87</f>
        <v>305.00639810339652</v>
      </c>
      <c r="J14" s="19">
        <f>Data!J5-Data!J87</f>
        <v>1212.805726497528</v>
      </c>
      <c r="K14" s="19">
        <f>Data!K5-Data!K87</f>
        <v>3908.0385497220368</v>
      </c>
      <c r="L14" s="19">
        <f>Data!L5-Data!L87</f>
        <v>1693.1798724052971</v>
      </c>
      <c r="M14" s="19">
        <f>Data!M5-Data!M87</f>
        <v>3446.2733268811517</v>
      </c>
      <c r="N14" s="19">
        <f>Data!N5-Data!N87</f>
        <v>11128.701245000002</v>
      </c>
      <c r="O14" s="19">
        <f>Data!O5-Data!O87</f>
        <v>15891.210494999996</v>
      </c>
      <c r="P14" s="19">
        <f>Data!P5-Data!P87</f>
        <v>3211.979429</v>
      </c>
      <c r="Q14" s="19">
        <f>Data!Q5-Data!Q87</f>
        <v>25787.129999999997</v>
      </c>
    </row>
    <row r="15" spans="1:38" ht="16">
      <c r="A15" s="37" t="s">
        <v>289</v>
      </c>
      <c r="B15" s="19"/>
      <c r="C15" s="19"/>
      <c r="D15" s="19"/>
      <c r="E15" s="19"/>
      <c r="F15" s="81">
        <f>Assumptions!B89</f>
        <v>1</v>
      </c>
      <c r="G15" s="81">
        <f>Assumptions!C89</f>
        <v>1</v>
      </c>
      <c r="H15" s="81">
        <f>Assumptions!D89</f>
        <v>1</v>
      </c>
      <c r="I15" s="81">
        <f>Assumptions!E89</f>
        <v>1</v>
      </c>
      <c r="J15" s="81">
        <f>Assumptions!F89</f>
        <v>1</v>
      </c>
      <c r="K15" s="81">
        <f>Assumptions!G89</f>
        <v>1</v>
      </c>
      <c r="L15" s="81">
        <f>Assumptions!H89</f>
        <v>1</v>
      </c>
      <c r="M15" s="81">
        <f>Assumptions!I89</f>
        <v>1</v>
      </c>
      <c r="N15" s="81">
        <f>Assumptions!J89</f>
        <v>1</v>
      </c>
      <c r="O15" s="81">
        <f>Assumptions!K89</f>
        <v>1</v>
      </c>
      <c r="P15" s="81">
        <f>Assumptions!L89</f>
        <v>1</v>
      </c>
      <c r="Q15" s="81">
        <f>Assumptions!M89</f>
        <v>1</v>
      </c>
    </row>
    <row r="16" spans="1:38" ht="16">
      <c r="A16" s="3" t="s">
        <v>292</v>
      </c>
      <c r="B16" s="19"/>
      <c r="C16" s="19"/>
      <c r="D16" s="19"/>
      <c r="E16" s="19"/>
      <c r="F16" s="19"/>
      <c r="G16" s="19"/>
      <c r="H16" s="19"/>
      <c r="I16" s="19"/>
      <c r="J16" s="19"/>
      <c r="K16" s="19"/>
      <c r="L16" s="19"/>
      <c r="M16" s="19"/>
      <c r="N16" s="19"/>
      <c r="O16" s="19"/>
      <c r="P16" s="19"/>
      <c r="Q16" s="19"/>
    </row>
    <row r="17" spans="1:17" ht="16">
      <c r="A17" s="83">
        <v>1</v>
      </c>
      <c r="B17" s="19"/>
      <c r="C17" s="19"/>
      <c r="D17" s="19"/>
      <c r="E17" s="19"/>
      <c r="F17" s="19"/>
      <c r="G17" s="19"/>
      <c r="H17" s="19"/>
      <c r="I17" s="19"/>
      <c r="J17" s="19"/>
      <c r="K17" s="19"/>
      <c r="L17" s="19"/>
      <c r="M17" s="19"/>
      <c r="N17" s="19"/>
      <c r="O17" s="19"/>
      <c r="P17" s="19"/>
      <c r="Q17" s="19"/>
    </row>
    <row r="18" spans="1:17" ht="16">
      <c r="A18" s="37" t="s">
        <v>373</v>
      </c>
      <c r="B18" s="19">
        <f t="shared" ref="B18:B27" si="0">SUM(C18:E18)</f>
        <v>9805.5064999999995</v>
      </c>
      <c r="C18" s="19">
        <f t="shared" ref="C18:C27" si="1">SUM(F18:H18)</f>
        <v>4535.26</v>
      </c>
      <c r="D18" s="19">
        <f t="shared" ref="D18:D27" si="2">SUM(I18:M18)</f>
        <v>2295.9009999999998</v>
      </c>
      <c r="E18" s="19">
        <f t="shared" ref="E18:E27" si="3">SUM(N18:Q18)</f>
        <v>2974.3455000000004</v>
      </c>
      <c r="F18" s="19">
        <f>F4-F4*F5/100</f>
        <v>764.32</v>
      </c>
      <c r="G18" s="19">
        <f t="shared" ref="G18:Q18" si="4">G4-G4*G5/100</f>
        <v>751.23</v>
      </c>
      <c r="H18" s="19">
        <f t="shared" si="4"/>
        <v>3019.71</v>
      </c>
      <c r="I18" s="19">
        <f t="shared" si="4"/>
        <v>46.58</v>
      </c>
      <c r="J18" s="19">
        <f t="shared" si="4"/>
        <v>271.14999999999998</v>
      </c>
      <c r="K18" s="19">
        <f t="shared" si="4"/>
        <v>1202.7840000000001</v>
      </c>
      <c r="L18" s="19">
        <f t="shared" si="4"/>
        <v>259.233</v>
      </c>
      <c r="M18" s="19">
        <f t="shared" si="4"/>
        <v>516.154</v>
      </c>
      <c r="N18" s="19">
        <f t="shared" si="4"/>
        <v>1503.021</v>
      </c>
      <c r="O18" s="19">
        <f t="shared" si="4"/>
        <v>991.44</v>
      </c>
      <c r="P18" s="19">
        <f t="shared" si="4"/>
        <v>479.88450000000006</v>
      </c>
      <c r="Q18" s="19">
        <f t="shared" si="4"/>
        <v>0</v>
      </c>
    </row>
    <row r="19" spans="1:17" ht="16">
      <c r="A19" s="37" t="s">
        <v>374</v>
      </c>
      <c r="B19" s="19">
        <f>SUM(C19:E19)</f>
        <v>16235.199000000001</v>
      </c>
      <c r="C19" s="19">
        <f>SUM(F19:H19)</f>
        <v>2422.2600000000002</v>
      </c>
      <c r="D19" s="19">
        <f>SUM(I19:M19)</f>
        <v>2398.4459999999999</v>
      </c>
      <c r="E19" s="19">
        <f>SUM(N19:Q19)</f>
        <v>11414.493</v>
      </c>
      <c r="F19" s="19">
        <f>F6-F6*F7/100</f>
        <v>202.32000000000002</v>
      </c>
      <c r="G19" s="19">
        <f t="shared" ref="G19:Q19" si="5">G6-G6*G7/100</f>
        <v>88.38</v>
      </c>
      <c r="H19" s="19">
        <f t="shared" si="5"/>
        <v>2131.56</v>
      </c>
      <c r="I19" s="19">
        <f t="shared" si="5"/>
        <v>73.98</v>
      </c>
      <c r="J19" s="19">
        <f t="shared" si="5"/>
        <v>287.10000000000002</v>
      </c>
      <c r="K19" s="19">
        <f t="shared" si="5"/>
        <v>716.36400000000003</v>
      </c>
      <c r="L19" s="19">
        <f t="shared" si="5"/>
        <v>429.31799999999998</v>
      </c>
      <c r="M19" s="19">
        <f t="shared" si="5"/>
        <v>891.68399999999997</v>
      </c>
      <c r="N19" s="19">
        <f t="shared" si="5"/>
        <v>4529.4659999999994</v>
      </c>
      <c r="O19" s="19">
        <f t="shared" si="5"/>
        <v>5511.2400000000007</v>
      </c>
      <c r="P19" s="19">
        <f t="shared" si="5"/>
        <v>1373.787</v>
      </c>
      <c r="Q19" s="19">
        <f t="shared" si="5"/>
        <v>0</v>
      </c>
    </row>
    <row r="20" spans="1:17" ht="16">
      <c r="A20" s="37" t="s">
        <v>375</v>
      </c>
      <c r="B20" s="19">
        <f t="shared" si="0"/>
        <v>25994.027309648649</v>
      </c>
      <c r="C20" s="19">
        <f t="shared" si="1"/>
        <v>6470.1914485200286</v>
      </c>
      <c r="D20" s="19">
        <f t="shared" si="2"/>
        <v>2694.7332707654705</v>
      </c>
      <c r="E20" s="19">
        <f t="shared" si="3"/>
        <v>16829.102590363149</v>
      </c>
      <c r="F20" s="19">
        <f>F8-F8*F9/100</f>
        <v>923.44419174880056</v>
      </c>
      <c r="G20" s="19">
        <f t="shared" ref="G20:Q20" si="6">G8-G8*G9/100</f>
        <v>1455.7192117706259</v>
      </c>
      <c r="H20" s="19">
        <f t="shared" si="6"/>
        <v>4091.0280450006021</v>
      </c>
      <c r="I20" s="19">
        <f t="shared" si="6"/>
        <v>63.851143700111095</v>
      </c>
      <c r="J20" s="19">
        <f t="shared" si="6"/>
        <v>412.75556267170953</v>
      </c>
      <c r="K20" s="19">
        <f t="shared" si="6"/>
        <v>1164.0113678882703</v>
      </c>
      <c r="L20" s="19">
        <f t="shared" si="6"/>
        <v>447.54197775194928</v>
      </c>
      <c r="M20" s="19">
        <f t="shared" si="6"/>
        <v>606.57321875343064</v>
      </c>
      <c r="N20" s="19">
        <f t="shared" si="6"/>
        <v>1481.4798969225667</v>
      </c>
      <c r="O20" s="19">
        <f t="shared" si="6"/>
        <v>1653.3457600686011</v>
      </c>
      <c r="P20" s="19">
        <f t="shared" si="6"/>
        <v>664.16912510753775</v>
      </c>
      <c r="Q20" s="19">
        <f t="shared" si="6"/>
        <v>13030.107808264444</v>
      </c>
    </row>
    <row r="21" spans="1:17" ht="16">
      <c r="A21" s="37" t="s">
        <v>376</v>
      </c>
      <c r="B21" s="19">
        <f>SUM(C21:E21)</f>
        <v>38888.856883754226</v>
      </c>
      <c r="C21" s="19">
        <f>SUM(F21:H21)</f>
        <v>2772.3274210874797</v>
      </c>
      <c r="D21" s="19">
        <f>SUM(I21:M21)</f>
        <v>3225.6419307738188</v>
      </c>
      <c r="E21" s="19">
        <f>SUM(N21:Q21)</f>
        <v>32890.887531892928</v>
      </c>
      <c r="F21" s="19">
        <f>F10-F10*F11/100</f>
        <v>221.07655907846419</v>
      </c>
      <c r="G21" s="19">
        <f t="shared" ref="G21:Q21" si="7">G10-G10*G11/100</f>
        <v>202.60009648354071</v>
      </c>
      <c r="H21" s="19">
        <f t="shared" si="7"/>
        <v>2348.650765525475</v>
      </c>
      <c r="I21" s="19">
        <f t="shared" si="7"/>
        <v>89.993438175267045</v>
      </c>
      <c r="J21" s="19">
        <f t="shared" si="7"/>
        <v>404.74575187395652</v>
      </c>
      <c r="K21" s="19">
        <f t="shared" si="7"/>
        <v>759.54840145624667</v>
      </c>
      <c r="L21" s="19">
        <f t="shared" si="7"/>
        <v>714.4345766968072</v>
      </c>
      <c r="M21" s="19">
        <f t="shared" si="7"/>
        <v>1256.9197625715417</v>
      </c>
      <c r="N21" s="19">
        <f t="shared" si="7"/>
        <v>4088.0699561127876</v>
      </c>
      <c r="O21" s="19">
        <f t="shared" si="7"/>
        <v>6347.9711288642757</v>
      </c>
      <c r="P21" s="19">
        <f t="shared" si="7"/>
        <v>1508.7925818455572</v>
      </c>
      <c r="Q21" s="19">
        <f t="shared" si="7"/>
        <v>20946.053865070309</v>
      </c>
    </row>
    <row r="22" spans="1:17" ht="16">
      <c r="A22" s="37" t="s">
        <v>624</v>
      </c>
      <c r="B22" s="19">
        <f t="shared" si="0"/>
        <v>4731.0502251577418</v>
      </c>
      <c r="C22" s="19">
        <f t="shared" si="1"/>
        <v>1297.5923211554632</v>
      </c>
      <c r="D22" s="19">
        <f t="shared" si="2"/>
        <v>787.5775078311367</v>
      </c>
      <c r="E22" s="19">
        <f t="shared" si="3"/>
        <v>2645.8803961711419</v>
      </c>
      <c r="F22" s="19">
        <f>SUM(F4,F6,F8,F10)-SUM(F18:F21)</f>
        <v>188.15322619806375</v>
      </c>
      <c r="G22" s="19">
        <f t="shared" ref="G22:Q22" si="8">SUM(G4,G6,G8,G10)-SUM(G18:G21)</f>
        <v>189.45870928405429</v>
      </c>
      <c r="H22" s="19">
        <f t="shared" si="8"/>
        <v>919.98038567334515</v>
      </c>
      <c r="I22" s="19">
        <f t="shared" si="8"/>
        <v>19.323802268242616</v>
      </c>
      <c r="J22" s="19">
        <f t="shared" si="8"/>
        <v>96.603976886938653</v>
      </c>
      <c r="K22" s="19">
        <f t="shared" si="8"/>
        <v>335.52455765948889</v>
      </c>
      <c r="L22" s="19">
        <f t="shared" si="8"/>
        <v>114.50701534228074</v>
      </c>
      <c r="M22" s="19">
        <f t="shared" si="8"/>
        <v>221.6181556741858</v>
      </c>
      <c r="N22" s="19">
        <f t="shared" si="8"/>
        <v>855.62560180453693</v>
      </c>
      <c r="O22" s="19">
        <f t="shared" si="8"/>
        <v>902.57532544415335</v>
      </c>
      <c r="P22" s="19">
        <f t="shared" si="8"/>
        <v>273.11014225720646</v>
      </c>
      <c r="Q22" s="19">
        <f t="shared" si="8"/>
        <v>614.56932666524517</v>
      </c>
    </row>
    <row r="23" spans="1:17" ht="16">
      <c r="A23" s="37" t="s">
        <v>625</v>
      </c>
      <c r="B23" s="19">
        <f t="shared" si="0"/>
        <v>1043.4791000000005</v>
      </c>
      <c r="C23" s="19">
        <f t="shared" si="1"/>
        <v>99.150000000000063</v>
      </c>
      <c r="D23" s="19">
        <f t="shared" si="2"/>
        <v>102.69999999999995</v>
      </c>
      <c r="E23" s="19">
        <f t="shared" si="3"/>
        <v>841.62910000000034</v>
      </c>
      <c r="F23" s="19">
        <f>F12-F12*F$13/100</f>
        <v>19.050000000000011</v>
      </c>
      <c r="G23" s="19">
        <f t="shared" ref="G23:Q23" si="9">G12-G12*G$13/100</f>
        <v>13.150000000000006</v>
      </c>
      <c r="H23" s="19">
        <f t="shared" si="9"/>
        <v>66.950000000000045</v>
      </c>
      <c r="I23" s="19">
        <f t="shared" si="9"/>
        <v>1.3000000000000007</v>
      </c>
      <c r="J23" s="19">
        <f t="shared" si="9"/>
        <v>13.099999999999994</v>
      </c>
      <c r="K23" s="19">
        <f t="shared" si="9"/>
        <v>39.850000000000023</v>
      </c>
      <c r="L23" s="19">
        <f t="shared" si="9"/>
        <v>16.399999999999977</v>
      </c>
      <c r="M23" s="19">
        <f t="shared" si="9"/>
        <v>32.049999999999955</v>
      </c>
      <c r="N23" s="19">
        <f t="shared" si="9"/>
        <v>149.59999999999991</v>
      </c>
      <c r="O23" s="19">
        <f t="shared" si="9"/>
        <v>61.5</v>
      </c>
      <c r="P23" s="19">
        <f t="shared" si="9"/>
        <v>68.549999999999955</v>
      </c>
      <c r="Q23" s="19">
        <f t="shared" si="9"/>
        <v>561.97910000000047</v>
      </c>
    </row>
    <row r="24" spans="1:17" ht="16">
      <c r="A24" s="37" t="s">
        <v>626</v>
      </c>
      <c r="B24" s="19">
        <f t="shared" si="0"/>
        <v>81780.425079035354</v>
      </c>
      <c r="C24" s="19">
        <f t="shared" si="1"/>
        <v>15861.943286852042</v>
      </c>
      <c r="D24" s="19">
        <f t="shared" si="2"/>
        <v>10459.650834873315</v>
      </c>
      <c r="E24" s="19">
        <f t="shared" si="3"/>
        <v>55458.830957309998</v>
      </c>
      <c r="F24" s="19">
        <f>F14-F14*F$15/100</f>
        <v>1979.708141772137</v>
      </c>
      <c r="G24" s="19">
        <f t="shared" ref="G24:Q24" si="10">G14-G14*G$15/100</f>
        <v>2465.042889775907</v>
      </c>
      <c r="H24" s="19">
        <f t="shared" si="10"/>
        <v>11417.192255303999</v>
      </c>
      <c r="I24" s="19">
        <f t="shared" si="10"/>
        <v>301.95633412236253</v>
      </c>
      <c r="J24" s="19">
        <f t="shared" si="10"/>
        <v>1200.6776692325527</v>
      </c>
      <c r="K24" s="19">
        <f t="shared" si="10"/>
        <v>3868.9581642248163</v>
      </c>
      <c r="L24" s="19">
        <f t="shared" si="10"/>
        <v>1676.2480736812443</v>
      </c>
      <c r="M24" s="19">
        <f t="shared" si="10"/>
        <v>3411.8105936123402</v>
      </c>
      <c r="N24" s="19">
        <f t="shared" si="10"/>
        <v>11017.414232550002</v>
      </c>
      <c r="O24" s="19">
        <f t="shared" si="10"/>
        <v>15732.298390049997</v>
      </c>
      <c r="P24" s="19">
        <f t="shared" si="10"/>
        <v>3179.8596347100001</v>
      </c>
      <c r="Q24" s="19">
        <f t="shared" si="10"/>
        <v>25529.258699999998</v>
      </c>
    </row>
    <row r="25" spans="1:17" ht="16">
      <c r="A25" s="37" t="s">
        <v>627</v>
      </c>
      <c r="B25" s="19">
        <f t="shared" si="0"/>
        <v>20652.167799788236</v>
      </c>
      <c r="C25" s="19">
        <f t="shared" si="1"/>
        <v>2044.0716493621408</v>
      </c>
      <c r="D25" s="19">
        <f t="shared" si="2"/>
        <v>2056.9530387360937</v>
      </c>
      <c r="E25" s="19">
        <f t="shared" si="3"/>
        <v>16551.143111690002</v>
      </c>
      <c r="F25" s="19">
        <f>F12+F14-F23-F24</f>
        <v>381.94705193709206</v>
      </c>
      <c r="G25" s="19">
        <f t="shared" ref="G25:Q25" si="11">G12+G14-G23-G24</f>
        <v>274.74942312904932</v>
      </c>
      <c r="H25" s="19">
        <f t="shared" si="11"/>
        <v>1387.3751742959994</v>
      </c>
      <c r="I25" s="19">
        <f t="shared" si="11"/>
        <v>27.750063981033975</v>
      </c>
      <c r="J25" s="19">
        <f t="shared" si="11"/>
        <v>261.02805726497536</v>
      </c>
      <c r="K25" s="19">
        <f t="shared" si="11"/>
        <v>796.23038549722014</v>
      </c>
      <c r="L25" s="19">
        <f t="shared" si="11"/>
        <v>328.53179872405303</v>
      </c>
      <c r="M25" s="19">
        <f t="shared" si="11"/>
        <v>643.41273326881128</v>
      </c>
      <c r="N25" s="19">
        <f t="shared" si="11"/>
        <v>2953.6870124500001</v>
      </c>
      <c r="O25" s="19">
        <f t="shared" si="11"/>
        <v>1327.412104949999</v>
      </c>
      <c r="P25" s="19">
        <f t="shared" si="11"/>
        <v>1334.5697942899997</v>
      </c>
      <c r="Q25" s="19">
        <f t="shared" si="11"/>
        <v>10935.474200000004</v>
      </c>
    </row>
    <row r="26" spans="1:17" ht="16">
      <c r="A26" s="37" t="s">
        <v>381</v>
      </c>
      <c r="B26" s="19">
        <f>SUM(C26:E26)</f>
        <v>15921.117574630494</v>
      </c>
      <c r="C26" s="19">
        <f>SUM(F26:H26)</f>
        <v>746.47932820667756</v>
      </c>
      <c r="D26" s="19">
        <f>SUM(I26:M26)</f>
        <v>1269.375530904957</v>
      </c>
      <c r="E26" s="19">
        <f>SUM(N26:Q26)</f>
        <v>13905.26271551886</v>
      </c>
      <c r="F26" s="19">
        <f>F25-F22</f>
        <v>193.79382573902831</v>
      </c>
      <c r="G26" s="19">
        <f t="shared" ref="G26:Q26" si="12">G25-G22</f>
        <v>85.290713844995025</v>
      </c>
      <c r="H26" s="19">
        <f t="shared" si="12"/>
        <v>467.39478862265423</v>
      </c>
      <c r="I26" s="19">
        <f t="shared" si="12"/>
        <v>8.4262617127913586</v>
      </c>
      <c r="J26" s="19">
        <f t="shared" si="12"/>
        <v>164.42408037803671</v>
      </c>
      <c r="K26" s="19">
        <f t="shared" si="12"/>
        <v>460.70582783773125</v>
      </c>
      <c r="L26" s="19">
        <f t="shared" si="12"/>
        <v>214.02478338177229</v>
      </c>
      <c r="M26" s="19">
        <f t="shared" si="12"/>
        <v>421.79457759462548</v>
      </c>
      <c r="N26" s="19">
        <f t="shared" si="12"/>
        <v>2098.0614106454632</v>
      </c>
      <c r="O26" s="19">
        <f t="shared" si="12"/>
        <v>424.8367795058457</v>
      </c>
      <c r="P26" s="19">
        <f t="shared" si="12"/>
        <v>1061.4596520327932</v>
      </c>
      <c r="Q26" s="19">
        <f t="shared" si="12"/>
        <v>10320.904873334759</v>
      </c>
    </row>
    <row r="27" spans="1:17" ht="16">
      <c r="A27" s="37" t="s">
        <v>313</v>
      </c>
      <c r="B27" s="19">
        <f t="shared" si="0"/>
        <v>12</v>
      </c>
      <c r="C27" s="19">
        <f t="shared" si="1"/>
        <v>3</v>
      </c>
      <c r="D27" s="19">
        <f t="shared" si="2"/>
        <v>5</v>
      </c>
      <c r="E27" s="19">
        <f t="shared" si="3"/>
        <v>4</v>
      </c>
      <c r="F27" s="19">
        <f>IF(F26&lt;0,0,1)</f>
        <v>1</v>
      </c>
      <c r="G27" s="19">
        <f t="shared" ref="G27:Q27" si="13">IF(G26&lt;0,0,1)</f>
        <v>1</v>
      </c>
      <c r="H27" s="19">
        <f t="shared" si="13"/>
        <v>1</v>
      </c>
      <c r="I27" s="19">
        <f t="shared" si="13"/>
        <v>1</v>
      </c>
      <c r="J27" s="19">
        <f t="shared" si="13"/>
        <v>1</v>
      </c>
      <c r="K27" s="19">
        <f t="shared" si="13"/>
        <v>1</v>
      </c>
      <c r="L27" s="19">
        <f t="shared" si="13"/>
        <v>1</v>
      </c>
      <c r="M27" s="19">
        <f t="shared" si="13"/>
        <v>1</v>
      </c>
      <c r="N27" s="19">
        <f t="shared" si="13"/>
        <v>1</v>
      </c>
      <c r="O27" s="19">
        <f t="shared" si="13"/>
        <v>1</v>
      </c>
      <c r="P27" s="19">
        <f t="shared" si="13"/>
        <v>1</v>
      </c>
      <c r="Q27" s="19">
        <f t="shared" si="13"/>
        <v>1</v>
      </c>
    </row>
    <row r="28" spans="1:17" ht="16">
      <c r="A28" s="83">
        <v>2</v>
      </c>
      <c r="B28" s="19"/>
      <c r="C28" s="19"/>
      <c r="D28" s="19"/>
      <c r="E28" s="19"/>
      <c r="F28" s="19"/>
      <c r="G28" s="19"/>
      <c r="H28" s="19"/>
      <c r="I28" s="19"/>
      <c r="J28" s="19"/>
      <c r="K28" s="19"/>
      <c r="L28" s="19"/>
      <c r="M28" s="19"/>
      <c r="N28" s="19"/>
      <c r="O28" s="19"/>
      <c r="P28" s="19"/>
      <c r="Q28" s="19"/>
    </row>
    <row r="29" spans="1:17" ht="16">
      <c r="A29" s="37" t="s">
        <v>373</v>
      </c>
      <c r="B29" s="19">
        <f>SUM(C29:E29)</f>
        <v>8334.6805249999998</v>
      </c>
      <c r="C29" s="19">
        <f>SUM(F29:H29)</f>
        <v>3854.9709999999995</v>
      </c>
      <c r="D29" s="19">
        <f>SUM(I29:M29)</f>
        <v>1951.5158500000002</v>
      </c>
      <c r="E29" s="19">
        <f>SUM(N29:Q29)</f>
        <v>2528.193675</v>
      </c>
      <c r="F29" s="19">
        <f>F18-F18*F$5/100</f>
        <v>649.67200000000003</v>
      </c>
      <c r="G29" s="19">
        <f t="shared" ref="G29:Q29" si="14">G18-G18*G$5/100</f>
        <v>638.54549999999995</v>
      </c>
      <c r="H29" s="19">
        <f t="shared" si="14"/>
        <v>2566.7534999999998</v>
      </c>
      <c r="I29" s="19">
        <f t="shared" si="14"/>
        <v>39.592999999999996</v>
      </c>
      <c r="J29" s="19">
        <f t="shared" si="14"/>
        <v>230.47749999999999</v>
      </c>
      <c r="K29" s="19">
        <f t="shared" si="14"/>
        <v>1022.3664000000001</v>
      </c>
      <c r="L29" s="19">
        <f t="shared" si="14"/>
        <v>220.34805</v>
      </c>
      <c r="M29" s="19">
        <f t="shared" si="14"/>
        <v>438.73090000000002</v>
      </c>
      <c r="N29" s="19">
        <f t="shared" si="14"/>
        <v>1277.5678499999999</v>
      </c>
      <c r="O29" s="19">
        <f t="shared" si="14"/>
        <v>842.72400000000005</v>
      </c>
      <c r="P29" s="19">
        <f t="shared" si="14"/>
        <v>407.90182500000003</v>
      </c>
      <c r="Q29" s="19">
        <f t="shared" si="14"/>
        <v>0</v>
      </c>
    </row>
    <row r="30" spans="1:17" ht="16">
      <c r="A30" s="37" t="s">
        <v>374</v>
      </c>
      <c r="B30" s="19">
        <f>SUM(C30:E30)</f>
        <v>14611.679099999998</v>
      </c>
      <c r="C30" s="19">
        <f>SUM(F30:H30)</f>
        <v>2180.0340000000001</v>
      </c>
      <c r="D30" s="19">
        <f>SUM(I30:M30)</f>
        <v>2158.6014</v>
      </c>
      <c r="E30" s="19">
        <f>SUM(N30:Q30)</f>
        <v>10273.043699999998</v>
      </c>
      <c r="F30" s="19">
        <f>F19-F19*F$7/100</f>
        <v>182.08800000000002</v>
      </c>
      <c r="G30" s="19">
        <f t="shared" ref="G30:Q30" si="15">G19-G19*G$7/100</f>
        <v>79.542000000000002</v>
      </c>
      <c r="H30" s="19">
        <f t="shared" si="15"/>
        <v>1918.404</v>
      </c>
      <c r="I30" s="19">
        <f t="shared" si="15"/>
        <v>66.582000000000008</v>
      </c>
      <c r="J30" s="19">
        <f t="shared" si="15"/>
        <v>258.39000000000004</v>
      </c>
      <c r="K30" s="19">
        <f t="shared" si="15"/>
        <v>644.72760000000005</v>
      </c>
      <c r="L30" s="19">
        <f t="shared" si="15"/>
        <v>386.38619999999997</v>
      </c>
      <c r="M30" s="19">
        <f t="shared" si="15"/>
        <v>802.51559999999995</v>
      </c>
      <c r="N30" s="19">
        <f t="shared" si="15"/>
        <v>4076.5193999999992</v>
      </c>
      <c r="O30" s="19">
        <f t="shared" si="15"/>
        <v>4960.1160000000009</v>
      </c>
      <c r="P30" s="19">
        <f t="shared" si="15"/>
        <v>1236.4083000000001</v>
      </c>
      <c r="Q30" s="19">
        <f t="shared" si="15"/>
        <v>0</v>
      </c>
    </row>
    <row r="31" spans="1:17" ht="16">
      <c r="A31" s="37" t="s">
        <v>375</v>
      </c>
      <c r="B31" s="19">
        <f>SUM(C31:E31)</f>
        <v>25214.206490359189</v>
      </c>
      <c r="C31" s="19">
        <f>SUM(F31:H31)</f>
        <v>6276.0857050644281</v>
      </c>
      <c r="D31" s="19">
        <f>SUM(I31:M31)</f>
        <v>2613.8912726425069</v>
      </c>
      <c r="E31" s="19">
        <f>SUM(N31:Q31)</f>
        <v>16324.229512652255</v>
      </c>
      <c r="F31" s="19">
        <f>F20-F20*F$9/100</f>
        <v>895.74086599633654</v>
      </c>
      <c r="G31" s="19">
        <f t="shared" ref="G31:Q31" si="16">G20-G20*G$9/100</f>
        <v>1412.0476354175071</v>
      </c>
      <c r="H31" s="19">
        <f t="shared" si="16"/>
        <v>3968.2972036505839</v>
      </c>
      <c r="I31" s="19">
        <f t="shared" si="16"/>
        <v>61.935609389107761</v>
      </c>
      <c r="J31" s="19">
        <f t="shared" si="16"/>
        <v>400.37289579155822</v>
      </c>
      <c r="K31" s="19">
        <f t="shared" si="16"/>
        <v>1129.0910268516222</v>
      </c>
      <c r="L31" s="19">
        <f t="shared" si="16"/>
        <v>434.11571841939082</v>
      </c>
      <c r="M31" s="19">
        <f t="shared" si="16"/>
        <v>588.37602219082771</v>
      </c>
      <c r="N31" s="19">
        <f t="shared" si="16"/>
        <v>1437.0355000148897</v>
      </c>
      <c r="O31" s="19">
        <f t="shared" si="16"/>
        <v>1603.745387266543</v>
      </c>
      <c r="P31" s="19">
        <f t="shared" si="16"/>
        <v>644.24405135431164</v>
      </c>
      <c r="Q31" s="19">
        <f t="shared" si="16"/>
        <v>12639.20457401651</v>
      </c>
    </row>
    <row r="32" spans="1:17" ht="16">
      <c r="A32" s="37" t="s">
        <v>376</v>
      </c>
      <c r="B32" s="19">
        <f>SUM(C32:E32)</f>
        <v>38499.968314916689</v>
      </c>
      <c r="C32" s="19">
        <f>SUM(F32:H32)</f>
        <v>2744.6041468766052</v>
      </c>
      <c r="D32" s="19">
        <f>SUM(I32:M32)</f>
        <v>3193.385511466081</v>
      </c>
      <c r="E32" s="19">
        <f>SUM(N32:Q32)</f>
        <v>32561.978656574</v>
      </c>
      <c r="F32" s="19">
        <f>F21-F21*F$11/100</f>
        <v>218.86579348767955</v>
      </c>
      <c r="G32" s="19">
        <f t="shared" ref="G32:Q32" si="17">G21-G21*G$11/100</f>
        <v>200.57409551870529</v>
      </c>
      <c r="H32" s="19">
        <f t="shared" si="17"/>
        <v>2325.1642578702204</v>
      </c>
      <c r="I32" s="19">
        <f t="shared" si="17"/>
        <v>89.093503793514373</v>
      </c>
      <c r="J32" s="19">
        <f t="shared" si="17"/>
        <v>400.69829435521694</v>
      </c>
      <c r="K32" s="19">
        <f t="shared" si="17"/>
        <v>751.95291744168424</v>
      </c>
      <c r="L32" s="19">
        <f t="shared" si="17"/>
        <v>707.29023092983914</v>
      </c>
      <c r="M32" s="19">
        <f t="shared" si="17"/>
        <v>1244.3505649458264</v>
      </c>
      <c r="N32" s="19">
        <f t="shared" si="17"/>
        <v>4047.1892565516596</v>
      </c>
      <c r="O32" s="19">
        <f t="shared" si="17"/>
        <v>6284.491417575633</v>
      </c>
      <c r="P32" s="19">
        <f t="shared" si="17"/>
        <v>1493.7046560271017</v>
      </c>
      <c r="Q32" s="19">
        <f t="shared" si="17"/>
        <v>20736.593326419606</v>
      </c>
    </row>
    <row r="33" spans="1:17" ht="16">
      <c r="A33" s="37" t="s">
        <v>382</v>
      </c>
      <c r="B33" s="19">
        <f t="shared" ref="B33:B38" si="18">SUM(C33:E33)</f>
        <v>4263.0552631270048</v>
      </c>
      <c r="C33" s="19">
        <f t="shared" ref="C33:C38" si="19">SUM(F33:H33)</f>
        <v>1144.3440176664794</v>
      </c>
      <c r="D33" s="19">
        <f t="shared" ref="D33:D38" si="20">SUM(I33:M33)</f>
        <v>697.32816743070248</v>
      </c>
      <c r="E33" s="19">
        <f t="shared" ref="E33:E38" si="21">SUM(N33:Q33)</f>
        <v>2421.3830780298231</v>
      </c>
      <c r="F33" s="19">
        <f>SUM(F18:F21)-SUM(F29:F32)</f>
        <v>164.79409134324851</v>
      </c>
      <c r="G33" s="19">
        <f t="shared" ref="G33:Q33" si="22">SUM(G18:G21)-SUM(G29:G32)</f>
        <v>167.22007731795429</v>
      </c>
      <c r="H33" s="19">
        <f t="shared" si="22"/>
        <v>812.32984900527663</v>
      </c>
      <c r="I33" s="19">
        <f t="shared" si="22"/>
        <v>17.200468692756033</v>
      </c>
      <c r="J33" s="19">
        <f t="shared" si="22"/>
        <v>85.812624398890875</v>
      </c>
      <c r="K33" s="19">
        <f t="shared" si="22"/>
        <v>294.5698250512105</v>
      </c>
      <c r="L33" s="19">
        <f t="shared" si="22"/>
        <v>102.3873550995263</v>
      </c>
      <c r="M33" s="19">
        <f t="shared" si="22"/>
        <v>197.35789418831882</v>
      </c>
      <c r="N33" s="19">
        <f t="shared" si="22"/>
        <v>763.72484646880548</v>
      </c>
      <c r="O33" s="19">
        <f t="shared" si="22"/>
        <v>812.92008409069967</v>
      </c>
      <c r="P33" s="19">
        <f t="shared" si="22"/>
        <v>244.37437457168198</v>
      </c>
      <c r="Q33" s="19">
        <f t="shared" si="22"/>
        <v>600.36377289863594</v>
      </c>
    </row>
    <row r="34" spans="1:17" ht="16">
      <c r="A34" s="37" t="s">
        <v>383</v>
      </c>
      <c r="B34" s="19">
        <f t="shared" si="18"/>
        <v>52.173954999999914</v>
      </c>
      <c r="C34" s="19">
        <f t="shared" si="19"/>
        <v>4.9574999999999978</v>
      </c>
      <c r="D34" s="19">
        <f t="shared" si="20"/>
        <v>5.134999999999998</v>
      </c>
      <c r="E34" s="19">
        <f t="shared" si="21"/>
        <v>42.08145499999992</v>
      </c>
      <c r="F34" s="19">
        <f>F23-F23*F$13/100</f>
        <v>0.95250000000000057</v>
      </c>
      <c r="G34" s="19">
        <f t="shared" ref="G34:Q34" si="23">G23-G23*G$13/100</f>
        <v>0.65750000000000064</v>
      </c>
      <c r="H34" s="19">
        <f t="shared" si="23"/>
        <v>3.3474999999999966</v>
      </c>
      <c r="I34" s="19">
        <f t="shared" si="23"/>
        <v>6.4999999999999947E-2</v>
      </c>
      <c r="J34" s="19">
        <f t="shared" si="23"/>
        <v>0.65499999999999936</v>
      </c>
      <c r="K34" s="19">
        <f t="shared" si="23"/>
        <v>1.9924999999999997</v>
      </c>
      <c r="L34" s="19">
        <f t="shared" si="23"/>
        <v>0.82000000000000028</v>
      </c>
      <c r="M34" s="19">
        <f t="shared" si="23"/>
        <v>1.6024999999999991</v>
      </c>
      <c r="N34" s="19">
        <f t="shared" si="23"/>
        <v>7.4799999999999898</v>
      </c>
      <c r="O34" s="19">
        <f t="shared" si="23"/>
        <v>3.0750000000000028</v>
      </c>
      <c r="P34" s="19">
        <f t="shared" si="23"/>
        <v>3.4274999999999949</v>
      </c>
      <c r="Q34" s="19">
        <f t="shared" si="23"/>
        <v>28.098954999999933</v>
      </c>
    </row>
    <row r="35" spans="1:17" ht="16">
      <c r="A35" s="37" t="s">
        <v>384</v>
      </c>
      <c r="B35" s="19">
        <f t="shared" si="18"/>
        <v>80962.620828244995</v>
      </c>
      <c r="C35" s="19">
        <f t="shared" si="19"/>
        <v>15703.323853983522</v>
      </c>
      <c r="D35" s="19">
        <f t="shared" si="20"/>
        <v>10355.054326524583</v>
      </c>
      <c r="E35" s="19">
        <f t="shared" si="21"/>
        <v>54904.242647736894</v>
      </c>
      <c r="F35" s="19">
        <f>F24-F24*F$15/100</f>
        <v>1959.9110603544157</v>
      </c>
      <c r="G35" s="19">
        <f t="shared" ref="G35:Q35" si="24">G24-G24*G$15/100</f>
        <v>2440.3924608781481</v>
      </c>
      <c r="H35" s="19">
        <f t="shared" si="24"/>
        <v>11303.020332750959</v>
      </c>
      <c r="I35" s="19">
        <f t="shared" si="24"/>
        <v>298.93677078113893</v>
      </c>
      <c r="J35" s="19">
        <f t="shared" si="24"/>
        <v>1188.6708925402272</v>
      </c>
      <c r="K35" s="19">
        <f t="shared" si="24"/>
        <v>3830.2685825825683</v>
      </c>
      <c r="L35" s="19">
        <f t="shared" si="24"/>
        <v>1659.4855929444318</v>
      </c>
      <c r="M35" s="19">
        <f t="shared" si="24"/>
        <v>3377.6924876762168</v>
      </c>
      <c r="N35" s="19">
        <f t="shared" si="24"/>
        <v>10907.240090224501</v>
      </c>
      <c r="O35" s="19">
        <f t="shared" si="24"/>
        <v>15574.975406149497</v>
      </c>
      <c r="P35" s="19">
        <f t="shared" si="24"/>
        <v>3148.0610383629</v>
      </c>
      <c r="Q35" s="19">
        <f t="shared" si="24"/>
        <v>25273.966112999999</v>
      </c>
    </row>
    <row r="36" spans="1:17" ht="16">
      <c r="A36" s="37" t="s">
        <v>385</v>
      </c>
      <c r="B36" s="19">
        <f t="shared" si="18"/>
        <v>1809.109395790354</v>
      </c>
      <c r="C36" s="19">
        <f t="shared" si="19"/>
        <v>252.8119328685209</v>
      </c>
      <c r="D36" s="19">
        <f t="shared" si="20"/>
        <v>202.16150834873304</v>
      </c>
      <c r="E36" s="19">
        <f t="shared" si="21"/>
        <v>1354.1359545731002</v>
      </c>
      <c r="F36" s="19">
        <f>F23+F24-F34-F35</f>
        <v>37.894581417721156</v>
      </c>
      <c r="G36" s="19">
        <f t="shared" ref="G36:Q36" si="25">G23+G24-G34-G35</f>
        <v>37.142928897759248</v>
      </c>
      <c r="H36" s="19">
        <f t="shared" si="25"/>
        <v>177.77442255304049</v>
      </c>
      <c r="I36" s="19">
        <f t="shared" si="25"/>
        <v>4.2545633412236157</v>
      </c>
      <c r="J36" s="19">
        <f t="shared" si="25"/>
        <v>24.451776692325438</v>
      </c>
      <c r="K36" s="19">
        <f t="shared" si="25"/>
        <v>76.547081642248031</v>
      </c>
      <c r="L36" s="19">
        <f t="shared" si="25"/>
        <v>32.342480736812377</v>
      </c>
      <c r="M36" s="19">
        <f t="shared" si="25"/>
        <v>64.565605936123575</v>
      </c>
      <c r="N36" s="19">
        <f t="shared" si="25"/>
        <v>252.29414232550153</v>
      </c>
      <c r="O36" s="19">
        <f t="shared" si="25"/>
        <v>215.74798390049909</v>
      </c>
      <c r="P36" s="19">
        <f t="shared" si="25"/>
        <v>96.921096347100502</v>
      </c>
      <c r="Q36" s="19">
        <f t="shared" si="25"/>
        <v>789.17273199999909</v>
      </c>
    </row>
    <row r="37" spans="1:17" ht="16">
      <c r="A37" s="37" t="s">
        <v>381</v>
      </c>
      <c r="B37" s="19">
        <f t="shared" si="18"/>
        <v>13467.171707293845</v>
      </c>
      <c r="C37" s="19">
        <f t="shared" si="19"/>
        <v>-145.05275659128097</v>
      </c>
      <c r="D37" s="19">
        <f t="shared" si="20"/>
        <v>774.20887182298759</v>
      </c>
      <c r="E37" s="19">
        <f t="shared" si="21"/>
        <v>12838.015592062138</v>
      </c>
      <c r="F37" s="19">
        <f>F36+F26-F33</f>
        <v>66.894315813500953</v>
      </c>
      <c r="G37" s="19">
        <f t="shared" ref="G37:Q37" si="26">G36+G26-G33</f>
        <v>-44.786434575200019</v>
      </c>
      <c r="H37" s="19">
        <f t="shared" si="26"/>
        <v>-167.1606378295819</v>
      </c>
      <c r="I37" s="19">
        <f t="shared" si="26"/>
        <v>-4.5196436387410586</v>
      </c>
      <c r="J37" s="19">
        <f t="shared" si="26"/>
        <v>103.06323267147127</v>
      </c>
      <c r="K37" s="19">
        <f t="shared" si="26"/>
        <v>242.68308442876878</v>
      </c>
      <c r="L37" s="19">
        <f t="shared" si="26"/>
        <v>143.97990901905837</v>
      </c>
      <c r="M37" s="19">
        <f t="shared" si="26"/>
        <v>289.00228934243023</v>
      </c>
      <c r="N37" s="19">
        <f t="shared" si="26"/>
        <v>1586.6307065021592</v>
      </c>
      <c r="O37" s="19">
        <f t="shared" si="26"/>
        <v>-172.33532068435488</v>
      </c>
      <c r="P37" s="19">
        <f t="shared" si="26"/>
        <v>914.00637380821172</v>
      </c>
      <c r="Q37" s="19">
        <f t="shared" si="26"/>
        <v>10509.713832436122</v>
      </c>
    </row>
    <row r="38" spans="1:17" ht="16">
      <c r="A38" s="37" t="s">
        <v>313</v>
      </c>
      <c r="B38" s="19">
        <f t="shared" si="18"/>
        <v>8</v>
      </c>
      <c r="C38" s="19">
        <f t="shared" si="19"/>
        <v>1</v>
      </c>
      <c r="D38" s="19">
        <f t="shared" si="20"/>
        <v>4</v>
      </c>
      <c r="E38" s="19">
        <f t="shared" si="21"/>
        <v>3</v>
      </c>
      <c r="F38" s="19">
        <f>IF(F37&lt;0,0,1)</f>
        <v>1</v>
      </c>
      <c r="G38" s="19">
        <f t="shared" ref="G38:Q38" si="27">IF(G37&lt;0,0,1)</f>
        <v>0</v>
      </c>
      <c r="H38" s="19">
        <f t="shared" si="27"/>
        <v>0</v>
      </c>
      <c r="I38" s="19">
        <f t="shared" si="27"/>
        <v>0</v>
      </c>
      <c r="J38" s="19">
        <f t="shared" si="27"/>
        <v>1</v>
      </c>
      <c r="K38" s="19">
        <f t="shared" si="27"/>
        <v>1</v>
      </c>
      <c r="L38" s="19">
        <f t="shared" si="27"/>
        <v>1</v>
      </c>
      <c r="M38" s="19">
        <f t="shared" si="27"/>
        <v>1</v>
      </c>
      <c r="N38" s="19">
        <f t="shared" si="27"/>
        <v>1</v>
      </c>
      <c r="O38" s="19">
        <f t="shared" si="27"/>
        <v>0</v>
      </c>
      <c r="P38" s="19">
        <f t="shared" si="27"/>
        <v>1</v>
      </c>
      <c r="Q38" s="19">
        <f t="shared" si="27"/>
        <v>1</v>
      </c>
    </row>
    <row r="39" spans="1:17" ht="16">
      <c r="A39" s="83">
        <v>3</v>
      </c>
      <c r="B39" s="19"/>
      <c r="C39" s="19"/>
      <c r="D39" s="19"/>
      <c r="E39" s="19"/>
      <c r="F39" s="19"/>
      <c r="G39" s="19"/>
      <c r="H39" s="19"/>
      <c r="I39" s="19"/>
      <c r="J39" s="19"/>
      <c r="K39" s="19"/>
      <c r="L39" s="19"/>
      <c r="M39" s="19"/>
      <c r="N39" s="19"/>
      <c r="O39" s="19"/>
      <c r="P39" s="19"/>
      <c r="Q39" s="19"/>
    </row>
    <row r="40" spans="1:17" ht="16">
      <c r="A40" s="37" t="s">
        <v>373</v>
      </c>
      <c r="B40" s="19">
        <f>SUM(C40:E40)</f>
        <v>7084.4784462499993</v>
      </c>
      <c r="C40" s="19">
        <f>SUM(F40:H40)</f>
        <v>3276.7253499999997</v>
      </c>
      <c r="D40" s="19">
        <f>SUM(I40:M40)</f>
        <v>1658.7884724999999</v>
      </c>
      <c r="E40" s="19">
        <f>SUM(N40:Q40)</f>
        <v>2148.9646237500001</v>
      </c>
      <c r="F40" s="19">
        <f>F29-F29*F$5/100</f>
        <v>552.22120000000007</v>
      </c>
      <c r="G40" s="19">
        <f t="shared" ref="G40:Q40" si="28">G29-G29*G$5/100</f>
        <v>542.76367499999992</v>
      </c>
      <c r="H40" s="19">
        <f t="shared" si="28"/>
        <v>2181.7404749999996</v>
      </c>
      <c r="I40" s="19">
        <f t="shared" si="28"/>
        <v>33.654049999999998</v>
      </c>
      <c r="J40" s="19">
        <f t="shared" si="28"/>
        <v>195.90587499999998</v>
      </c>
      <c r="K40" s="19">
        <f t="shared" si="28"/>
        <v>869.01144000000011</v>
      </c>
      <c r="L40" s="19">
        <f t="shared" si="28"/>
        <v>187.29584249999999</v>
      </c>
      <c r="M40" s="19">
        <f t="shared" si="28"/>
        <v>372.92126500000001</v>
      </c>
      <c r="N40" s="19">
        <f t="shared" si="28"/>
        <v>1085.9326724999999</v>
      </c>
      <c r="O40" s="19">
        <f t="shared" si="28"/>
        <v>716.31540000000007</v>
      </c>
      <c r="P40" s="19">
        <f t="shared" si="28"/>
        <v>346.71655125000001</v>
      </c>
      <c r="Q40" s="19">
        <f t="shared" si="28"/>
        <v>0</v>
      </c>
    </row>
    <row r="41" spans="1:17" ht="16">
      <c r="A41" s="37" t="s">
        <v>374</v>
      </c>
      <c r="B41" s="19">
        <f>SUM(C41:E41)</f>
        <v>13150.511190000001</v>
      </c>
      <c r="C41" s="19">
        <f>SUM(F41:H41)</f>
        <v>1962.0306</v>
      </c>
      <c r="D41" s="19">
        <f>SUM(I41:M41)</f>
        <v>1942.7412600000002</v>
      </c>
      <c r="E41" s="19">
        <f>SUM(N41:Q41)</f>
        <v>9245.7393300000003</v>
      </c>
      <c r="F41" s="19">
        <f>F30-F30*F$7/100</f>
        <v>163.87920000000003</v>
      </c>
      <c r="G41" s="19">
        <f t="shared" ref="G41:Q41" si="29">G30-G30*G$7/100</f>
        <v>71.587800000000001</v>
      </c>
      <c r="H41" s="19">
        <f t="shared" si="29"/>
        <v>1726.5636</v>
      </c>
      <c r="I41" s="19">
        <f t="shared" si="29"/>
        <v>59.923800000000007</v>
      </c>
      <c r="J41" s="19">
        <f t="shared" si="29"/>
        <v>232.55100000000004</v>
      </c>
      <c r="K41" s="19">
        <f t="shared" si="29"/>
        <v>580.25484000000006</v>
      </c>
      <c r="L41" s="19">
        <f t="shared" si="29"/>
        <v>347.74757999999997</v>
      </c>
      <c r="M41" s="19">
        <f t="shared" si="29"/>
        <v>722.26404000000002</v>
      </c>
      <c r="N41" s="19">
        <f t="shared" si="29"/>
        <v>3668.8674599999995</v>
      </c>
      <c r="O41" s="19">
        <f t="shared" si="29"/>
        <v>4464.1044000000011</v>
      </c>
      <c r="P41" s="19">
        <f t="shared" si="29"/>
        <v>1112.76747</v>
      </c>
      <c r="Q41" s="19">
        <f t="shared" si="29"/>
        <v>0</v>
      </c>
    </row>
    <row r="42" spans="1:17" ht="16">
      <c r="A42" s="37" t="s">
        <v>375</v>
      </c>
      <c r="B42" s="19">
        <f>SUM(C42:E42)</f>
        <v>24457.780295648416</v>
      </c>
      <c r="C42" s="19">
        <f>SUM(F42:H42)</f>
        <v>6087.8031339124946</v>
      </c>
      <c r="D42" s="19">
        <f>SUM(I42:M42)</f>
        <v>2535.474534463232</v>
      </c>
      <c r="E42" s="19">
        <f>SUM(N42:Q42)</f>
        <v>15834.502627272688</v>
      </c>
      <c r="F42" s="19">
        <f>F31-F31*F$9/100</f>
        <v>868.86864001644642</v>
      </c>
      <c r="G42" s="19">
        <f t="shared" ref="G42:Q42" si="30">G31-G31*G$9/100</f>
        <v>1369.6862063549818</v>
      </c>
      <c r="H42" s="19">
        <f t="shared" si="30"/>
        <v>3849.2482875410665</v>
      </c>
      <c r="I42" s="19">
        <f t="shared" si="30"/>
        <v>60.077541107434527</v>
      </c>
      <c r="J42" s="19">
        <f t="shared" si="30"/>
        <v>388.36170891781148</v>
      </c>
      <c r="K42" s="19">
        <f t="shared" si="30"/>
        <v>1095.2182960460736</v>
      </c>
      <c r="L42" s="19">
        <f t="shared" si="30"/>
        <v>421.09224686680909</v>
      </c>
      <c r="M42" s="19">
        <f t="shared" si="30"/>
        <v>570.7247415251029</v>
      </c>
      <c r="N42" s="19">
        <f t="shared" si="30"/>
        <v>1393.9244350144431</v>
      </c>
      <c r="O42" s="19">
        <f t="shared" si="30"/>
        <v>1555.6330256485467</v>
      </c>
      <c r="P42" s="19">
        <f t="shared" si="30"/>
        <v>624.91672981368231</v>
      </c>
      <c r="Q42" s="19">
        <f t="shared" si="30"/>
        <v>12260.028436796016</v>
      </c>
    </row>
    <row r="43" spans="1:17" ht="16">
      <c r="A43" s="37" t="s">
        <v>376</v>
      </c>
      <c r="B43" s="19">
        <f>SUM(C43:E43)</f>
        <v>38114.968631767522</v>
      </c>
      <c r="C43" s="19">
        <f>SUM(F43:H43)</f>
        <v>2717.1581054078392</v>
      </c>
      <c r="D43" s="19">
        <f>SUM(I43:M43)</f>
        <v>3161.4516563514203</v>
      </c>
      <c r="E43" s="19">
        <f>SUM(N43:Q43)</f>
        <v>32236.358870008262</v>
      </c>
      <c r="F43" s="19">
        <f>F32-F32*F$11/100</f>
        <v>216.67713555280275</v>
      </c>
      <c r="G43" s="19">
        <f t="shared" ref="G43:Q43" si="31">G32-G32*G$11/100</f>
        <v>198.56835456351823</v>
      </c>
      <c r="H43" s="19">
        <f t="shared" si="31"/>
        <v>2301.9126152915183</v>
      </c>
      <c r="I43" s="19">
        <f t="shared" si="31"/>
        <v>88.202568755579222</v>
      </c>
      <c r="J43" s="19">
        <f t="shared" si="31"/>
        <v>396.6913114116648</v>
      </c>
      <c r="K43" s="19">
        <f t="shared" si="31"/>
        <v>744.43338826726745</v>
      </c>
      <c r="L43" s="19">
        <f t="shared" si="31"/>
        <v>700.2173286205408</v>
      </c>
      <c r="M43" s="19">
        <f t="shared" si="31"/>
        <v>1231.9070592963681</v>
      </c>
      <c r="N43" s="19">
        <f t="shared" si="31"/>
        <v>4006.717363986143</v>
      </c>
      <c r="O43" s="19">
        <f t="shared" si="31"/>
        <v>6221.6465033998766</v>
      </c>
      <c r="P43" s="19">
        <f t="shared" si="31"/>
        <v>1478.7676094668307</v>
      </c>
      <c r="Q43" s="19">
        <f t="shared" si="31"/>
        <v>20529.227393155412</v>
      </c>
    </row>
    <row r="44" spans="1:17" ht="16">
      <c r="A44" s="37" t="s">
        <v>386</v>
      </c>
      <c r="B44" s="19">
        <f t="shared" ref="B44:B49" si="32">SUM(C44:E44)</f>
        <v>3852.7958666099407</v>
      </c>
      <c r="C44" s="19">
        <f t="shared" ref="C44:C49" si="33">SUM(F44:H44)</f>
        <v>1011.9776626206979</v>
      </c>
      <c r="D44" s="19">
        <f t="shared" ref="D44:D49" si="34">SUM(I44:M44)</f>
        <v>618.93811079393538</v>
      </c>
      <c r="E44" s="19">
        <f t="shared" ref="E44:E49" si="35">SUM(N44:Q44)</f>
        <v>2221.8800931953074</v>
      </c>
      <c r="F44" s="19">
        <f t="shared" ref="F44:Q44" si="36">SUM(F29:F32)-SUM(F40:F43)</f>
        <v>144.72048391476687</v>
      </c>
      <c r="G44" s="19">
        <f t="shared" si="36"/>
        <v>148.10319501771255</v>
      </c>
      <c r="H44" s="19">
        <f t="shared" si="36"/>
        <v>719.15398368821843</v>
      </c>
      <c r="I44" s="19">
        <f t="shared" si="36"/>
        <v>15.346153319608362</v>
      </c>
      <c r="J44" s="19">
        <f t="shared" si="36"/>
        <v>76.428794817298694</v>
      </c>
      <c r="K44" s="19">
        <f t="shared" si="36"/>
        <v>259.2199799799655</v>
      </c>
      <c r="L44" s="19">
        <f t="shared" si="36"/>
        <v>91.787201361880307</v>
      </c>
      <c r="M44" s="19">
        <f t="shared" si="36"/>
        <v>176.15598131518254</v>
      </c>
      <c r="N44" s="19">
        <f t="shared" si="36"/>
        <v>682.87007506596274</v>
      </c>
      <c r="O44" s="19">
        <f t="shared" si="36"/>
        <v>733.37747579375355</v>
      </c>
      <c r="P44" s="19">
        <f t="shared" si="36"/>
        <v>219.09047185090003</v>
      </c>
      <c r="Q44" s="19">
        <f t="shared" si="36"/>
        <v>586.54207048469107</v>
      </c>
    </row>
    <row r="45" spans="1:17" ht="16">
      <c r="A45" s="37" t="s">
        <v>387</v>
      </c>
      <c r="B45" s="19">
        <f t="shared" si="32"/>
        <v>2.6086977499999966</v>
      </c>
      <c r="C45" s="19">
        <f t="shared" si="33"/>
        <v>0.2478749999999994</v>
      </c>
      <c r="D45" s="19">
        <f t="shared" si="34"/>
        <v>0.2567499999999997</v>
      </c>
      <c r="E45" s="19">
        <f t="shared" si="35"/>
        <v>2.1040727499999976</v>
      </c>
      <c r="F45" s="19">
        <f>F34-F34*F$13/100</f>
        <v>4.7625000000000028E-2</v>
      </c>
      <c r="G45" s="19">
        <f t="shared" ref="G45:Q45" si="37">G34-G34*G$13/100</f>
        <v>3.2874999999999988E-2</v>
      </c>
      <c r="H45" s="19">
        <f t="shared" si="37"/>
        <v>0.16737499999999939</v>
      </c>
      <c r="I45" s="19">
        <f t="shared" si="37"/>
        <v>3.2499999999999959E-3</v>
      </c>
      <c r="J45" s="19">
        <f t="shared" si="37"/>
        <v>3.2749999999999946E-2</v>
      </c>
      <c r="K45" s="19">
        <f t="shared" si="37"/>
        <v>9.9625000000000075E-2</v>
      </c>
      <c r="L45" s="19">
        <f t="shared" si="37"/>
        <v>4.0999999999999925E-2</v>
      </c>
      <c r="M45" s="19">
        <f t="shared" si="37"/>
        <v>8.012499999999978E-2</v>
      </c>
      <c r="N45" s="19">
        <f t="shared" si="37"/>
        <v>0.37399999999999967</v>
      </c>
      <c r="O45" s="19">
        <f t="shared" si="37"/>
        <v>0.15375000000000005</v>
      </c>
      <c r="P45" s="19">
        <f t="shared" si="37"/>
        <v>0.17137499999999983</v>
      </c>
      <c r="Q45" s="19">
        <f t="shared" si="37"/>
        <v>1.4049477499999981</v>
      </c>
    </row>
    <row r="46" spans="1:17" ht="16">
      <c r="A46" s="37" t="s">
        <v>388</v>
      </c>
      <c r="B46" s="19">
        <f t="shared" si="32"/>
        <v>80152.994619962556</v>
      </c>
      <c r="C46" s="19">
        <f t="shared" si="33"/>
        <v>15546.290615443688</v>
      </c>
      <c r="D46" s="19">
        <f t="shared" si="34"/>
        <v>10251.503783259337</v>
      </c>
      <c r="E46" s="19">
        <f t="shared" si="35"/>
        <v>54355.200221259525</v>
      </c>
      <c r="F46" s="19">
        <f>F35-F35*F$15/100</f>
        <v>1940.3119497508715</v>
      </c>
      <c r="G46" s="19">
        <f t="shared" ref="G46:Q46" si="38">G35-G35*G$15/100</f>
        <v>2415.9885362693667</v>
      </c>
      <c r="H46" s="19">
        <f t="shared" si="38"/>
        <v>11189.99012942345</v>
      </c>
      <c r="I46" s="19">
        <f t="shared" si="38"/>
        <v>295.94740307332756</v>
      </c>
      <c r="J46" s="19">
        <f t="shared" si="38"/>
        <v>1176.784183614825</v>
      </c>
      <c r="K46" s="19">
        <f t="shared" si="38"/>
        <v>3791.9658967567425</v>
      </c>
      <c r="L46" s="19">
        <f t="shared" si="38"/>
        <v>1642.8907370149875</v>
      </c>
      <c r="M46" s="19">
        <f t="shared" si="38"/>
        <v>3343.9155627994546</v>
      </c>
      <c r="N46" s="19">
        <f t="shared" si="38"/>
        <v>10798.167689322256</v>
      </c>
      <c r="O46" s="19">
        <f t="shared" si="38"/>
        <v>15419.225652088002</v>
      </c>
      <c r="P46" s="19">
        <f t="shared" si="38"/>
        <v>3116.580427979271</v>
      </c>
      <c r="Q46" s="19">
        <f t="shared" si="38"/>
        <v>25021.226451869999</v>
      </c>
    </row>
    <row r="47" spans="1:17" ht="16">
      <c r="A47" s="37" t="s">
        <v>389</v>
      </c>
      <c r="B47" s="19">
        <f t="shared" si="32"/>
        <v>859.19146553244912</v>
      </c>
      <c r="C47" s="19">
        <f t="shared" si="33"/>
        <v>161.74286353983393</v>
      </c>
      <c r="D47" s="19">
        <f t="shared" si="34"/>
        <v>108.42879326524587</v>
      </c>
      <c r="E47" s="19">
        <f t="shared" si="35"/>
        <v>589.01980872736931</v>
      </c>
      <c r="F47" s="19">
        <f t="shared" ref="F47:Q47" si="39">F34+F35-F45-F46</f>
        <v>20.503985603544379</v>
      </c>
      <c r="G47" s="19">
        <f t="shared" si="39"/>
        <v>25.028549608781304</v>
      </c>
      <c r="H47" s="19">
        <f t="shared" si="39"/>
        <v>116.21032832750825</v>
      </c>
      <c r="I47" s="19">
        <f t="shared" si="39"/>
        <v>3.051117707811386</v>
      </c>
      <c r="J47" s="19">
        <f t="shared" si="39"/>
        <v>12.508958925402112</v>
      </c>
      <c r="K47" s="19">
        <f t="shared" si="39"/>
        <v>40.195560825825851</v>
      </c>
      <c r="L47" s="19">
        <f t="shared" si="39"/>
        <v>17.373855929444289</v>
      </c>
      <c r="M47" s="19">
        <f t="shared" si="39"/>
        <v>35.299299876762234</v>
      </c>
      <c r="N47" s="19">
        <f t="shared" si="39"/>
        <v>116.1784009022449</v>
      </c>
      <c r="O47" s="19">
        <f t="shared" si="39"/>
        <v>158.67100406149621</v>
      </c>
      <c r="P47" s="19">
        <f t="shared" si="39"/>
        <v>34.736735383628911</v>
      </c>
      <c r="Q47" s="19">
        <f t="shared" si="39"/>
        <v>279.43366837999929</v>
      </c>
    </row>
    <row r="48" spans="1:17" ht="16">
      <c r="A48" s="37" t="s">
        <v>381</v>
      </c>
      <c r="B48" s="19">
        <f t="shared" si="32"/>
        <v>10473.567306216353</v>
      </c>
      <c r="C48" s="19">
        <f t="shared" si="33"/>
        <v>-995.28755567214489</v>
      </c>
      <c r="D48" s="19">
        <f t="shared" si="34"/>
        <v>263.69955429429808</v>
      </c>
      <c r="E48" s="19">
        <f t="shared" si="35"/>
        <v>11205.155307594199</v>
      </c>
      <c r="F48" s="19">
        <f t="shared" ref="F48:Q48" si="40">F47+F37-F44</f>
        <v>-57.322182497721542</v>
      </c>
      <c r="G48" s="19">
        <f t="shared" si="40"/>
        <v>-167.86107998413127</v>
      </c>
      <c r="H48" s="19">
        <f t="shared" si="40"/>
        <v>-770.10429319029208</v>
      </c>
      <c r="I48" s="19">
        <f t="shared" si="40"/>
        <v>-16.814679250538035</v>
      </c>
      <c r="J48" s="19">
        <f t="shared" si="40"/>
        <v>39.143396779574687</v>
      </c>
      <c r="K48" s="19">
        <f t="shared" si="40"/>
        <v>23.658665274629129</v>
      </c>
      <c r="L48" s="19">
        <f t="shared" si="40"/>
        <v>69.566563586622351</v>
      </c>
      <c r="M48" s="19">
        <f t="shared" si="40"/>
        <v>148.14560790400992</v>
      </c>
      <c r="N48" s="19">
        <f t="shared" si="40"/>
        <v>1019.9390323384414</v>
      </c>
      <c r="O48" s="19">
        <f t="shared" si="40"/>
        <v>-747.04179241661222</v>
      </c>
      <c r="P48" s="19">
        <f t="shared" si="40"/>
        <v>729.6526373409406</v>
      </c>
      <c r="Q48" s="19">
        <f t="shared" si="40"/>
        <v>10202.60543033143</v>
      </c>
    </row>
    <row r="49" spans="1:17" ht="16">
      <c r="A49" s="37" t="s">
        <v>313</v>
      </c>
      <c r="B49" s="19">
        <f t="shared" si="32"/>
        <v>7</v>
      </c>
      <c r="C49" s="19">
        <f t="shared" si="33"/>
        <v>0</v>
      </c>
      <c r="D49" s="19">
        <f t="shared" si="34"/>
        <v>4</v>
      </c>
      <c r="E49" s="19">
        <f t="shared" si="35"/>
        <v>3</v>
      </c>
      <c r="F49" s="19">
        <f t="shared" ref="F49:Q49" si="41">IF(F48&lt;0,0,1)</f>
        <v>0</v>
      </c>
      <c r="G49" s="19">
        <f t="shared" si="41"/>
        <v>0</v>
      </c>
      <c r="H49" s="19">
        <f t="shared" si="41"/>
        <v>0</v>
      </c>
      <c r="I49" s="19">
        <f t="shared" si="41"/>
        <v>0</v>
      </c>
      <c r="J49" s="19">
        <f t="shared" si="41"/>
        <v>1</v>
      </c>
      <c r="K49" s="19">
        <f t="shared" si="41"/>
        <v>1</v>
      </c>
      <c r="L49" s="19">
        <f t="shared" si="41"/>
        <v>1</v>
      </c>
      <c r="M49" s="19">
        <f t="shared" si="41"/>
        <v>1</v>
      </c>
      <c r="N49" s="19">
        <f t="shared" si="41"/>
        <v>1</v>
      </c>
      <c r="O49" s="19">
        <f t="shared" si="41"/>
        <v>0</v>
      </c>
      <c r="P49" s="19">
        <f t="shared" si="41"/>
        <v>1</v>
      </c>
      <c r="Q49" s="19">
        <f t="shared" si="41"/>
        <v>1</v>
      </c>
    </row>
    <row r="50" spans="1:17" ht="16">
      <c r="A50" s="83">
        <v>4</v>
      </c>
      <c r="B50" s="19"/>
      <c r="C50" s="19"/>
      <c r="D50" s="19"/>
      <c r="E50" s="19"/>
      <c r="F50" s="19"/>
      <c r="G50" s="19"/>
      <c r="H50" s="19"/>
      <c r="I50" s="19"/>
      <c r="J50" s="19"/>
      <c r="K50" s="19"/>
      <c r="L50" s="19"/>
      <c r="M50" s="19"/>
      <c r="N50" s="19"/>
      <c r="O50" s="19"/>
      <c r="P50" s="19"/>
      <c r="Q50" s="19"/>
    </row>
    <row r="51" spans="1:17" ht="16">
      <c r="A51" s="37" t="s">
        <v>373</v>
      </c>
      <c r="B51" s="19">
        <f>SUM(C51:E51)</f>
        <v>6021.8066793124999</v>
      </c>
      <c r="C51" s="19">
        <f>SUM(F51:H51)</f>
        <v>2785.2165474999997</v>
      </c>
      <c r="D51" s="19">
        <f>SUM(I51:M51)</f>
        <v>1409.9702016250001</v>
      </c>
      <c r="E51" s="19">
        <f>SUM(N51:Q51)</f>
        <v>1826.6199301875001</v>
      </c>
      <c r="F51" s="19">
        <f>F40-F40*F$5/100</f>
        <v>469.38802000000004</v>
      </c>
      <c r="G51" s="19">
        <f t="shared" ref="G51:Q51" si="42">G40-G40*G$5/100</f>
        <v>461.34912374999993</v>
      </c>
      <c r="H51" s="19">
        <f t="shared" si="42"/>
        <v>1854.4794037499996</v>
      </c>
      <c r="I51" s="19">
        <f t="shared" si="42"/>
        <v>28.605942499999998</v>
      </c>
      <c r="J51" s="19">
        <f t="shared" si="42"/>
        <v>166.51999374999997</v>
      </c>
      <c r="K51" s="19">
        <f t="shared" si="42"/>
        <v>738.6597240000001</v>
      </c>
      <c r="L51" s="19">
        <f t="shared" si="42"/>
        <v>159.201466125</v>
      </c>
      <c r="M51" s="19">
        <f t="shared" si="42"/>
        <v>316.98307525000001</v>
      </c>
      <c r="N51" s="19">
        <f t="shared" si="42"/>
        <v>923.04277162499989</v>
      </c>
      <c r="O51" s="19">
        <f t="shared" si="42"/>
        <v>608.86809000000005</v>
      </c>
      <c r="P51" s="19">
        <f t="shared" si="42"/>
        <v>294.70906856250002</v>
      </c>
      <c r="Q51" s="19">
        <f t="shared" si="42"/>
        <v>0</v>
      </c>
    </row>
    <row r="52" spans="1:17" ht="16">
      <c r="A52" s="37" t="s">
        <v>374</v>
      </c>
      <c r="B52" s="19">
        <f>SUM(C52:E52)</f>
        <v>11835.460071000001</v>
      </c>
      <c r="C52" s="19">
        <f>SUM(F52:H52)</f>
        <v>1765.82754</v>
      </c>
      <c r="D52" s="19">
        <f>SUM(I52:M52)</f>
        <v>1748.467134</v>
      </c>
      <c r="E52" s="19">
        <f>SUM(N52:Q52)</f>
        <v>8321.1653970000007</v>
      </c>
      <c r="F52" s="19">
        <f>F41-F41*F$7/100</f>
        <v>147.49128000000002</v>
      </c>
      <c r="G52" s="19">
        <f t="shared" ref="G52:Q52" si="43">G41-G41*G$7/100</f>
        <v>64.429020000000008</v>
      </c>
      <c r="H52" s="19">
        <f t="shared" si="43"/>
        <v>1553.90724</v>
      </c>
      <c r="I52" s="19">
        <f t="shared" si="43"/>
        <v>53.931420000000003</v>
      </c>
      <c r="J52" s="19">
        <f t="shared" si="43"/>
        <v>209.29590000000005</v>
      </c>
      <c r="K52" s="19">
        <f t="shared" si="43"/>
        <v>522.22935600000005</v>
      </c>
      <c r="L52" s="19">
        <f t="shared" si="43"/>
        <v>312.97282199999995</v>
      </c>
      <c r="M52" s="19">
        <f t="shared" si="43"/>
        <v>650.03763600000002</v>
      </c>
      <c r="N52" s="19">
        <f t="shared" si="43"/>
        <v>3301.9807139999994</v>
      </c>
      <c r="O52" s="19">
        <f t="shared" si="43"/>
        <v>4017.693960000001</v>
      </c>
      <c r="P52" s="19">
        <f t="shared" si="43"/>
        <v>1001.490723</v>
      </c>
      <c r="Q52" s="19">
        <f t="shared" si="43"/>
        <v>0</v>
      </c>
    </row>
    <row r="53" spans="1:17" ht="16">
      <c r="A53" s="37" t="s">
        <v>375</v>
      </c>
      <c r="B53" s="19">
        <f>SUM(C53:E53)</f>
        <v>23724.04688677896</v>
      </c>
      <c r="C53" s="19">
        <f>SUM(F53:H53)</f>
        <v>5905.1690398951196</v>
      </c>
      <c r="D53" s="19">
        <f>SUM(I53:M53)</f>
        <v>2459.4102984293345</v>
      </c>
      <c r="E53" s="19">
        <f>SUM(N53:Q53)</f>
        <v>15359.467548454508</v>
      </c>
      <c r="F53" s="19">
        <f>F42-F42*F$9/100</f>
        <v>842.80258081595298</v>
      </c>
      <c r="G53" s="19">
        <f t="shared" ref="G53:Q53" si="44">G42-G42*G$9/100</f>
        <v>1328.5956201643323</v>
      </c>
      <c r="H53" s="19">
        <f t="shared" si="44"/>
        <v>3733.7708389148343</v>
      </c>
      <c r="I53" s="19">
        <f t="shared" si="44"/>
        <v>58.275214874211493</v>
      </c>
      <c r="J53" s="19">
        <f t="shared" si="44"/>
        <v>376.71085765027715</v>
      </c>
      <c r="K53" s="19">
        <f t="shared" si="44"/>
        <v>1062.3617471646915</v>
      </c>
      <c r="L53" s="19">
        <f t="shared" si="44"/>
        <v>408.4594794608048</v>
      </c>
      <c r="M53" s="19">
        <f t="shared" si="44"/>
        <v>553.60299927934977</v>
      </c>
      <c r="N53" s="19">
        <f t="shared" si="44"/>
        <v>1352.1067019640097</v>
      </c>
      <c r="O53" s="19">
        <f t="shared" si="44"/>
        <v>1508.9640348790904</v>
      </c>
      <c r="P53" s="19">
        <f t="shared" si="44"/>
        <v>606.16922791927186</v>
      </c>
      <c r="Q53" s="19">
        <f t="shared" si="44"/>
        <v>11892.227583692134</v>
      </c>
    </row>
    <row r="54" spans="1:17" ht="16">
      <c r="A54" s="37" t="s">
        <v>376</v>
      </c>
      <c r="B54" s="19">
        <f>SUM(C54:E54)</f>
        <v>37733.818945449842</v>
      </c>
      <c r="C54" s="19">
        <f>SUM(F54:H54)</f>
        <v>2689.9865243537606</v>
      </c>
      <c r="D54" s="19">
        <f>SUM(I54:M54)</f>
        <v>3129.8371397879059</v>
      </c>
      <c r="E54" s="19">
        <f>SUM(N54:Q54)</f>
        <v>31913.995281308176</v>
      </c>
      <c r="F54" s="19">
        <f>F43-F43*F$11/100</f>
        <v>214.51036419727473</v>
      </c>
      <c r="G54" s="19">
        <f t="shared" ref="G54:Q54" si="45">G43-G43*G$11/100</f>
        <v>196.58267101788306</v>
      </c>
      <c r="H54" s="19">
        <f t="shared" si="45"/>
        <v>2278.8934891386029</v>
      </c>
      <c r="I54" s="19">
        <f t="shared" si="45"/>
        <v>87.320543068023426</v>
      </c>
      <c r="J54" s="19">
        <f t="shared" si="45"/>
        <v>392.72439829754813</v>
      </c>
      <c r="K54" s="19">
        <f t="shared" si="45"/>
        <v>736.98905438459474</v>
      </c>
      <c r="L54" s="19">
        <f t="shared" si="45"/>
        <v>693.21515533433535</v>
      </c>
      <c r="M54" s="19">
        <f t="shared" si="45"/>
        <v>1219.5879887034043</v>
      </c>
      <c r="N54" s="19">
        <f t="shared" si="45"/>
        <v>3966.6501903462818</v>
      </c>
      <c r="O54" s="19">
        <f t="shared" si="45"/>
        <v>6159.4300383658774</v>
      </c>
      <c r="P54" s="19">
        <f t="shared" si="45"/>
        <v>1463.9799333721623</v>
      </c>
      <c r="Q54" s="19">
        <f t="shared" si="45"/>
        <v>20323.935119223857</v>
      </c>
    </row>
    <row r="55" spans="1:17" ht="16">
      <c r="A55" s="37" t="s">
        <v>390</v>
      </c>
      <c r="B55" s="19">
        <f t="shared" ref="B55:B60" si="46">SUM(C55:E55)</f>
        <v>3492.6059811246278</v>
      </c>
      <c r="C55" s="19">
        <f t="shared" ref="C55:C60" si="47">SUM(F55:H55)</f>
        <v>897.51753757145229</v>
      </c>
      <c r="D55" s="19">
        <f t="shared" ref="D55:D60" si="48">SUM(I55:M55)</f>
        <v>550.77114947241171</v>
      </c>
      <c r="E55" s="19">
        <f t="shared" ref="E55:E60" si="49">SUM(N55:Q55)</f>
        <v>2044.3172940807635</v>
      </c>
      <c r="F55" s="19">
        <f t="shared" ref="F55:Q55" si="50">SUM(F40:F43)-SUM(F51:F54)</f>
        <v>127.45393055602131</v>
      </c>
      <c r="G55" s="19">
        <f t="shared" si="50"/>
        <v>131.64960098628444</v>
      </c>
      <c r="H55" s="19">
        <f t="shared" si="50"/>
        <v>638.41400602914655</v>
      </c>
      <c r="I55" s="19">
        <f t="shared" si="50"/>
        <v>13.724839420778835</v>
      </c>
      <c r="J55" s="19">
        <f t="shared" si="50"/>
        <v>68.258745631651209</v>
      </c>
      <c r="K55" s="19">
        <f t="shared" si="50"/>
        <v>228.67808276405503</v>
      </c>
      <c r="L55" s="19">
        <f t="shared" si="50"/>
        <v>82.504075067209669</v>
      </c>
      <c r="M55" s="19">
        <f t="shared" si="50"/>
        <v>157.60540658871696</v>
      </c>
      <c r="N55" s="19">
        <f t="shared" si="50"/>
        <v>611.66155356529453</v>
      </c>
      <c r="O55" s="19">
        <f t="shared" si="50"/>
        <v>662.74320580345557</v>
      </c>
      <c r="P55" s="19">
        <f t="shared" si="50"/>
        <v>196.81940767657943</v>
      </c>
      <c r="Q55" s="19">
        <f t="shared" si="50"/>
        <v>573.09312703543401</v>
      </c>
    </row>
    <row r="56" spans="1:17" ht="16">
      <c r="A56" s="37" t="s">
        <v>391</v>
      </c>
      <c r="B56" s="19">
        <f t="shared" si="46"/>
        <v>0.13043488749999979</v>
      </c>
      <c r="C56" s="19">
        <f t="shared" si="47"/>
        <v>1.2393749999999978E-2</v>
      </c>
      <c r="D56" s="19">
        <f t="shared" si="48"/>
        <v>1.2837499999999977E-2</v>
      </c>
      <c r="E56" s="19">
        <f t="shared" si="49"/>
        <v>0.10520363749999984</v>
      </c>
      <c r="F56" s="19">
        <f>F45-F45*F$13/100</f>
        <v>2.3812500000000014E-3</v>
      </c>
      <c r="G56" s="19">
        <f t="shared" ref="G56:Q56" si="51">G45-G45*G$13/100</f>
        <v>1.6437499999999959E-3</v>
      </c>
      <c r="H56" s="19">
        <f t="shared" si="51"/>
        <v>8.3687499999999804E-3</v>
      </c>
      <c r="I56" s="19">
        <f t="shared" si="51"/>
        <v>1.6249999999999945E-4</v>
      </c>
      <c r="J56" s="19">
        <f t="shared" si="51"/>
        <v>1.6375000000000001E-3</v>
      </c>
      <c r="K56" s="19">
        <f t="shared" si="51"/>
        <v>4.9812499999999926E-3</v>
      </c>
      <c r="L56" s="19">
        <f t="shared" si="51"/>
        <v>2.0499999999999963E-3</v>
      </c>
      <c r="M56" s="19">
        <f t="shared" si="51"/>
        <v>4.006249999999989E-3</v>
      </c>
      <c r="N56" s="19">
        <f t="shared" si="51"/>
        <v>1.8699999999999994E-2</v>
      </c>
      <c r="O56" s="19">
        <f t="shared" si="51"/>
        <v>7.6875000000000138E-3</v>
      </c>
      <c r="P56" s="19">
        <f t="shared" si="51"/>
        <v>8.5687500000000139E-3</v>
      </c>
      <c r="Q56" s="19">
        <f t="shared" si="51"/>
        <v>7.0247387499999814E-2</v>
      </c>
    </row>
    <row r="57" spans="1:17" ht="16">
      <c r="A57" s="37" t="s">
        <v>392</v>
      </c>
      <c r="B57" s="19">
        <f t="shared" si="46"/>
        <v>79351.464673762923</v>
      </c>
      <c r="C57" s="19">
        <f t="shared" si="47"/>
        <v>15390.827709289249</v>
      </c>
      <c r="D57" s="19">
        <f t="shared" si="48"/>
        <v>10148.988745426745</v>
      </c>
      <c r="E57" s="19">
        <f t="shared" si="49"/>
        <v>53811.648219046932</v>
      </c>
      <c r="F57" s="19">
        <f>F46-F46*F$15/100</f>
        <v>1920.9088302533628</v>
      </c>
      <c r="G57" s="19">
        <f t="shared" ref="G57:Q57" si="52">G46-G46*G$15/100</f>
        <v>2391.8286509066729</v>
      </c>
      <c r="H57" s="19">
        <f t="shared" si="52"/>
        <v>11078.090228129215</v>
      </c>
      <c r="I57" s="19">
        <f t="shared" si="52"/>
        <v>292.98792904259426</v>
      </c>
      <c r="J57" s="19">
        <f t="shared" si="52"/>
        <v>1165.0163417786766</v>
      </c>
      <c r="K57" s="19">
        <f t="shared" si="52"/>
        <v>3754.0462377891749</v>
      </c>
      <c r="L57" s="19">
        <f t="shared" si="52"/>
        <v>1626.4618296448377</v>
      </c>
      <c r="M57" s="19">
        <f t="shared" si="52"/>
        <v>3310.4764071714599</v>
      </c>
      <c r="N57" s="19">
        <f t="shared" si="52"/>
        <v>10690.186012429032</v>
      </c>
      <c r="O57" s="19">
        <f t="shared" si="52"/>
        <v>15265.033395567121</v>
      </c>
      <c r="P57" s="19">
        <f t="shared" si="52"/>
        <v>3085.4146236994784</v>
      </c>
      <c r="Q57" s="19">
        <f t="shared" si="52"/>
        <v>24771.014187351298</v>
      </c>
    </row>
    <row r="58" spans="1:17" ht="16">
      <c r="A58" s="37" t="s">
        <v>393</v>
      </c>
      <c r="B58" s="19">
        <f t="shared" si="46"/>
        <v>804.00820906213096</v>
      </c>
      <c r="C58" s="19">
        <f t="shared" si="47"/>
        <v>155.69838740443902</v>
      </c>
      <c r="D58" s="19">
        <f t="shared" si="48"/>
        <v>102.75895033259314</v>
      </c>
      <c r="E58" s="19">
        <f t="shared" si="49"/>
        <v>545.5508713250988</v>
      </c>
      <c r="F58" s="19">
        <f t="shared" ref="F58:Q58" si="53">F45+F46-F56-F57</f>
        <v>19.448363247508496</v>
      </c>
      <c r="G58" s="19">
        <f t="shared" si="53"/>
        <v>24.191116612693804</v>
      </c>
      <c r="H58" s="19">
        <f t="shared" si="53"/>
        <v>112.05890754423672</v>
      </c>
      <c r="I58" s="19">
        <f t="shared" si="53"/>
        <v>2.9625615307332964</v>
      </c>
      <c r="J58" s="19">
        <f t="shared" si="53"/>
        <v>11.798954336148427</v>
      </c>
      <c r="K58" s="19">
        <f t="shared" si="53"/>
        <v>38.014302717567261</v>
      </c>
      <c r="L58" s="19">
        <f t="shared" si="53"/>
        <v>16.467857370149659</v>
      </c>
      <c r="M58" s="19">
        <f t="shared" si="53"/>
        <v>33.515274377994501</v>
      </c>
      <c r="N58" s="19">
        <f t="shared" si="53"/>
        <v>108.33697689322253</v>
      </c>
      <c r="O58" s="19">
        <f t="shared" si="53"/>
        <v>154.33831902088059</v>
      </c>
      <c r="P58" s="19">
        <f t="shared" si="53"/>
        <v>31.328610529792513</v>
      </c>
      <c r="Q58" s="19">
        <f t="shared" si="53"/>
        <v>251.54696488120317</v>
      </c>
    </row>
    <row r="59" spans="1:17" ht="16">
      <c r="A59" s="37" t="s">
        <v>381</v>
      </c>
      <c r="B59" s="19">
        <f t="shared" si="46"/>
        <v>7784.9695341538572</v>
      </c>
      <c r="C59" s="19">
        <f t="shared" si="47"/>
        <v>-1737.1067058391582</v>
      </c>
      <c r="D59" s="19">
        <f t="shared" si="48"/>
        <v>-184.31264484552051</v>
      </c>
      <c r="E59" s="19">
        <f t="shared" si="49"/>
        <v>9706.3888848385359</v>
      </c>
      <c r="F59" s="19">
        <f t="shared" ref="F59:Q59" si="54">F58+F48-F55</f>
        <v>-165.32774980623435</v>
      </c>
      <c r="G59" s="19">
        <f t="shared" si="54"/>
        <v>-275.3195643577219</v>
      </c>
      <c r="H59" s="19">
        <f t="shared" si="54"/>
        <v>-1296.4593916752019</v>
      </c>
      <c r="I59" s="19">
        <f t="shared" si="54"/>
        <v>-27.576957140583573</v>
      </c>
      <c r="J59" s="19">
        <f t="shared" si="54"/>
        <v>-17.316394515928096</v>
      </c>
      <c r="K59" s="19">
        <f t="shared" si="54"/>
        <v>-167.00511477185864</v>
      </c>
      <c r="L59" s="19">
        <f t="shared" si="54"/>
        <v>3.5303458895623407</v>
      </c>
      <c r="M59" s="19">
        <f t="shared" si="54"/>
        <v>24.055475693287462</v>
      </c>
      <c r="N59" s="19">
        <f t="shared" si="54"/>
        <v>516.61445566636939</v>
      </c>
      <c r="O59" s="19">
        <f t="shared" si="54"/>
        <v>-1255.4466791991872</v>
      </c>
      <c r="P59" s="19">
        <f t="shared" si="54"/>
        <v>564.16184019415368</v>
      </c>
      <c r="Q59" s="19">
        <f t="shared" si="54"/>
        <v>9881.0592681771996</v>
      </c>
    </row>
    <row r="60" spans="1:17" ht="16">
      <c r="A60" s="37" t="s">
        <v>313</v>
      </c>
      <c r="B60" s="19">
        <f t="shared" si="46"/>
        <v>5</v>
      </c>
      <c r="C60" s="19">
        <f t="shared" si="47"/>
        <v>0</v>
      </c>
      <c r="D60" s="19">
        <f t="shared" si="48"/>
        <v>2</v>
      </c>
      <c r="E60" s="19">
        <f t="shared" si="49"/>
        <v>3</v>
      </c>
      <c r="F60" s="19">
        <f t="shared" ref="F60:Q60" si="55">IF(F59&lt;0,0,1)</f>
        <v>0</v>
      </c>
      <c r="G60" s="19">
        <f t="shared" si="55"/>
        <v>0</v>
      </c>
      <c r="H60" s="19">
        <f t="shared" si="55"/>
        <v>0</v>
      </c>
      <c r="I60" s="19">
        <f t="shared" si="55"/>
        <v>0</v>
      </c>
      <c r="J60" s="19">
        <f t="shared" si="55"/>
        <v>0</v>
      </c>
      <c r="K60" s="19">
        <f t="shared" si="55"/>
        <v>0</v>
      </c>
      <c r="L60" s="19">
        <f t="shared" si="55"/>
        <v>1</v>
      </c>
      <c r="M60" s="19">
        <f t="shared" si="55"/>
        <v>1</v>
      </c>
      <c r="N60" s="19">
        <f t="shared" si="55"/>
        <v>1</v>
      </c>
      <c r="O60" s="19">
        <f t="shared" si="55"/>
        <v>0</v>
      </c>
      <c r="P60" s="19">
        <f t="shared" si="55"/>
        <v>1</v>
      </c>
      <c r="Q60" s="19">
        <f t="shared" si="55"/>
        <v>1</v>
      </c>
    </row>
    <row r="61" spans="1:17" ht="16">
      <c r="A61" s="83">
        <v>5</v>
      </c>
      <c r="B61" s="19"/>
      <c r="C61" s="19"/>
      <c r="D61" s="19"/>
      <c r="E61" s="19"/>
      <c r="F61" s="19"/>
      <c r="G61" s="19"/>
      <c r="H61" s="19"/>
      <c r="I61" s="19"/>
      <c r="J61" s="19"/>
      <c r="K61" s="19"/>
      <c r="L61" s="19"/>
      <c r="M61" s="19"/>
      <c r="N61" s="19"/>
      <c r="O61" s="19"/>
      <c r="P61" s="19"/>
      <c r="Q61" s="19"/>
    </row>
    <row r="62" spans="1:17" ht="16">
      <c r="A62" s="37" t="s">
        <v>373</v>
      </c>
      <c r="B62" s="19">
        <f>SUM(C62:E62)</f>
        <v>5118.5356774156244</v>
      </c>
      <c r="C62" s="19">
        <f>SUM(F62:H62)</f>
        <v>2367.4340653749996</v>
      </c>
      <c r="D62" s="19">
        <f>SUM(I62:M62)</f>
        <v>1198.4746713812501</v>
      </c>
      <c r="E62" s="19">
        <f>SUM(N62:Q62)</f>
        <v>1552.6269406593749</v>
      </c>
      <c r="F62" s="19">
        <f>F51-F51*F$5/100</f>
        <v>398.97981700000003</v>
      </c>
      <c r="G62" s="19">
        <f t="shared" ref="G62:Q62" si="56">G51-G51*G$5/100</f>
        <v>392.14675518749993</v>
      </c>
      <c r="H62" s="19">
        <f t="shared" si="56"/>
        <v>1576.3074931874996</v>
      </c>
      <c r="I62" s="19">
        <f t="shared" si="56"/>
        <v>24.315051124999997</v>
      </c>
      <c r="J62" s="19">
        <f t="shared" si="56"/>
        <v>141.54199468749997</v>
      </c>
      <c r="K62" s="19">
        <f t="shared" si="56"/>
        <v>627.8607654000001</v>
      </c>
      <c r="L62" s="19">
        <f t="shared" si="56"/>
        <v>135.32124620625001</v>
      </c>
      <c r="M62" s="19">
        <f t="shared" si="56"/>
        <v>269.43561396250004</v>
      </c>
      <c r="N62" s="19">
        <f t="shared" si="56"/>
        <v>784.58635588124992</v>
      </c>
      <c r="O62" s="19">
        <f t="shared" si="56"/>
        <v>517.53787650000004</v>
      </c>
      <c r="P62" s="19">
        <f t="shared" si="56"/>
        <v>250.50270827812503</v>
      </c>
      <c r="Q62" s="19">
        <f t="shared" si="56"/>
        <v>0</v>
      </c>
    </row>
    <row r="63" spans="1:17" ht="16">
      <c r="A63" s="37" t="s">
        <v>374</v>
      </c>
      <c r="B63" s="19">
        <f>SUM(C63:E63)</f>
        <v>10651.9140639</v>
      </c>
      <c r="C63" s="19">
        <f>SUM(F63:H63)</f>
        <v>1589.244786</v>
      </c>
      <c r="D63" s="19">
        <f>SUM(I63:M63)</f>
        <v>1573.6204206000002</v>
      </c>
      <c r="E63" s="19">
        <f>SUM(N63:Q63)</f>
        <v>7489.0488573000002</v>
      </c>
      <c r="F63" s="19">
        <f>F52-F52*F$7/100</f>
        <v>132.742152</v>
      </c>
      <c r="G63" s="19">
        <f t="shared" ref="G63:Q63" si="57">G52-G52*G$7/100</f>
        <v>57.986118000000005</v>
      </c>
      <c r="H63" s="19">
        <f t="shared" si="57"/>
        <v>1398.5165159999999</v>
      </c>
      <c r="I63" s="19">
        <f t="shared" si="57"/>
        <v>48.538278000000005</v>
      </c>
      <c r="J63" s="19">
        <f t="shared" si="57"/>
        <v>188.36631000000006</v>
      </c>
      <c r="K63" s="19">
        <f t="shared" si="57"/>
        <v>470.00642040000002</v>
      </c>
      <c r="L63" s="19">
        <f t="shared" si="57"/>
        <v>281.67553979999997</v>
      </c>
      <c r="M63" s="19">
        <f t="shared" si="57"/>
        <v>585.03387240000006</v>
      </c>
      <c r="N63" s="19">
        <f t="shared" si="57"/>
        <v>2971.7826425999992</v>
      </c>
      <c r="O63" s="19">
        <f t="shared" si="57"/>
        <v>3615.9245640000008</v>
      </c>
      <c r="P63" s="19">
        <f t="shared" si="57"/>
        <v>901.34165069999995</v>
      </c>
      <c r="Q63" s="19">
        <f t="shared" si="57"/>
        <v>0</v>
      </c>
    </row>
    <row r="64" spans="1:17" ht="16">
      <c r="A64" s="37" t="s">
        <v>375</v>
      </c>
      <c r="B64" s="19">
        <f>SUM(C64:E64)</f>
        <v>23012.32548017559</v>
      </c>
      <c r="C64" s="19">
        <f>SUM(F64:H64)</f>
        <v>5728.0139686982657</v>
      </c>
      <c r="D64" s="19">
        <f>SUM(I64:M64)</f>
        <v>2385.6279894764548</v>
      </c>
      <c r="E64" s="19">
        <f>SUM(N64:Q64)</f>
        <v>14898.683522000871</v>
      </c>
      <c r="F64" s="19">
        <f>F53-F53*F$9/100</f>
        <v>817.51850339147438</v>
      </c>
      <c r="G64" s="19">
        <f t="shared" ref="G64:Q64" si="58">G53-G53*G$9/100</f>
        <v>1288.7377515594023</v>
      </c>
      <c r="H64" s="19">
        <f t="shared" si="58"/>
        <v>3621.7577137473891</v>
      </c>
      <c r="I64" s="19">
        <f t="shared" si="58"/>
        <v>56.52695842798515</v>
      </c>
      <c r="J64" s="19">
        <f t="shared" si="58"/>
        <v>365.40953192076881</v>
      </c>
      <c r="K64" s="19">
        <f t="shared" si="58"/>
        <v>1030.4908947497506</v>
      </c>
      <c r="L64" s="19">
        <f t="shared" si="58"/>
        <v>396.20569507698065</v>
      </c>
      <c r="M64" s="19">
        <f t="shared" si="58"/>
        <v>536.99490930096931</v>
      </c>
      <c r="N64" s="19">
        <f t="shared" si="58"/>
        <v>1311.5435009050896</v>
      </c>
      <c r="O64" s="19">
        <f t="shared" si="58"/>
        <v>1463.6951138327177</v>
      </c>
      <c r="P64" s="19">
        <f t="shared" si="58"/>
        <v>587.98415108169365</v>
      </c>
      <c r="Q64" s="19">
        <f t="shared" si="58"/>
        <v>11535.46075618137</v>
      </c>
    </row>
    <row r="65" spans="1:17" ht="16">
      <c r="A65" s="37" t="s">
        <v>376</v>
      </c>
      <c r="B65" s="19">
        <f>SUM(C65:E65)</f>
        <v>37356.480755995348</v>
      </c>
      <c r="C65" s="19">
        <f>SUM(F65:H65)</f>
        <v>2663.0866591102231</v>
      </c>
      <c r="D65" s="19">
        <f>SUM(I65:M65)</f>
        <v>3098.5387683900271</v>
      </c>
      <c r="E65" s="19">
        <f>SUM(N65:Q65)</f>
        <v>31594.855328495098</v>
      </c>
      <c r="F65" s="19">
        <f>F54-F54*F$11/100</f>
        <v>212.36526055530197</v>
      </c>
      <c r="G65" s="19">
        <f t="shared" ref="G65:Q65" si="59">G54-G54*G$11/100</f>
        <v>194.61684430770424</v>
      </c>
      <c r="H65" s="19">
        <f t="shared" si="59"/>
        <v>2256.104554247217</v>
      </c>
      <c r="I65" s="19">
        <f t="shared" si="59"/>
        <v>86.447337637343196</v>
      </c>
      <c r="J65" s="19">
        <f t="shared" si="59"/>
        <v>388.79715431457265</v>
      </c>
      <c r="K65" s="19">
        <f t="shared" si="59"/>
        <v>729.6191638407488</v>
      </c>
      <c r="L65" s="19">
        <f t="shared" si="59"/>
        <v>686.28300378099198</v>
      </c>
      <c r="M65" s="19">
        <f t="shared" si="59"/>
        <v>1207.3921088163702</v>
      </c>
      <c r="N65" s="19">
        <f t="shared" si="59"/>
        <v>3926.9836884428191</v>
      </c>
      <c r="O65" s="19">
        <f t="shared" si="59"/>
        <v>6097.8357379822182</v>
      </c>
      <c r="P65" s="19">
        <f t="shared" si="59"/>
        <v>1449.3401340384407</v>
      </c>
      <c r="Q65" s="19">
        <f t="shared" si="59"/>
        <v>20120.695768031619</v>
      </c>
    </row>
    <row r="66" spans="1:17" ht="16">
      <c r="A66" s="37" t="s">
        <v>394</v>
      </c>
      <c r="B66" s="19">
        <f t="shared" ref="B66:B71" si="60">SUM(C66:E66)</f>
        <v>3175.876605054747</v>
      </c>
      <c r="C66" s="19">
        <f t="shared" ref="C66:C71" si="61">SUM(F66:H66)</f>
        <v>798.42017256539248</v>
      </c>
      <c r="D66" s="19">
        <f t="shared" ref="D66:D71" si="62">SUM(I66:M66)</f>
        <v>491.42292399450878</v>
      </c>
      <c r="E66" s="19">
        <f t="shared" ref="E66:E71" si="63">SUM(N66:Q66)</f>
        <v>1886.0335084948456</v>
      </c>
      <c r="F66" s="19">
        <f t="shared" ref="F66:Q66" si="64">SUM(F51:F54)-SUM(F62:F65)</f>
        <v>112.58651206645141</v>
      </c>
      <c r="G66" s="19">
        <f t="shared" si="64"/>
        <v>117.46896587760898</v>
      </c>
      <c r="H66" s="19">
        <f t="shared" si="64"/>
        <v>568.36469462133209</v>
      </c>
      <c r="I66" s="19">
        <f t="shared" si="64"/>
        <v>12.305495251906564</v>
      </c>
      <c r="J66" s="19">
        <f t="shared" si="64"/>
        <v>61.136158774983642</v>
      </c>
      <c r="K66" s="19">
        <f t="shared" si="64"/>
        <v>202.26263715878667</v>
      </c>
      <c r="L66" s="19">
        <f t="shared" si="64"/>
        <v>74.363438055917413</v>
      </c>
      <c r="M66" s="19">
        <f t="shared" si="64"/>
        <v>141.35519475291449</v>
      </c>
      <c r="N66" s="19">
        <f t="shared" si="64"/>
        <v>548.88419010613325</v>
      </c>
      <c r="O66" s="19">
        <f t="shared" si="64"/>
        <v>599.96283093003149</v>
      </c>
      <c r="P66" s="19">
        <f t="shared" si="64"/>
        <v>177.18030875567456</v>
      </c>
      <c r="Q66" s="19">
        <f t="shared" si="64"/>
        <v>560.0061787030063</v>
      </c>
    </row>
    <row r="67" spans="1:17" ht="16">
      <c r="A67" s="37" t="s">
        <v>395</v>
      </c>
      <c r="B67" s="19">
        <f t="shared" si="60"/>
        <v>6.5217443749999889E-3</v>
      </c>
      <c r="C67" s="19">
        <f t="shared" si="61"/>
        <v>6.1968750000000045E-4</v>
      </c>
      <c r="D67" s="19">
        <f t="shared" si="62"/>
        <v>6.4187499999999867E-4</v>
      </c>
      <c r="E67" s="19">
        <f t="shared" si="63"/>
        <v>5.2601818749999901E-3</v>
      </c>
      <c r="F67" s="19">
        <f>F56-F56*F$13/100</f>
        <v>1.1906250000000024E-4</v>
      </c>
      <c r="G67" s="19">
        <f t="shared" ref="G67:Q67" si="65">G56-G56*G$13/100</f>
        <v>8.2187499999999795E-5</v>
      </c>
      <c r="H67" s="19">
        <f t="shared" si="65"/>
        <v>4.1843750000000041E-4</v>
      </c>
      <c r="I67" s="19">
        <f t="shared" si="65"/>
        <v>8.1249999999999671E-6</v>
      </c>
      <c r="J67" s="19">
        <f t="shared" si="65"/>
        <v>8.1875000000000133E-5</v>
      </c>
      <c r="K67" s="19">
        <f t="shared" si="65"/>
        <v>2.4906249999999928E-4</v>
      </c>
      <c r="L67" s="19">
        <f t="shared" si="65"/>
        <v>1.0249999999999973E-4</v>
      </c>
      <c r="M67" s="19">
        <f t="shared" si="65"/>
        <v>2.0031249999999954E-4</v>
      </c>
      <c r="N67" s="19">
        <f t="shared" si="65"/>
        <v>9.3499999999999833E-4</v>
      </c>
      <c r="O67" s="19">
        <f t="shared" si="65"/>
        <v>3.8437500000000104E-4</v>
      </c>
      <c r="P67" s="19">
        <f t="shared" si="65"/>
        <v>4.284375E-4</v>
      </c>
      <c r="Q67" s="19">
        <f t="shared" si="65"/>
        <v>3.5123693749999907E-3</v>
      </c>
    </row>
    <row r="68" spans="1:17" ht="16">
      <c r="A68" s="37" t="s">
        <v>396</v>
      </c>
      <c r="B68" s="19">
        <f t="shared" si="60"/>
        <v>78557.95002702529</v>
      </c>
      <c r="C68" s="19">
        <f t="shared" si="61"/>
        <v>15236.919432196359</v>
      </c>
      <c r="D68" s="19">
        <f t="shared" si="62"/>
        <v>10047.498857972476</v>
      </c>
      <c r="E68" s="19">
        <f t="shared" si="63"/>
        <v>53273.531736856457</v>
      </c>
      <c r="F68" s="19">
        <f>F57-F57*F$15/100</f>
        <v>1901.6997419508291</v>
      </c>
      <c r="G68" s="19">
        <f t="shared" ref="G68:Q68" si="66">G57-G57*G$15/100</f>
        <v>2367.9103643976064</v>
      </c>
      <c r="H68" s="19">
        <f t="shared" si="66"/>
        <v>10967.309325847922</v>
      </c>
      <c r="I68" s="19">
        <f t="shared" si="66"/>
        <v>290.0580497521683</v>
      </c>
      <c r="J68" s="19">
        <f t="shared" si="66"/>
        <v>1153.3661783608898</v>
      </c>
      <c r="K68" s="19">
        <f t="shared" si="66"/>
        <v>3716.5057754112831</v>
      </c>
      <c r="L68" s="19">
        <f t="shared" si="66"/>
        <v>1610.1972113483894</v>
      </c>
      <c r="M68" s="19">
        <f t="shared" si="66"/>
        <v>3277.3716430997451</v>
      </c>
      <c r="N68" s="19">
        <f t="shared" si="66"/>
        <v>10583.284152304743</v>
      </c>
      <c r="O68" s="19">
        <f t="shared" si="66"/>
        <v>15112.38306161145</v>
      </c>
      <c r="P68" s="19">
        <f t="shared" si="66"/>
        <v>3054.5604774624835</v>
      </c>
      <c r="Q68" s="19">
        <f t="shared" si="66"/>
        <v>24523.304045477784</v>
      </c>
    </row>
    <row r="69" spans="1:17" ht="16">
      <c r="A69" s="37" t="s">
        <v>397</v>
      </c>
      <c r="B69" s="19">
        <f t="shared" si="60"/>
        <v>793.63855988075557</v>
      </c>
      <c r="C69" s="19">
        <f t="shared" si="61"/>
        <v>153.92005115539246</v>
      </c>
      <c r="D69" s="19">
        <f t="shared" si="62"/>
        <v>101.50208307926795</v>
      </c>
      <c r="E69" s="19">
        <f t="shared" si="63"/>
        <v>538.2164256460951</v>
      </c>
      <c r="F69" s="19">
        <f t="shared" ref="F69:Q69" si="67">F56+F57-F67-F68</f>
        <v>19.211350490033738</v>
      </c>
      <c r="G69" s="19">
        <f t="shared" si="67"/>
        <v>23.919848071566321</v>
      </c>
      <c r="H69" s="19">
        <f t="shared" si="67"/>
        <v>110.7888525937924</v>
      </c>
      <c r="I69" s="19">
        <f t="shared" si="67"/>
        <v>2.930033665425924</v>
      </c>
      <c r="J69" s="19">
        <f t="shared" si="67"/>
        <v>11.651719042786908</v>
      </c>
      <c r="K69" s="19">
        <f t="shared" si="67"/>
        <v>37.545194565391739</v>
      </c>
      <c r="L69" s="19">
        <f t="shared" si="67"/>
        <v>16.266565796448504</v>
      </c>
      <c r="M69" s="19">
        <f t="shared" si="67"/>
        <v>33.108570009214873</v>
      </c>
      <c r="N69" s="19">
        <f t="shared" si="67"/>
        <v>106.91962512429018</v>
      </c>
      <c r="O69" s="19">
        <f t="shared" si="67"/>
        <v>152.65763708067061</v>
      </c>
      <c r="P69" s="19">
        <f t="shared" si="67"/>
        <v>30.862286549494911</v>
      </c>
      <c r="Q69" s="19">
        <f t="shared" si="67"/>
        <v>247.7768768916394</v>
      </c>
    </row>
    <row r="70" spans="1:17" ht="16">
      <c r="A70" s="37" t="s">
        <v>381</v>
      </c>
      <c r="B70" s="19">
        <f t="shared" si="60"/>
        <v>5402.7314889798654</v>
      </c>
      <c r="C70" s="19">
        <f t="shared" si="61"/>
        <v>-2381.6068272491584</v>
      </c>
      <c r="D70" s="19">
        <f t="shared" si="62"/>
        <v>-574.23348576076137</v>
      </c>
      <c r="E70" s="19">
        <f t="shared" si="63"/>
        <v>8358.5718019897849</v>
      </c>
      <c r="F70" s="19">
        <f t="shared" ref="F70:Q70" si="68">F69+F59-F66</f>
        <v>-258.70291138265202</v>
      </c>
      <c r="G70" s="19">
        <f t="shared" si="68"/>
        <v>-368.86868216376456</v>
      </c>
      <c r="H70" s="19">
        <f t="shared" si="68"/>
        <v>-1754.0352337027416</v>
      </c>
      <c r="I70" s="19">
        <f t="shared" si="68"/>
        <v>-36.952418727064213</v>
      </c>
      <c r="J70" s="19">
        <f t="shared" si="68"/>
        <v>-66.800834248124829</v>
      </c>
      <c r="K70" s="19">
        <f t="shared" si="68"/>
        <v>-331.72255736525358</v>
      </c>
      <c r="L70" s="19">
        <f t="shared" si="68"/>
        <v>-54.566526369906569</v>
      </c>
      <c r="M70" s="19">
        <f t="shared" si="68"/>
        <v>-84.19114905041215</v>
      </c>
      <c r="N70" s="19">
        <f t="shared" si="68"/>
        <v>74.649890684526326</v>
      </c>
      <c r="O70" s="19">
        <f t="shared" si="68"/>
        <v>-1702.7518730485481</v>
      </c>
      <c r="P70" s="19">
        <f t="shared" si="68"/>
        <v>417.84381798797403</v>
      </c>
      <c r="Q70" s="19">
        <f t="shared" si="68"/>
        <v>9568.8299663658327</v>
      </c>
    </row>
    <row r="71" spans="1:17" ht="16">
      <c r="A71" s="37" t="s">
        <v>313</v>
      </c>
      <c r="B71" s="19">
        <f t="shared" si="60"/>
        <v>3</v>
      </c>
      <c r="C71" s="19">
        <f t="shared" si="61"/>
        <v>0</v>
      </c>
      <c r="D71" s="19">
        <f t="shared" si="62"/>
        <v>0</v>
      </c>
      <c r="E71" s="19">
        <f t="shared" si="63"/>
        <v>3</v>
      </c>
      <c r="F71" s="19">
        <f t="shared" ref="F71:Q71" si="69">IF(F70&lt;0,0,1)</f>
        <v>0</v>
      </c>
      <c r="G71" s="19">
        <f t="shared" si="69"/>
        <v>0</v>
      </c>
      <c r="H71" s="19">
        <f t="shared" si="69"/>
        <v>0</v>
      </c>
      <c r="I71" s="19">
        <f t="shared" si="69"/>
        <v>0</v>
      </c>
      <c r="J71" s="19">
        <f t="shared" si="69"/>
        <v>0</v>
      </c>
      <c r="K71" s="19">
        <f t="shared" si="69"/>
        <v>0</v>
      </c>
      <c r="L71" s="19">
        <f t="shared" si="69"/>
        <v>0</v>
      </c>
      <c r="M71" s="19">
        <f t="shared" si="69"/>
        <v>0</v>
      </c>
      <c r="N71" s="19">
        <f t="shared" si="69"/>
        <v>1</v>
      </c>
      <c r="O71" s="19">
        <f t="shared" si="69"/>
        <v>0</v>
      </c>
      <c r="P71" s="19">
        <f t="shared" si="69"/>
        <v>1</v>
      </c>
      <c r="Q71" s="19">
        <f t="shared" si="69"/>
        <v>1</v>
      </c>
    </row>
    <row r="73" spans="1:17" ht="16">
      <c r="A73" s="30" t="s">
        <v>2</v>
      </c>
    </row>
    <row r="74" spans="1:17" ht="63" customHeight="1">
      <c r="A74" s="5" t="s">
        <v>309</v>
      </c>
      <c r="B74" s="81">
        <v>1</v>
      </c>
      <c r="C74" s="3"/>
      <c r="D74" s="3"/>
      <c r="E74" s="3"/>
      <c r="F74" s="3"/>
      <c r="G74" s="3"/>
      <c r="H74" s="3"/>
      <c r="I74" s="3"/>
      <c r="J74" s="3"/>
      <c r="K74" s="3"/>
      <c r="L74" s="3"/>
      <c r="M74" s="3"/>
    </row>
    <row r="75" spans="1:17" ht="68">
      <c r="A75" s="5" t="s">
        <v>306</v>
      </c>
      <c r="B75" s="81">
        <v>100</v>
      </c>
      <c r="C75" s="3"/>
      <c r="D75" s="3"/>
      <c r="E75" s="3"/>
      <c r="F75" s="3"/>
      <c r="G75" s="3"/>
      <c r="H75" s="3"/>
      <c r="I75" s="3"/>
      <c r="J75" s="3"/>
      <c r="K75" s="3"/>
      <c r="L75" s="3"/>
      <c r="M75" s="3"/>
    </row>
    <row r="76" spans="1:17" ht="16">
      <c r="A76" s="37" t="s">
        <v>305</v>
      </c>
      <c r="B76" s="19">
        <f>SUM(C76:E76)</f>
        <v>103476.07197882359</v>
      </c>
      <c r="C76" s="19">
        <f>SUM(F76:H76)</f>
        <v>18005.164936214183</v>
      </c>
      <c r="D76" s="19">
        <f>SUM(I76:M76)</f>
        <v>12619.303873609409</v>
      </c>
      <c r="E76" s="19">
        <f>SUM(N76:Q76)</f>
        <v>72851.603168999995</v>
      </c>
      <c r="F76" s="19">
        <f>Data!F5</f>
        <v>2380.7051937092292</v>
      </c>
      <c r="G76" s="19">
        <f>Data!G5</f>
        <v>2752.9423129049565</v>
      </c>
      <c r="H76" s="19">
        <f>Data!H5</f>
        <v>12871.517429599999</v>
      </c>
      <c r="I76" s="19">
        <f>Data!I5</f>
        <v>331.00639810339652</v>
      </c>
      <c r="J76" s="19">
        <f>Data!J5</f>
        <v>1474.805726497528</v>
      </c>
      <c r="K76" s="19">
        <f>Data!K5</f>
        <v>4705.0385497220368</v>
      </c>
      <c r="L76" s="19">
        <f>Data!L5</f>
        <v>2021.1798724052971</v>
      </c>
      <c r="M76" s="19">
        <f>Data!M5</f>
        <v>4087.2733268811517</v>
      </c>
      <c r="N76" s="19">
        <f>Data!N5</f>
        <v>14120.701245000002</v>
      </c>
      <c r="O76" s="19">
        <f>Data!O5</f>
        <v>17121.210494999996</v>
      </c>
      <c r="P76" s="19">
        <f>Data!P5</f>
        <v>4582.979429</v>
      </c>
      <c r="Q76" s="19">
        <f>Data!Q5</f>
        <v>37026.712</v>
      </c>
    </row>
    <row r="77" spans="1:17" ht="16">
      <c r="A77" s="37" t="s">
        <v>307</v>
      </c>
      <c r="B77" s="19">
        <f>SUM(C77:E77)</f>
        <v>121481.23691503776</v>
      </c>
      <c r="C77" s="19">
        <f>SUM(F77:H77)</f>
        <v>36010.329872428367</v>
      </c>
      <c r="D77" s="19">
        <f>SUM(I77:M77)</f>
        <v>12619.303873609409</v>
      </c>
      <c r="E77" s="19">
        <f>SUM(N77:Q77)</f>
        <v>72851.603168999995</v>
      </c>
      <c r="F77" s="19">
        <f>F76*(1+$B75/100)</f>
        <v>4761.4103874184584</v>
      </c>
      <c r="G77" s="19">
        <f>G76*(1+$B75/100)</f>
        <v>5505.8846258099129</v>
      </c>
      <c r="H77" s="19">
        <f>H76*(1+$B75/100)</f>
        <v>25743.034859199997</v>
      </c>
      <c r="I77" s="19">
        <f>I76</f>
        <v>331.00639810339652</v>
      </c>
      <c r="J77" s="19">
        <f t="shared" ref="J77:Q77" si="70">J76</f>
        <v>1474.805726497528</v>
      </c>
      <c r="K77" s="19">
        <f t="shared" si="70"/>
        <v>4705.0385497220368</v>
      </c>
      <c r="L77" s="19">
        <f t="shared" si="70"/>
        <v>2021.1798724052971</v>
      </c>
      <c r="M77" s="19">
        <f t="shared" si="70"/>
        <v>4087.2733268811517</v>
      </c>
      <c r="N77" s="19">
        <f t="shared" si="70"/>
        <v>14120.701245000002</v>
      </c>
      <c r="O77" s="19">
        <f t="shared" si="70"/>
        <v>17121.210494999996</v>
      </c>
      <c r="P77" s="19">
        <f t="shared" si="70"/>
        <v>4582.979429</v>
      </c>
      <c r="Q77" s="19">
        <f t="shared" si="70"/>
        <v>37026.712</v>
      </c>
    </row>
    <row r="78" spans="1:17" ht="16">
      <c r="A78" s="37" t="s">
        <v>308</v>
      </c>
      <c r="B78" s="21" t="e">
        <f>Data!B151</f>
        <v>#DIV/0!</v>
      </c>
      <c r="C78" s="21">
        <f>Data!C151</f>
        <v>3.3714879173570425</v>
      </c>
      <c r="D78" s="21">
        <f>Data!D151</f>
        <v>2.221047073008017</v>
      </c>
      <c r="E78" s="21" t="e">
        <f>Data!E151</f>
        <v>#DIV/0!</v>
      </c>
      <c r="F78" s="21">
        <f>Data!F151</f>
        <v>3.3</v>
      </c>
      <c r="G78" s="21">
        <f>Data!G151</f>
        <v>3.3</v>
      </c>
      <c r="H78" s="21">
        <f>Data!H151</f>
        <v>3.4</v>
      </c>
      <c r="I78" s="21">
        <f>Data!I151</f>
        <v>3.1</v>
      </c>
      <c r="J78" s="21">
        <f>Data!J151</f>
        <v>2.85</v>
      </c>
      <c r="K78" s="21">
        <f>Data!K151</f>
        <v>2.25</v>
      </c>
      <c r="L78" s="21">
        <f>Data!L151</f>
        <v>2.2000000000000002</v>
      </c>
      <c r="M78" s="21">
        <f>Data!M151</f>
        <v>1.9</v>
      </c>
      <c r="N78" s="21">
        <f>Data!N151</f>
        <v>1.9</v>
      </c>
      <c r="O78" s="21">
        <f>Data!O151</f>
        <v>1.65</v>
      </c>
      <c r="P78" s="21">
        <f>Data!P151</f>
        <v>2.2999999999999998</v>
      </c>
      <c r="Q78" s="21" t="e">
        <f>Data!Q151</f>
        <v>#DIV/0!</v>
      </c>
    </row>
    <row r="79" spans="1:17" ht="16">
      <c r="A79" s="37" t="s">
        <v>312</v>
      </c>
      <c r="B79" s="21"/>
      <c r="C79" s="21"/>
      <c r="D79" s="21"/>
      <c r="E79" s="21"/>
      <c r="F79" s="21">
        <f>IF($B74=1,100*(F76-MIN($F76:$Q76))/(MAX($F76:$Q76)-MIN($F76:$Q76)),IF($B74=2,100*(F77-MIN($F77:$Q77))/(MAX($F77:$Q77)-MIN($F77:$Q77)),IF($B74=3,100*(F78-MIN($F78:$Q78))/(MAX($F78:$Q78)-MIN($F78:$Q78)),"...")))</f>
        <v>5.5856639407415969</v>
      </c>
      <c r="G79" s="21">
        <f t="shared" ref="G79:Q79" si="71">IF($B74=1,100*(G76-MIN($F76:$Q76))/(MAX($F76:$Q76)-MIN($F76:$Q76)),IF($B74=2,100*(G77-MIN($F77:$Q77))/(MAX($F77:$Q77)-MIN($F77:$Q77)),IF($B74=3,100*(G78-MIN($F78:$Q78))/(MAX($F78:$Q78)-MIN($F78:$Q78)),"...")))</f>
        <v>6.6000527175484622</v>
      </c>
      <c r="H79" s="21">
        <f t="shared" si="71"/>
        <v>34.174328646370135</v>
      </c>
      <c r="I79" s="21">
        <f t="shared" si="71"/>
        <v>0</v>
      </c>
      <c r="J79" s="21">
        <f t="shared" si="71"/>
        <v>3.1169841528677802</v>
      </c>
      <c r="K79" s="21">
        <f t="shared" si="71"/>
        <v>11.919738508564256</v>
      </c>
      <c r="L79" s="21">
        <f t="shared" si="71"/>
        <v>4.6059162688904527</v>
      </c>
      <c r="M79" s="21">
        <f t="shared" si="71"/>
        <v>10.236257532498882</v>
      </c>
      <c r="N79" s="21">
        <f t="shared" si="71"/>
        <v>37.57849759450842</v>
      </c>
      <c r="O79" s="21">
        <f t="shared" si="71"/>
        <v>45.75522890620968</v>
      </c>
      <c r="P79" s="21">
        <f t="shared" si="71"/>
        <v>11.587113426909665</v>
      </c>
      <c r="Q79" s="21">
        <f t="shared" si="71"/>
        <v>100</v>
      </c>
    </row>
    <row r="80" spans="1:17" s="3" customFormat="1" ht="15" customHeight="1">
      <c r="A80" s="3" t="s">
        <v>368</v>
      </c>
      <c r="B80" s="19">
        <f>SUM(C80:E80)</f>
        <v>11535.89</v>
      </c>
      <c r="C80" s="19">
        <f>SUM(F80:H80)</f>
        <v>5335.6</v>
      </c>
      <c r="D80" s="19">
        <f>SUM(I80:M80)</f>
        <v>2701.0599999999995</v>
      </c>
      <c r="E80" s="19">
        <f>SUM(N80:Q80)</f>
        <v>3499.23</v>
      </c>
      <c r="F80" s="19">
        <f>Data!F13</f>
        <v>899.2</v>
      </c>
      <c r="G80" s="19">
        <f>Data!G13</f>
        <v>883.8</v>
      </c>
      <c r="H80" s="19">
        <f>Data!H13</f>
        <v>3552.6</v>
      </c>
      <c r="I80" s="19">
        <f>Data!I13</f>
        <v>54.8</v>
      </c>
      <c r="J80" s="19">
        <f>Data!J13</f>
        <v>319</v>
      </c>
      <c r="K80" s="19">
        <f>Data!K13</f>
        <v>1415.04</v>
      </c>
      <c r="L80" s="19">
        <f>Data!L13</f>
        <v>304.98</v>
      </c>
      <c r="M80" s="19">
        <f>Data!M13</f>
        <v>607.24</v>
      </c>
      <c r="N80" s="19">
        <f>Data!N13</f>
        <v>1768.26</v>
      </c>
      <c r="O80" s="19">
        <f>Data!O13</f>
        <v>1166.4000000000001</v>
      </c>
      <c r="P80" s="19">
        <f>Data!P13</f>
        <v>564.57000000000005</v>
      </c>
      <c r="Q80" s="19">
        <f>Data!Q13</f>
        <v>0</v>
      </c>
    </row>
    <row r="81" spans="1:17" s="3" customFormat="1" ht="15" customHeight="1">
      <c r="A81" s="37" t="s">
        <v>263</v>
      </c>
      <c r="B81" s="19"/>
      <c r="C81" s="19"/>
      <c r="D81" s="19"/>
      <c r="E81" s="19"/>
      <c r="F81" s="93">
        <f>Assumptions!$C$95+(Assumptions!$B$95-Assumptions!$C$95)*Liquidity!F$79/100</f>
        <v>1.3964159851853992</v>
      </c>
      <c r="G81" s="93">
        <f>Assumptions!$C$95+(Assumptions!$B$95-Assumptions!$C$95)*Liquidity!G$79/100</f>
        <v>1.6500131793871156</v>
      </c>
      <c r="H81" s="93">
        <f>Assumptions!$C$95+(Assumptions!$B$95-Assumptions!$C$95)*Liquidity!H$79/100</f>
        <v>8.5435821615925338</v>
      </c>
      <c r="I81" s="93">
        <f>Assumptions!$C$95+(Assumptions!$B$95-Assumptions!$C$95)*Liquidity!I$79/100</f>
        <v>0</v>
      </c>
      <c r="J81" s="93">
        <f>Assumptions!$C$95+(Assumptions!$B$95-Assumptions!$C$95)*Liquidity!J$79/100</f>
        <v>0.77924603821694505</v>
      </c>
      <c r="K81" s="93">
        <f>Assumptions!$C$95+(Assumptions!$B$95-Assumptions!$C$95)*Liquidity!K$79/100</f>
        <v>2.9799346271410641</v>
      </c>
      <c r="L81" s="93">
        <f>Assumptions!$C$95+(Assumptions!$B$95-Assumptions!$C$95)*Liquidity!L$79/100</f>
        <v>1.1514790672226132</v>
      </c>
      <c r="M81" s="93">
        <f>Assumptions!$C$95+(Assumptions!$B$95-Assumptions!$C$95)*Liquidity!M$79/100</f>
        <v>2.5590643831247206</v>
      </c>
      <c r="N81" s="93">
        <f>Assumptions!$C$95+(Assumptions!$B$95-Assumptions!$C$95)*Liquidity!N$79/100</f>
        <v>9.394624398627105</v>
      </c>
      <c r="O81" s="93">
        <f>Assumptions!$C$95+(Assumptions!$B$95-Assumptions!$C$95)*Liquidity!O$79/100</f>
        <v>11.43880722655242</v>
      </c>
      <c r="P81" s="93">
        <f>Assumptions!$C$95+(Assumptions!$B$95-Assumptions!$C$95)*Liquidity!P$79/100</f>
        <v>2.8967783567274163</v>
      </c>
      <c r="Q81" s="93">
        <f>Assumptions!$C$95+(Assumptions!$B$95-Assumptions!$C$95)*Liquidity!Q$79/100</f>
        <v>25</v>
      </c>
    </row>
    <row r="82" spans="1:17" s="3" customFormat="1" ht="15" customHeight="1">
      <c r="A82" s="3" t="s">
        <v>367</v>
      </c>
      <c r="B82" s="19">
        <f>SUM(C82:E82)</f>
        <v>18039.11</v>
      </c>
      <c r="C82" s="19">
        <f>SUM(F82:H82)</f>
        <v>2691.4</v>
      </c>
      <c r="D82" s="19">
        <f>SUM(I82:M82)</f>
        <v>2664.94</v>
      </c>
      <c r="E82" s="19">
        <f>SUM(N82:Q82)</f>
        <v>12682.77</v>
      </c>
      <c r="F82" s="19">
        <f>Data!F14</f>
        <v>224.8</v>
      </c>
      <c r="G82" s="19">
        <f>Data!G14</f>
        <v>98.2</v>
      </c>
      <c r="H82" s="19">
        <f>Data!H14</f>
        <v>2368.4</v>
      </c>
      <c r="I82" s="19">
        <f>Data!I14</f>
        <v>82.2</v>
      </c>
      <c r="J82" s="19">
        <f>Data!J14</f>
        <v>319</v>
      </c>
      <c r="K82" s="19">
        <f>Data!K14</f>
        <v>795.96</v>
      </c>
      <c r="L82" s="19">
        <f>Data!L14</f>
        <v>477.02</v>
      </c>
      <c r="M82" s="19">
        <f>Data!M14</f>
        <v>990.76</v>
      </c>
      <c r="N82" s="19">
        <f>Data!N14</f>
        <v>5032.74</v>
      </c>
      <c r="O82" s="19">
        <f>Data!O14</f>
        <v>6123.6</v>
      </c>
      <c r="P82" s="19">
        <f>Data!P14</f>
        <v>1526.43</v>
      </c>
      <c r="Q82" s="19">
        <f>Data!Q14</f>
        <v>0</v>
      </c>
    </row>
    <row r="83" spans="1:17" s="3" customFormat="1" ht="15" customHeight="1">
      <c r="A83" s="37" t="s">
        <v>263</v>
      </c>
      <c r="B83" s="19"/>
      <c r="C83" s="19"/>
      <c r="D83" s="19"/>
      <c r="E83" s="19"/>
      <c r="F83" s="93">
        <f>Assumptions!$C$96+(Assumptions!$B$96-Assumptions!$C$96)*Liquidity!F$79/100</f>
        <v>0.83784959111123958</v>
      </c>
      <c r="G83" s="93">
        <f>Assumptions!$C$96+(Assumptions!$B$96-Assumptions!$C$96)*Liquidity!G$79/100</f>
        <v>0.99000790763226931</v>
      </c>
      <c r="H83" s="93">
        <f>Assumptions!$C$96+(Assumptions!$B$96-Assumptions!$C$96)*Liquidity!H$79/100</f>
        <v>5.1261492969555205</v>
      </c>
      <c r="I83" s="93">
        <f>Assumptions!$C$96+(Assumptions!$B$96-Assumptions!$C$96)*Liquidity!I$79/100</f>
        <v>0</v>
      </c>
      <c r="J83" s="93">
        <f>Assumptions!$C$96+(Assumptions!$B$96-Assumptions!$C$96)*Liquidity!J$79/100</f>
        <v>0.46754762293016705</v>
      </c>
      <c r="K83" s="93">
        <f>Assumptions!$C$96+(Assumptions!$B$96-Assumptions!$C$96)*Liquidity!K$79/100</f>
        <v>1.7879607762846386</v>
      </c>
      <c r="L83" s="93">
        <f>Assumptions!$C$96+(Assumptions!$B$96-Assumptions!$C$96)*Liquidity!L$79/100</f>
        <v>0.69088744033356786</v>
      </c>
      <c r="M83" s="93">
        <f>Assumptions!$C$96+(Assumptions!$B$96-Assumptions!$C$96)*Liquidity!M$79/100</f>
        <v>1.5354386298748324</v>
      </c>
      <c r="N83" s="93">
        <f>Assumptions!$C$96+(Assumptions!$B$96-Assumptions!$C$96)*Liquidity!N$79/100</f>
        <v>5.636774639176263</v>
      </c>
      <c r="O83" s="93">
        <f>Assumptions!$C$96+(Assumptions!$B$96-Assumptions!$C$96)*Liquidity!O$79/100</f>
        <v>6.8632843359314517</v>
      </c>
      <c r="P83" s="93">
        <f>Assumptions!$C$96+(Assumptions!$B$96-Assumptions!$C$96)*Liquidity!P$79/100</f>
        <v>1.7380670140364498</v>
      </c>
      <c r="Q83" s="93">
        <f>Assumptions!$C$96+(Assumptions!$B$96-Assumptions!$C$96)*Liquidity!Q$79/100</f>
        <v>15</v>
      </c>
    </row>
    <row r="84" spans="1:17" ht="16">
      <c r="A84" s="3" t="s">
        <v>369</v>
      </c>
      <c r="B84" s="19">
        <f>SUM(C84:E84)</f>
        <v>26797.966298606858</v>
      </c>
      <c r="C84" s="19">
        <f>SUM(F84:H84)</f>
        <v>6670.3004623917823</v>
      </c>
      <c r="D84" s="19">
        <f>SUM(I84:M84)</f>
        <v>2778.0755368716195</v>
      </c>
      <c r="E84" s="19">
        <f>SUM(N84:Q84)</f>
        <v>17349.590299343454</v>
      </c>
      <c r="F84" s="19">
        <f>Data!F16</f>
        <v>952.004321390516</v>
      </c>
      <c r="G84" s="19">
        <f>Data!G16</f>
        <v>1500.7414554336349</v>
      </c>
      <c r="H84" s="19">
        <f>Data!H16</f>
        <v>4217.5546855676312</v>
      </c>
      <c r="I84" s="19">
        <f>Data!I16</f>
        <v>65.825921340320718</v>
      </c>
      <c r="J84" s="19">
        <f>Data!J16</f>
        <v>425.52119863062836</v>
      </c>
      <c r="K84" s="19">
        <f>Data!K16</f>
        <v>1200.0117194724437</v>
      </c>
      <c r="L84" s="19">
        <f>Data!L16</f>
        <v>461.38348221850441</v>
      </c>
      <c r="M84" s="19">
        <f>Data!M16</f>
        <v>625.33321520972231</v>
      </c>
      <c r="N84" s="19">
        <f>Data!N16</f>
        <v>1527.2988628067699</v>
      </c>
      <c r="O84" s="19">
        <f>Data!O16</f>
        <v>1704.4801650191764</v>
      </c>
      <c r="P84" s="19">
        <f>Data!P16</f>
        <v>684.71043825519359</v>
      </c>
      <c r="Q84" s="19">
        <f>Data!Q16</f>
        <v>13433.100833262313</v>
      </c>
    </row>
    <row r="85" spans="1:17" ht="16">
      <c r="A85" s="37" t="s">
        <v>263</v>
      </c>
      <c r="F85" s="93">
        <f>Assumptions!$C$97+(Assumptions!$B$97-Assumptions!$C$97)*Liquidity!F$79/100</f>
        <v>0.55856639407415964</v>
      </c>
      <c r="G85" s="93">
        <f>Assumptions!$C$97+(Assumptions!$B$97-Assumptions!$C$97)*Liquidity!G$79/100</f>
        <v>0.66000527175484625</v>
      </c>
      <c r="H85" s="93">
        <f>Assumptions!$C$97+(Assumptions!$B$97-Assumptions!$C$97)*Liquidity!H$79/100</f>
        <v>3.4174328646370133</v>
      </c>
      <c r="I85" s="93">
        <f>Assumptions!$C$97+(Assumptions!$B$97-Assumptions!$C$97)*Liquidity!I$79/100</f>
        <v>0</v>
      </c>
      <c r="J85" s="93">
        <f>Assumptions!$C$97+(Assumptions!$B$97-Assumptions!$C$97)*Liquidity!J$79/100</f>
        <v>0.311698415286778</v>
      </c>
      <c r="K85" s="93">
        <f>Assumptions!$C$97+(Assumptions!$B$97-Assumptions!$C$97)*Liquidity!K$79/100</f>
        <v>1.1919738508564257</v>
      </c>
      <c r="L85" s="93">
        <f>Assumptions!$C$97+(Assumptions!$B$97-Assumptions!$C$97)*Liquidity!L$79/100</f>
        <v>0.46059162688904531</v>
      </c>
      <c r="M85" s="93">
        <f>Assumptions!$C$97+(Assumptions!$B$97-Assumptions!$C$97)*Liquidity!M$79/100</f>
        <v>1.0236257532498882</v>
      </c>
      <c r="N85" s="93">
        <f>Assumptions!$C$97+(Assumptions!$B$97-Assumptions!$C$97)*Liquidity!N$79/100</f>
        <v>3.7578497594508415</v>
      </c>
      <c r="O85" s="93">
        <f>Assumptions!$C$97+(Assumptions!$B$97-Assumptions!$C$97)*Liquidity!O$79/100</f>
        <v>4.5755228906209684</v>
      </c>
      <c r="P85" s="93">
        <f>Assumptions!$C$97+(Assumptions!$B$97-Assumptions!$C$97)*Liquidity!P$79/100</f>
        <v>1.1587113426909665</v>
      </c>
      <c r="Q85" s="93">
        <f>Assumptions!$C$97+(Assumptions!$B$97-Assumptions!$C$97)*Liquidity!Q$79/100</f>
        <v>10</v>
      </c>
    </row>
    <row r="86" spans="1:17" s="3" customFormat="1" ht="15" customHeight="1">
      <c r="A86" s="3" t="s">
        <v>370</v>
      </c>
      <c r="B86" s="19">
        <f>SUM(C86:E86)</f>
        <v>39281.673619953763</v>
      </c>
      <c r="C86" s="19">
        <f>SUM(F86:H86)</f>
        <v>2800.330728371192</v>
      </c>
      <c r="D86" s="19">
        <f>SUM(I86:M86)</f>
        <v>3258.2241724988071</v>
      </c>
      <c r="E86" s="19">
        <f>SUM(N86:Q86)</f>
        <v>33223.118719083766</v>
      </c>
      <c r="F86" s="19">
        <f>Data!F17</f>
        <v>223.30965563481232</v>
      </c>
      <c r="G86" s="19">
        <f>Data!G17</f>
        <v>204.64656210458656</v>
      </c>
      <c r="H86" s="19">
        <f>Data!H17</f>
        <v>2372.3745106317929</v>
      </c>
      <c r="I86" s="19">
        <f>Data!I17</f>
        <v>90.90246280330004</v>
      </c>
      <c r="J86" s="19">
        <f>Data!J17</f>
        <v>408.83409280197628</v>
      </c>
      <c r="K86" s="19">
        <f>Data!K17</f>
        <v>767.22060753156234</v>
      </c>
      <c r="L86" s="19">
        <f>Data!L17</f>
        <v>721.65108757253256</v>
      </c>
      <c r="M86" s="19">
        <f>Data!M17</f>
        <v>1269.615921789436</v>
      </c>
      <c r="N86" s="19">
        <f>Data!N17</f>
        <v>4129.3635920331189</v>
      </c>
      <c r="O86" s="19">
        <f>Data!O17</f>
        <v>6412.0920493578542</v>
      </c>
      <c r="P86" s="19">
        <f>Data!P17</f>
        <v>1524.0329109551083</v>
      </c>
      <c r="Q86" s="19">
        <f>Data!Q17</f>
        <v>21157.630166737687</v>
      </c>
    </row>
    <row r="87" spans="1:17" s="3" customFormat="1" ht="15" customHeight="1">
      <c r="A87" s="37" t="s">
        <v>263</v>
      </c>
      <c r="B87" s="19"/>
      <c r="C87" s="19"/>
      <c r="D87" s="19"/>
      <c r="E87" s="19"/>
      <c r="F87" s="93">
        <f>Assumptions!$C$98+(Assumptions!$B$98-Assumptions!$C$98)*Liquidity!F$79/100</f>
        <v>0.27928319703707982</v>
      </c>
      <c r="G87" s="93">
        <f>Assumptions!$C$98+(Assumptions!$B$98-Assumptions!$C$98)*Liquidity!G$79/100</f>
        <v>0.33000263587742312</v>
      </c>
      <c r="H87" s="93">
        <f>Assumptions!$C$98+(Assumptions!$B$98-Assumptions!$C$98)*Liquidity!H$79/100</f>
        <v>1.7087164323185067</v>
      </c>
      <c r="I87" s="93">
        <f>Assumptions!$C$98+(Assumptions!$B$98-Assumptions!$C$98)*Liquidity!I$79/100</f>
        <v>0</v>
      </c>
      <c r="J87" s="93">
        <f>Assumptions!$C$98+(Assumptions!$B$98-Assumptions!$C$98)*Liquidity!J$79/100</f>
        <v>0.155849207643389</v>
      </c>
      <c r="K87" s="93">
        <f>Assumptions!$C$98+(Assumptions!$B$98-Assumptions!$C$98)*Liquidity!K$79/100</f>
        <v>0.59598692542821285</v>
      </c>
      <c r="L87" s="93">
        <f>Assumptions!$C$98+(Assumptions!$B$98-Assumptions!$C$98)*Liquidity!L$79/100</f>
        <v>0.23029581344452266</v>
      </c>
      <c r="M87" s="93">
        <f>Assumptions!$C$98+(Assumptions!$B$98-Assumptions!$C$98)*Liquidity!M$79/100</f>
        <v>0.51181287662494412</v>
      </c>
      <c r="N87" s="93">
        <f>Assumptions!$C$98+(Assumptions!$B$98-Assumptions!$C$98)*Liquidity!N$79/100</f>
        <v>1.8789248797254208</v>
      </c>
      <c r="O87" s="93">
        <f>Assumptions!$C$98+(Assumptions!$B$98-Assumptions!$C$98)*Liquidity!O$79/100</f>
        <v>2.2877614453104842</v>
      </c>
      <c r="P87" s="93">
        <f>Assumptions!$C$98+(Assumptions!$B$98-Assumptions!$C$98)*Liquidity!P$79/100</f>
        <v>0.57935567134548327</v>
      </c>
      <c r="Q87" s="93">
        <f>Assumptions!$C$98+(Assumptions!$B$98-Assumptions!$C$98)*Liquidity!Q$79/100</f>
        <v>5</v>
      </c>
    </row>
    <row r="88" spans="1:17" ht="16">
      <c r="A88" s="3" t="s">
        <v>398</v>
      </c>
      <c r="B88" s="19">
        <f>SUM(C88:E88)</f>
        <v>20869.582000000002</v>
      </c>
      <c r="C88" s="19">
        <f>SUM(F88:H88)</f>
        <v>1983</v>
      </c>
      <c r="D88" s="19">
        <f>SUM(I88:M88)</f>
        <v>2054</v>
      </c>
      <c r="E88" s="19">
        <f>SUM(N88:Q88)</f>
        <v>16832.582000000002</v>
      </c>
      <c r="F88" s="19">
        <f>Data!F87</f>
        <v>381</v>
      </c>
      <c r="G88" s="19">
        <f>Data!G87</f>
        <v>263</v>
      </c>
      <c r="H88" s="19">
        <f>Data!H87</f>
        <v>1339</v>
      </c>
      <c r="I88" s="19">
        <f>Data!I87</f>
        <v>26</v>
      </c>
      <c r="J88" s="19">
        <f>Data!J87</f>
        <v>262</v>
      </c>
      <c r="K88" s="19">
        <f>Data!K87</f>
        <v>797</v>
      </c>
      <c r="L88" s="19">
        <f>Data!L87</f>
        <v>328</v>
      </c>
      <c r="M88" s="19">
        <f>Data!M87</f>
        <v>641</v>
      </c>
      <c r="N88" s="19">
        <f>Data!N87</f>
        <v>2992</v>
      </c>
      <c r="O88" s="19">
        <f>Data!O87</f>
        <v>1230</v>
      </c>
      <c r="P88" s="19">
        <f>Data!P87</f>
        <v>1371</v>
      </c>
      <c r="Q88" s="19">
        <f>Data!Q87</f>
        <v>11239.582</v>
      </c>
    </row>
    <row r="89" spans="1:17" ht="16">
      <c r="A89" s="37" t="s">
        <v>295</v>
      </c>
      <c r="B89" s="19"/>
      <c r="C89" s="19"/>
      <c r="D89" s="19"/>
      <c r="E89" s="19"/>
      <c r="F89" s="81">
        <f>Assumptions!B104</f>
        <v>100</v>
      </c>
      <c r="G89" s="19"/>
      <c r="H89" s="19"/>
      <c r="I89" s="19"/>
      <c r="J89" s="19"/>
      <c r="K89" s="19"/>
      <c r="L89" s="19"/>
      <c r="M89" s="19"/>
      <c r="N89" s="19"/>
      <c r="O89" s="19"/>
      <c r="P89" s="19"/>
      <c r="Q89" s="19"/>
    </row>
    <row r="90" spans="1:17" ht="16">
      <c r="A90" s="3" t="s">
        <v>399</v>
      </c>
      <c r="B90" s="19">
        <f>SUM(C90:E90)</f>
        <v>5020.6470000000008</v>
      </c>
      <c r="C90" s="19">
        <f>SUM(F90:H90)</f>
        <v>1415</v>
      </c>
      <c r="D90" s="19">
        <f>SUM(I90:M90)</f>
        <v>1033</v>
      </c>
      <c r="E90" s="19">
        <f>SUM(N90:Q90)</f>
        <v>2572.6470000000008</v>
      </c>
      <c r="F90" s="19">
        <f>F88-$F$89*Data!F7/100</f>
        <v>250</v>
      </c>
      <c r="G90" s="19">
        <f>G88-$F$89*Data!G7/100</f>
        <v>178</v>
      </c>
      <c r="H90" s="19">
        <f>H88-$F$89*Data!H7/100</f>
        <v>987</v>
      </c>
      <c r="I90" s="19">
        <f>I88-$F$89*Data!I7/100</f>
        <v>10</v>
      </c>
      <c r="J90" s="19">
        <f>J88-$F$89*Data!J7/100</f>
        <v>150</v>
      </c>
      <c r="K90" s="19">
        <f>K88-$F$89*Data!K7/100</f>
        <v>390</v>
      </c>
      <c r="L90" s="19">
        <f>L88-$F$89*Data!L7/100</f>
        <v>185</v>
      </c>
      <c r="M90" s="19">
        <f>M88-$F$89*Data!M7/100</f>
        <v>298</v>
      </c>
      <c r="N90" s="19">
        <f>N88-$F$89*Data!N7/100</f>
        <v>1100</v>
      </c>
      <c r="O90" s="19">
        <f>O88-$F$89*Data!O7/100</f>
        <v>450</v>
      </c>
      <c r="P90" s="19">
        <f>P88-$F$89*Data!P7/100</f>
        <v>450</v>
      </c>
      <c r="Q90" s="19">
        <f>Q88-$F$89*Data!Q7/100</f>
        <v>572.64700000000084</v>
      </c>
    </row>
    <row r="91" spans="1:17" ht="16">
      <c r="A91" s="37" t="s">
        <v>289</v>
      </c>
      <c r="B91" s="19"/>
      <c r="C91" s="19"/>
      <c r="D91" s="19"/>
      <c r="E91" s="19"/>
      <c r="F91" s="93">
        <f>Assumptions!B100</f>
        <v>95</v>
      </c>
      <c r="G91" s="93">
        <f>Assumptions!C100</f>
        <v>95</v>
      </c>
      <c r="H91" s="93">
        <f>Assumptions!D100</f>
        <v>95</v>
      </c>
      <c r="I91" s="93">
        <f>Assumptions!E100</f>
        <v>95</v>
      </c>
      <c r="J91" s="93">
        <f>Assumptions!F100</f>
        <v>95</v>
      </c>
      <c r="K91" s="93">
        <f>Assumptions!G100</f>
        <v>95</v>
      </c>
      <c r="L91" s="93">
        <f>Assumptions!H100</f>
        <v>95</v>
      </c>
      <c r="M91" s="93">
        <f>Assumptions!I100</f>
        <v>95</v>
      </c>
      <c r="N91" s="93">
        <f>Assumptions!J100</f>
        <v>95</v>
      </c>
      <c r="O91" s="93">
        <f>Assumptions!K100</f>
        <v>95</v>
      </c>
      <c r="P91" s="93">
        <f>Assumptions!L100</f>
        <v>95</v>
      </c>
      <c r="Q91" s="93">
        <f>Assumptions!M100</f>
        <v>95</v>
      </c>
    </row>
    <row r="92" spans="1:17" ht="16">
      <c r="A92" s="3" t="s">
        <v>288</v>
      </c>
      <c r="B92" s="19">
        <f>SUM(C92:E92)</f>
        <v>82606.489978823578</v>
      </c>
      <c r="C92" s="19">
        <f>SUM(F92:H92)</f>
        <v>16022.164936214183</v>
      </c>
      <c r="D92" s="19">
        <f>SUM(I92:M92)</f>
        <v>10565.303873609409</v>
      </c>
      <c r="E92" s="19">
        <f>SUM(N92:Q92)</f>
        <v>56019.021168999992</v>
      </c>
      <c r="F92" s="19">
        <f>Data!F5-Data!F87</f>
        <v>1999.7051937092292</v>
      </c>
      <c r="G92" s="19">
        <f>Data!G5-Data!G87</f>
        <v>2489.9423129049565</v>
      </c>
      <c r="H92" s="19">
        <f>Data!H5-Data!H87</f>
        <v>11532.517429599999</v>
      </c>
      <c r="I92" s="19">
        <f>Data!I5-Data!I87</f>
        <v>305.00639810339652</v>
      </c>
      <c r="J92" s="19">
        <f>Data!J5-Data!J87</f>
        <v>1212.805726497528</v>
      </c>
      <c r="K92" s="19">
        <f>Data!K5-Data!K87</f>
        <v>3908.0385497220368</v>
      </c>
      <c r="L92" s="19">
        <f>Data!L5-Data!L87</f>
        <v>1693.1798724052971</v>
      </c>
      <c r="M92" s="19">
        <f>Data!M5-Data!M87</f>
        <v>3446.2733268811517</v>
      </c>
      <c r="N92" s="19">
        <f>Data!N5-Data!N87</f>
        <v>11128.701245000002</v>
      </c>
      <c r="O92" s="19">
        <f>Data!O5-Data!O87</f>
        <v>15891.210494999996</v>
      </c>
      <c r="P92" s="19">
        <f>Data!P5-Data!P87</f>
        <v>3211.979429</v>
      </c>
      <c r="Q92" s="19">
        <f>Data!Q5-Data!Q87</f>
        <v>25787.129999999997</v>
      </c>
    </row>
    <row r="93" spans="1:17" ht="16">
      <c r="A93" s="37" t="s">
        <v>289</v>
      </c>
      <c r="B93" s="19"/>
      <c r="C93" s="19"/>
      <c r="D93" s="19"/>
      <c r="E93" s="19"/>
      <c r="F93" s="93">
        <f>Assumptions!B101</f>
        <v>1</v>
      </c>
      <c r="G93" s="93">
        <f>Assumptions!C101</f>
        <v>1</v>
      </c>
      <c r="H93" s="93">
        <f>Assumptions!D101</f>
        <v>1</v>
      </c>
      <c r="I93" s="93">
        <f>Assumptions!E101</f>
        <v>1</v>
      </c>
      <c r="J93" s="93">
        <f>Assumptions!F101</f>
        <v>1</v>
      </c>
      <c r="K93" s="93">
        <f>Assumptions!G101</f>
        <v>1</v>
      </c>
      <c r="L93" s="93">
        <f>Assumptions!H101</f>
        <v>1</v>
      </c>
      <c r="M93" s="93">
        <f>Assumptions!I101</f>
        <v>1</v>
      </c>
      <c r="N93" s="93">
        <f>Assumptions!J101</f>
        <v>1</v>
      </c>
      <c r="O93" s="93">
        <f>Assumptions!K101</f>
        <v>1</v>
      </c>
      <c r="P93" s="93">
        <f>Assumptions!L101</f>
        <v>1</v>
      </c>
      <c r="Q93" s="93">
        <f>Assumptions!M101</f>
        <v>1</v>
      </c>
    </row>
    <row r="94" spans="1:17" ht="16">
      <c r="A94" s="3" t="s">
        <v>292</v>
      </c>
      <c r="B94" s="19"/>
      <c r="C94" s="19"/>
      <c r="D94" s="19"/>
      <c r="E94" s="19"/>
      <c r="F94" s="19"/>
      <c r="G94" s="19"/>
      <c r="H94" s="19"/>
      <c r="I94" s="19"/>
      <c r="J94" s="19"/>
      <c r="K94" s="19"/>
      <c r="L94" s="19"/>
      <c r="M94" s="19"/>
      <c r="N94" s="19"/>
      <c r="O94" s="19"/>
      <c r="P94" s="19"/>
      <c r="Q94" s="19"/>
    </row>
    <row r="95" spans="1:17" ht="16">
      <c r="A95" s="83">
        <v>1</v>
      </c>
      <c r="B95" s="19"/>
      <c r="C95" s="19"/>
      <c r="D95" s="19"/>
      <c r="E95" s="19"/>
      <c r="F95" s="19"/>
      <c r="G95" s="19"/>
      <c r="H95" s="19"/>
      <c r="I95" s="19"/>
      <c r="J95" s="19"/>
      <c r="K95" s="19"/>
      <c r="L95" s="19"/>
      <c r="M95" s="19"/>
      <c r="N95" s="19"/>
      <c r="O95" s="19"/>
      <c r="P95" s="19"/>
      <c r="Q95" s="19"/>
    </row>
    <row r="96" spans="1:17" ht="16">
      <c r="A96" s="37" t="s">
        <v>373</v>
      </c>
      <c r="B96" s="19">
        <f>SUM(C96:E96)</f>
        <v>10825.628831429694</v>
      </c>
      <c r="C96" s="19">
        <f>SUM(F96:H96)</f>
        <v>5004.9413111090535</v>
      </c>
      <c r="D96" s="19">
        <f>SUM(I96:M96)</f>
        <v>2637.355494770889</v>
      </c>
      <c r="E96" s="19">
        <f>SUM(N96:Q96)</f>
        <v>3183.3320255497529</v>
      </c>
      <c r="F96" s="19">
        <f>F80-F80*F81/100</f>
        <v>886.64342746121292</v>
      </c>
      <c r="G96" s="19">
        <f t="shared" ref="G96:Q96" si="72">G80-G80*G81/100</f>
        <v>869.21718352057667</v>
      </c>
      <c r="H96" s="19">
        <f t="shared" si="72"/>
        <v>3249.0807001272638</v>
      </c>
      <c r="I96" s="19">
        <f t="shared" si="72"/>
        <v>54.8</v>
      </c>
      <c r="J96" s="19">
        <f t="shared" si="72"/>
        <v>316.51420513808796</v>
      </c>
      <c r="K96" s="19">
        <f t="shared" si="72"/>
        <v>1372.8727330521031</v>
      </c>
      <c r="L96" s="19">
        <f t="shared" si="72"/>
        <v>301.46821914078447</v>
      </c>
      <c r="M96" s="19">
        <f t="shared" si="72"/>
        <v>591.70033743991348</v>
      </c>
      <c r="N96" s="19">
        <f t="shared" si="72"/>
        <v>1602.1386146088364</v>
      </c>
      <c r="O96" s="19">
        <f t="shared" si="72"/>
        <v>1032.9777525094926</v>
      </c>
      <c r="P96" s="19">
        <f t="shared" si="72"/>
        <v>548.21565843142412</v>
      </c>
      <c r="Q96" s="19">
        <f t="shared" si="72"/>
        <v>0</v>
      </c>
    </row>
    <row r="97" spans="1:17" ht="16">
      <c r="A97" s="37" t="s">
        <v>374</v>
      </c>
      <c r="B97" s="19">
        <f>SUM(C97:E97)</f>
        <v>17150.120825962371</v>
      </c>
      <c r="C97" s="19">
        <f>SUM(F97:H97)</f>
        <v>2567.1366064047929</v>
      </c>
      <c r="D97" s="19">
        <f>SUM(I97:M97)</f>
        <v>2630.7088874507103</v>
      </c>
      <c r="E97" s="19">
        <f>SUM(N97:Q97)</f>
        <v>11952.275332106867</v>
      </c>
      <c r="F97" s="19">
        <f>F82-F82*F83/100</f>
        <v>222.91651411918195</v>
      </c>
      <c r="G97" s="19">
        <f t="shared" ref="G97:Q97" si="73">G82-G82*G83/100</f>
        <v>97.227812234705112</v>
      </c>
      <c r="H97" s="19">
        <f t="shared" si="73"/>
        <v>2246.9922800509057</v>
      </c>
      <c r="I97" s="19">
        <f t="shared" si="73"/>
        <v>82.2</v>
      </c>
      <c r="J97" s="19">
        <f t="shared" si="73"/>
        <v>317.50852308285278</v>
      </c>
      <c r="K97" s="19">
        <f t="shared" si="73"/>
        <v>781.72854740508478</v>
      </c>
      <c r="L97" s="19">
        <f t="shared" si="73"/>
        <v>473.7243287321208</v>
      </c>
      <c r="M97" s="19">
        <f t="shared" si="73"/>
        <v>975.54748823065211</v>
      </c>
      <c r="N97" s="19">
        <f t="shared" si="73"/>
        <v>4749.0557880243205</v>
      </c>
      <c r="O97" s="19">
        <f t="shared" si="73"/>
        <v>5703.3199204049015</v>
      </c>
      <c r="P97" s="19">
        <f t="shared" si="73"/>
        <v>1499.8996236776434</v>
      </c>
      <c r="Q97" s="19">
        <f t="shared" si="73"/>
        <v>0</v>
      </c>
    </row>
    <row r="98" spans="1:17" ht="16">
      <c r="A98" s="37" t="s">
        <v>375</v>
      </c>
      <c r="B98" s="19">
        <f>SUM(C98:E98)</f>
        <v>25127.828937912396</v>
      </c>
      <c r="C98" s="19">
        <f>SUM(F98:H98)</f>
        <v>6510.9458135524619</v>
      </c>
      <c r="D98" s="19">
        <f>SUM(I98:M98)</f>
        <v>2753.9192026139945</v>
      </c>
      <c r="E98" s="19">
        <f>SUM(N98:Q98)</f>
        <v>15862.963921745943</v>
      </c>
      <c r="F98" s="19">
        <f>F84-F84*F85/100</f>
        <v>946.68674518109481</v>
      </c>
      <c r="G98" s="19">
        <f t="shared" ref="G98:Q98" si="74">G84-G84*G85/100</f>
        <v>1490.8364827123626</v>
      </c>
      <c r="H98" s="19">
        <f t="shared" si="74"/>
        <v>4073.4225856590047</v>
      </c>
      <c r="I98" s="19">
        <f t="shared" si="74"/>
        <v>65.825921340320718</v>
      </c>
      <c r="J98" s="19">
        <f t="shared" si="74"/>
        <v>424.1948557977874</v>
      </c>
      <c r="K98" s="19">
        <f t="shared" si="74"/>
        <v>1185.7078935691195</v>
      </c>
      <c r="L98" s="19">
        <f t="shared" si="74"/>
        <v>459.25838853155688</v>
      </c>
      <c r="M98" s="19">
        <f t="shared" si="74"/>
        <v>618.9321433752101</v>
      </c>
      <c r="N98" s="19">
        <f t="shared" si="74"/>
        <v>1469.9052661646901</v>
      </c>
      <c r="O98" s="19">
        <f t="shared" si="74"/>
        <v>1626.49128490263</v>
      </c>
      <c r="P98" s="19">
        <f t="shared" si="74"/>
        <v>676.7766207425417</v>
      </c>
      <c r="Q98" s="19">
        <f t="shared" si="74"/>
        <v>12089.790749936081</v>
      </c>
    </row>
    <row r="99" spans="1:17" ht="16">
      <c r="A99" s="37" t="s">
        <v>376</v>
      </c>
      <c r="B99" s="19">
        <f>SUM(C99:E99)</f>
        <v>37935.475683153963</v>
      </c>
      <c r="C99" s="19">
        <f>SUM(F99:H99)</f>
        <v>2758.4945698771635</v>
      </c>
      <c r="D99" s="19">
        <f>SUM(I99:M99)</f>
        <v>3244.8544832807652</v>
      </c>
      <c r="E99" s="19">
        <f>SUM(N99:Q99)</f>
        <v>31932.126629996033</v>
      </c>
      <c r="F99" s="19">
        <f>F86-F86*F87/100</f>
        <v>222.68598928926292</v>
      </c>
      <c r="G99" s="19">
        <f t="shared" ref="G99:Q99" si="75">G86-G86*G87/100</f>
        <v>203.9712230554089</v>
      </c>
      <c r="H99" s="19">
        <f t="shared" si="75"/>
        <v>2331.8373575324918</v>
      </c>
      <c r="I99" s="19">
        <f t="shared" si="75"/>
        <v>90.90246280330004</v>
      </c>
      <c r="J99" s="19">
        <f t="shared" si="75"/>
        <v>408.19692810776837</v>
      </c>
      <c r="K99" s="19">
        <f t="shared" si="75"/>
        <v>762.64807302148336</v>
      </c>
      <c r="L99" s="19">
        <f t="shared" si="75"/>
        <v>719.98915533017612</v>
      </c>
      <c r="M99" s="19">
        <f t="shared" si="75"/>
        <v>1263.1178640180372</v>
      </c>
      <c r="N99" s="19">
        <f t="shared" si="75"/>
        <v>4051.7759521280855</v>
      </c>
      <c r="O99" s="19">
        <f t="shared" si="75"/>
        <v>6265.3986796148265</v>
      </c>
      <c r="P99" s="19">
        <f t="shared" si="75"/>
        <v>1515.2033398523181</v>
      </c>
      <c r="Q99" s="19">
        <f t="shared" si="75"/>
        <v>20099.748658400804</v>
      </c>
    </row>
    <row r="100" spans="1:17" ht="16">
      <c r="A100" s="37" t="s">
        <v>624</v>
      </c>
      <c r="B100" s="19">
        <f t="shared" ref="B100:B105" si="76">SUM(C100:E100)</f>
        <v>4615.5856401022029</v>
      </c>
      <c r="C100" s="19">
        <f t="shared" ref="C100:C105" si="77">SUM(F100:H100)</f>
        <v>656.11288981950338</v>
      </c>
      <c r="D100" s="19">
        <f t="shared" ref="D100:D105" si="78">SUM(I100:M100)</f>
        <v>135.46164125406835</v>
      </c>
      <c r="E100" s="19">
        <f t="shared" ref="E100:E105" si="79">SUM(N100:Q100)</f>
        <v>3824.0111090286309</v>
      </c>
      <c r="F100" s="19">
        <f>SUM(F80,F82,F84,F86)-SUM(F96:F99)</f>
        <v>20.381300974575424</v>
      </c>
      <c r="G100" s="19">
        <f t="shared" ref="G100:Q100" si="80">SUM(G80,G82,G84,G86)-SUM(G96:G99)</f>
        <v>26.135316015167973</v>
      </c>
      <c r="H100" s="19">
        <f t="shared" si="80"/>
        <v>609.59627282975998</v>
      </c>
      <c r="I100" s="19">
        <f t="shared" si="80"/>
        <v>0</v>
      </c>
      <c r="J100" s="19">
        <f t="shared" si="80"/>
        <v>5.9407793061081975</v>
      </c>
      <c r="K100" s="19">
        <f t="shared" si="80"/>
        <v>75.27507995621545</v>
      </c>
      <c r="L100" s="19">
        <f t="shared" si="80"/>
        <v>10.594478056398884</v>
      </c>
      <c r="M100" s="19">
        <f t="shared" si="80"/>
        <v>43.651303935345823</v>
      </c>
      <c r="N100" s="19">
        <f t="shared" si="80"/>
        <v>584.78683391395862</v>
      </c>
      <c r="O100" s="19">
        <f t="shared" si="80"/>
        <v>778.38457694518183</v>
      </c>
      <c r="P100" s="19">
        <f t="shared" si="80"/>
        <v>59.64810650637537</v>
      </c>
      <c r="Q100" s="19">
        <f t="shared" si="80"/>
        <v>2401.1915916631151</v>
      </c>
    </row>
    <row r="101" spans="1:17" ht="16">
      <c r="A101" s="37" t="s">
        <v>625</v>
      </c>
      <c r="B101" s="19">
        <f t="shared" si="76"/>
        <v>251.03234999999998</v>
      </c>
      <c r="C101" s="19">
        <f t="shared" si="77"/>
        <v>70.750000000000028</v>
      </c>
      <c r="D101" s="19">
        <f t="shared" si="78"/>
        <v>51.649999999999977</v>
      </c>
      <c r="E101" s="19">
        <f t="shared" si="79"/>
        <v>128.63234999999997</v>
      </c>
      <c r="F101" s="19">
        <f>F90-F90*F91/100</f>
        <v>12.5</v>
      </c>
      <c r="G101" s="19">
        <f t="shared" ref="G101:Q101" si="81">G90-G90*G91/100</f>
        <v>8.9000000000000057</v>
      </c>
      <c r="H101" s="19">
        <f t="shared" si="81"/>
        <v>49.350000000000023</v>
      </c>
      <c r="I101" s="19">
        <f t="shared" si="81"/>
        <v>0.5</v>
      </c>
      <c r="J101" s="19">
        <f t="shared" si="81"/>
        <v>7.5</v>
      </c>
      <c r="K101" s="19">
        <f t="shared" si="81"/>
        <v>19.5</v>
      </c>
      <c r="L101" s="19">
        <f t="shared" si="81"/>
        <v>9.25</v>
      </c>
      <c r="M101" s="19">
        <f t="shared" si="81"/>
        <v>14.899999999999977</v>
      </c>
      <c r="N101" s="19">
        <f t="shared" si="81"/>
        <v>55</v>
      </c>
      <c r="O101" s="19">
        <f t="shared" si="81"/>
        <v>22.5</v>
      </c>
      <c r="P101" s="19">
        <f t="shared" si="81"/>
        <v>22.5</v>
      </c>
      <c r="Q101" s="19">
        <f t="shared" si="81"/>
        <v>28.632349999999974</v>
      </c>
    </row>
    <row r="102" spans="1:17" ht="16">
      <c r="A102" s="37" t="s">
        <v>626</v>
      </c>
      <c r="B102" s="19">
        <f t="shared" si="76"/>
        <v>81780.425079035354</v>
      </c>
      <c r="C102" s="19">
        <f t="shared" si="77"/>
        <v>15861.943286852042</v>
      </c>
      <c r="D102" s="19">
        <f t="shared" si="78"/>
        <v>10459.650834873315</v>
      </c>
      <c r="E102" s="19">
        <f t="shared" si="79"/>
        <v>55458.830957309998</v>
      </c>
      <c r="F102" s="19">
        <f>F92-F92*F93/100</f>
        <v>1979.708141772137</v>
      </c>
      <c r="G102" s="19">
        <f t="shared" ref="G102:Q102" si="82">G92-G92*G93/100</f>
        <v>2465.042889775907</v>
      </c>
      <c r="H102" s="19">
        <f t="shared" si="82"/>
        <v>11417.192255303999</v>
      </c>
      <c r="I102" s="19">
        <f t="shared" si="82"/>
        <v>301.95633412236253</v>
      </c>
      <c r="J102" s="19">
        <f t="shared" si="82"/>
        <v>1200.6776692325527</v>
      </c>
      <c r="K102" s="19">
        <f t="shared" si="82"/>
        <v>3868.9581642248163</v>
      </c>
      <c r="L102" s="19">
        <f t="shared" si="82"/>
        <v>1676.2480736812443</v>
      </c>
      <c r="M102" s="19">
        <f t="shared" si="82"/>
        <v>3411.8105936123402</v>
      </c>
      <c r="N102" s="19">
        <f t="shared" si="82"/>
        <v>11017.414232550002</v>
      </c>
      <c r="O102" s="19">
        <f t="shared" si="82"/>
        <v>15732.298390049997</v>
      </c>
      <c r="P102" s="19">
        <f t="shared" si="82"/>
        <v>3179.8596347100001</v>
      </c>
      <c r="Q102" s="19">
        <f t="shared" si="82"/>
        <v>25529.258699999998</v>
      </c>
    </row>
    <row r="103" spans="1:17" ht="16">
      <c r="A103" s="37" t="s">
        <v>627</v>
      </c>
      <c r="B103" s="19">
        <f t="shared" si="76"/>
        <v>21444.614549788235</v>
      </c>
      <c r="C103" s="19">
        <f t="shared" si="77"/>
        <v>2072.4716493621413</v>
      </c>
      <c r="D103" s="19">
        <f t="shared" si="78"/>
        <v>2108.0030387360939</v>
      </c>
      <c r="E103" s="19">
        <f t="shared" si="79"/>
        <v>17264.139861690001</v>
      </c>
      <c r="F103" s="19">
        <f>F88+F92-F101-F102</f>
        <v>388.49705193709224</v>
      </c>
      <c r="G103" s="19">
        <f t="shared" ref="G103:Q103" si="83">G88+G92-G101-G102</f>
        <v>278.99942312904932</v>
      </c>
      <c r="H103" s="19">
        <f t="shared" si="83"/>
        <v>1404.9751742959998</v>
      </c>
      <c r="I103" s="19">
        <f t="shared" si="83"/>
        <v>28.550063981033986</v>
      </c>
      <c r="J103" s="19">
        <f t="shared" si="83"/>
        <v>266.62805726497527</v>
      </c>
      <c r="K103" s="19">
        <f t="shared" si="83"/>
        <v>816.5803854972205</v>
      </c>
      <c r="L103" s="19">
        <f t="shared" si="83"/>
        <v>335.6817987240529</v>
      </c>
      <c r="M103" s="19">
        <f t="shared" si="83"/>
        <v>660.56273326881137</v>
      </c>
      <c r="N103" s="19">
        <f t="shared" si="83"/>
        <v>3048.2870124500005</v>
      </c>
      <c r="O103" s="19">
        <f t="shared" si="83"/>
        <v>1366.412104949999</v>
      </c>
      <c r="P103" s="19">
        <f t="shared" si="83"/>
        <v>1380.6197942899998</v>
      </c>
      <c r="Q103" s="19">
        <f t="shared" si="83"/>
        <v>11468.820950000001</v>
      </c>
    </row>
    <row r="104" spans="1:17" ht="16">
      <c r="A104" s="37" t="s">
        <v>381</v>
      </c>
      <c r="B104" s="19">
        <f t="shared" si="76"/>
        <v>16829.028909686036</v>
      </c>
      <c r="C104" s="19">
        <f t="shared" si="77"/>
        <v>1416.3587595426379</v>
      </c>
      <c r="D104" s="19">
        <f t="shared" si="78"/>
        <v>1972.5413974820256</v>
      </c>
      <c r="E104" s="19">
        <f t="shared" si="79"/>
        <v>13440.128752661371</v>
      </c>
      <c r="F104" s="19">
        <f>F103-F100</f>
        <v>368.11575096251681</v>
      </c>
      <c r="G104" s="19">
        <f t="shared" ref="G104:Q104" si="84">G103-G100</f>
        <v>252.86410711388135</v>
      </c>
      <c r="H104" s="19">
        <f t="shared" si="84"/>
        <v>795.37890146623977</v>
      </c>
      <c r="I104" s="19">
        <f t="shared" si="84"/>
        <v>28.550063981033986</v>
      </c>
      <c r="J104" s="19">
        <f t="shared" si="84"/>
        <v>260.68727795886707</v>
      </c>
      <c r="K104" s="19">
        <f t="shared" si="84"/>
        <v>741.30530554100505</v>
      </c>
      <c r="L104" s="19">
        <f t="shared" si="84"/>
        <v>325.08732066765401</v>
      </c>
      <c r="M104" s="19">
        <f t="shared" si="84"/>
        <v>616.91142933346555</v>
      </c>
      <c r="N104" s="19">
        <f t="shared" si="84"/>
        <v>2463.5001785360419</v>
      </c>
      <c r="O104" s="19">
        <f t="shared" si="84"/>
        <v>588.02752800481721</v>
      </c>
      <c r="P104" s="19">
        <f t="shared" si="84"/>
        <v>1320.9716877836245</v>
      </c>
      <c r="Q104" s="19">
        <f t="shared" si="84"/>
        <v>9067.6293583368861</v>
      </c>
    </row>
    <row r="105" spans="1:17" ht="16">
      <c r="A105" s="37" t="s">
        <v>313</v>
      </c>
      <c r="B105" s="19">
        <f t="shared" si="76"/>
        <v>12</v>
      </c>
      <c r="C105" s="19">
        <f t="shared" si="77"/>
        <v>3</v>
      </c>
      <c r="D105" s="19">
        <f t="shared" si="78"/>
        <v>5</v>
      </c>
      <c r="E105" s="19">
        <f t="shared" si="79"/>
        <v>4</v>
      </c>
      <c r="F105" s="19">
        <f t="shared" ref="F105:Q105" si="85">IF(F104&lt;0,0,1)</f>
        <v>1</v>
      </c>
      <c r="G105" s="19">
        <f t="shared" si="85"/>
        <v>1</v>
      </c>
      <c r="H105" s="19">
        <f t="shared" si="85"/>
        <v>1</v>
      </c>
      <c r="I105" s="19">
        <f t="shared" si="85"/>
        <v>1</v>
      </c>
      <c r="J105" s="19">
        <f t="shared" si="85"/>
        <v>1</v>
      </c>
      <c r="K105" s="19">
        <f t="shared" si="85"/>
        <v>1</v>
      </c>
      <c r="L105" s="19">
        <f t="shared" si="85"/>
        <v>1</v>
      </c>
      <c r="M105" s="19">
        <f t="shared" si="85"/>
        <v>1</v>
      </c>
      <c r="N105" s="19">
        <f t="shared" si="85"/>
        <v>1</v>
      </c>
      <c r="O105" s="19">
        <f t="shared" si="85"/>
        <v>1</v>
      </c>
      <c r="P105" s="19">
        <f t="shared" si="85"/>
        <v>1</v>
      </c>
      <c r="Q105" s="19">
        <f t="shared" si="85"/>
        <v>1</v>
      </c>
    </row>
    <row r="106" spans="1:17" ht="16">
      <c r="A106" s="83">
        <v>2</v>
      </c>
      <c r="B106" s="19"/>
      <c r="C106" s="19"/>
      <c r="D106" s="19"/>
      <c r="E106" s="19"/>
      <c r="F106" s="19"/>
      <c r="G106" s="19"/>
      <c r="H106" s="19"/>
      <c r="I106" s="19"/>
      <c r="J106" s="19"/>
      <c r="K106" s="19"/>
      <c r="L106" s="19"/>
      <c r="M106" s="19"/>
      <c r="N106" s="19"/>
      <c r="O106" s="19"/>
      <c r="P106" s="19"/>
      <c r="Q106" s="19"/>
    </row>
    <row r="107" spans="1:17" ht="16">
      <c r="A107" s="37" t="s">
        <v>373</v>
      </c>
      <c r="B107" s="19">
        <f>SUM(C107:E107)</f>
        <v>10174.771221756673</v>
      </c>
      <c r="C107" s="19">
        <f>SUM(F107:H107)</f>
        <v>4700.6300033589832</v>
      </c>
      <c r="D107" s="19">
        <f>SUM(I107:M107)</f>
        <v>2575.3650243801708</v>
      </c>
      <c r="E107" s="19">
        <f>SUM(N107:Q107)</f>
        <v>2898.7761940175183</v>
      </c>
      <c r="F107" s="19">
        <f>F96-F96*F$81/100</f>
        <v>874.26219690854884</v>
      </c>
      <c r="G107" s="19">
        <f t="shared" ref="G107:Q107" si="86">G96-G96*G$81/100</f>
        <v>854.87498543498964</v>
      </c>
      <c r="H107" s="19">
        <f t="shared" si="86"/>
        <v>2971.4928210154449</v>
      </c>
      <c r="I107" s="19">
        <f t="shared" si="86"/>
        <v>54.8</v>
      </c>
      <c r="J107" s="19">
        <f t="shared" si="86"/>
        <v>314.04778073415554</v>
      </c>
      <c r="K107" s="19">
        <f t="shared" si="86"/>
        <v>1331.9620230933056</v>
      </c>
      <c r="L107" s="19">
        <f t="shared" si="86"/>
        <v>297.99687570304957</v>
      </c>
      <c r="M107" s="19">
        <f t="shared" si="86"/>
        <v>576.55834484965987</v>
      </c>
      <c r="N107" s="19">
        <f t="shared" si="86"/>
        <v>1451.6237094209685</v>
      </c>
      <c r="O107" s="19">
        <f t="shared" si="86"/>
        <v>914.81741870675796</v>
      </c>
      <c r="P107" s="19">
        <f t="shared" si="86"/>
        <v>532.33506588979196</v>
      </c>
      <c r="Q107" s="19">
        <f t="shared" si="86"/>
        <v>0</v>
      </c>
    </row>
    <row r="108" spans="1:17" ht="16">
      <c r="A108" s="37" t="s">
        <v>374</v>
      </c>
      <c r="B108" s="19">
        <f>SUM(C108:E108)</f>
        <v>16313.195145043614</v>
      </c>
      <c r="C108" s="19">
        <f>SUM(F108:H108)</f>
        <v>2449.1221593067098</v>
      </c>
      <c r="D108" s="19">
        <f>SUM(I108:M108)</f>
        <v>2596.9955492177314</v>
      </c>
      <c r="E108" s="19">
        <f>SUM(N108:Q108)</f>
        <v>11267.077436519172</v>
      </c>
      <c r="F108" s="19">
        <f>F97-F97*F$83/100</f>
        <v>221.04880901711496</v>
      </c>
      <c r="G108" s="19">
        <f t="shared" ref="G108:Q108" si="87">G97-G97*G$83/100</f>
        <v>96.26524920516367</v>
      </c>
      <c r="H108" s="19">
        <f t="shared" si="87"/>
        <v>2131.8081010844312</v>
      </c>
      <c r="I108" s="19">
        <f t="shared" si="87"/>
        <v>82.2</v>
      </c>
      <c r="J108" s="19">
        <f t="shared" si="87"/>
        <v>316.02401953057824</v>
      </c>
      <c r="K108" s="19">
        <f t="shared" si="87"/>
        <v>767.75154760046223</v>
      </c>
      <c r="L108" s="19">
        <f t="shared" si="87"/>
        <v>470.45142684310605</v>
      </c>
      <c r="M108" s="19">
        <f t="shared" si="87"/>
        <v>960.56855524358502</v>
      </c>
      <c r="N108" s="19">
        <f t="shared" si="87"/>
        <v>4481.3622157646332</v>
      </c>
      <c r="O108" s="19">
        <f t="shared" si="87"/>
        <v>5311.8848576796936</v>
      </c>
      <c r="P108" s="19">
        <f t="shared" si="87"/>
        <v>1473.8303630748453</v>
      </c>
      <c r="Q108" s="19">
        <f t="shared" si="87"/>
        <v>0</v>
      </c>
    </row>
    <row r="109" spans="1:17" ht="16">
      <c r="A109" s="37" t="s">
        <v>375</v>
      </c>
      <c r="B109" s="19">
        <f>SUM(C109:E109)</f>
        <v>23603.110316153201</v>
      </c>
      <c r="C109" s="19">
        <f>SUM(F109:H109)</f>
        <v>6356.6118579997219</v>
      </c>
      <c r="D109" s="19">
        <f>SUM(I109:M109)</f>
        <v>2730.0128114337681</v>
      </c>
      <c r="E109" s="19">
        <f>SUM(N109:Q109)</f>
        <v>14516.485646719711</v>
      </c>
      <c r="F109" s="19">
        <f>F98-F98*F$85/100</f>
        <v>941.39887116535874</v>
      </c>
      <c r="G109" s="19">
        <f t="shared" ref="G109:Q109" si="88">G98-G98*G$85/100</f>
        <v>1480.9968833332164</v>
      </c>
      <c r="H109" s="19">
        <f t="shared" si="88"/>
        <v>3934.2161035011468</v>
      </c>
      <c r="I109" s="19">
        <f t="shared" si="88"/>
        <v>65.825921340320718</v>
      </c>
      <c r="J109" s="19">
        <f t="shared" si="88"/>
        <v>422.87264715453767</v>
      </c>
      <c r="K109" s="19">
        <f t="shared" si="88"/>
        <v>1171.5745655302351</v>
      </c>
      <c r="L109" s="19">
        <f t="shared" si="88"/>
        <v>457.14308284819498</v>
      </c>
      <c r="M109" s="19">
        <f t="shared" si="88"/>
        <v>612.59659456047996</v>
      </c>
      <c r="N109" s="19">
        <f t="shared" si="88"/>
        <v>1414.668434655965</v>
      </c>
      <c r="O109" s="19">
        <f t="shared" si="88"/>
        <v>1552.0708038479552</v>
      </c>
      <c r="P109" s="19">
        <f t="shared" si="88"/>
        <v>668.93473327331719</v>
      </c>
      <c r="Q109" s="19">
        <f t="shared" si="88"/>
        <v>10880.811674942473</v>
      </c>
    </row>
    <row r="110" spans="1:17" ht="16">
      <c r="A110" s="37" t="s">
        <v>376</v>
      </c>
      <c r="B110" s="19">
        <f>SUM(C110:E110)</f>
        <v>36647.79874962644</v>
      </c>
      <c r="C110" s="19">
        <f>SUM(F110:H110)</f>
        <v>2717.3550468113094</v>
      </c>
      <c r="D110" s="19">
        <f>SUM(I110:M110)</f>
        <v>3231.5501240434724</v>
      </c>
      <c r="E110" s="19">
        <f>SUM(N110:Q110)</f>
        <v>30698.893578771655</v>
      </c>
      <c r="F110" s="19">
        <f>F99-F99*F$87/100</f>
        <v>222.06406473902223</v>
      </c>
      <c r="G110" s="19">
        <f t="shared" ref="G110:Q110" si="89">G99-G99*G$87/100</f>
        <v>203.29811264289464</v>
      </c>
      <c r="H110" s="19">
        <f t="shared" si="89"/>
        <v>2291.9928694293926</v>
      </c>
      <c r="I110" s="19">
        <f t="shared" si="89"/>
        <v>90.90246280330004</v>
      </c>
      <c r="J110" s="19">
        <f t="shared" si="89"/>
        <v>407.56075642968779</v>
      </c>
      <c r="K110" s="19">
        <f t="shared" si="89"/>
        <v>758.10279021924509</v>
      </c>
      <c r="L110" s="19">
        <f t="shared" si="89"/>
        <v>718.33105044819615</v>
      </c>
      <c r="M110" s="19">
        <f t="shared" si="89"/>
        <v>1256.6530641430429</v>
      </c>
      <c r="N110" s="19">
        <f t="shared" si="89"/>
        <v>3975.6461256928192</v>
      </c>
      <c r="O110" s="19">
        <f t="shared" si="89"/>
        <v>6122.0613042276063</v>
      </c>
      <c r="P110" s="19">
        <f t="shared" si="89"/>
        <v>1506.4249233704675</v>
      </c>
      <c r="Q110" s="19">
        <f t="shared" si="89"/>
        <v>19094.761225480765</v>
      </c>
    </row>
    <row r="111" spans="1:17" ht="16">
      <c r="A111" s="37" t="s">
        <v>382</v>
      </c>
      <c r="B111" s="19">
        <f t="shared" ref="B111:B116" si="90">SUM(C111:E111)</f>
        <v>4300.178845878494</v>
      </c>
      <c r="C111" s="19">
        <f t="shared" ref="C111:C116" si="91">SUM(F111:H111)</f>
        <v>617.7992334667465</v>
      </c>
      <c r="D111" s="19">
        <f t="shared" ref="D111:D116" si="92">SUM(I111:M111)</f>
        <v>132.91455904121608</v>
      </c>
      <c r="E111" s="19">
        <f t="shared" ref="E111:E116" si="93">SUM(N111:Q111)</f>
        <v>3549.4650533705317</v>
      </c>
      <c r="F111" s="19">
        <f>SUM(F96:F99)-SUM(F107:F110)</f>
        <v>20.158734220708084</v>
      </c>
      <c r="G111" s="19">
        <f t="shared" ref="G111:Q111" si="94">SUM(G96:G99)-SUM(G107:G110)</f>
        <v>25.817470906788913</v>
      </c>
      <c r="H111" s="19">
        <f t="shared" si="94"/>
        <v>571.8230283392495</v>
      </c>
      <c r="I111" s="19">
        <f t="shared" si="94"/>
        <v>0</v>
      </c>
      <c r="J111" s="19">
        <f t="shared" si="94"/>
        <v>5.9093082775370931</v>
      </c>
      <c r="K111" s="19">
        <f t="shared" si="94"/>
        <v>73.566320604542398</v>
      </c>
      <c r="L111" s="19">
        <f t="shared" si="94"/>
        <v>10.517655892091398</v>
      </c>
      <c r="M111" s="19">
        <f t="shared" si="94"/>
        <v>42.921274267045192</v>
      </c>
      <c r="N111" s="19">
        <f t="shared" si="94"/>
        <v>549.5751353915457</v>
      </c>
      <c r="O111" s="19">
        <f t="shared" si="94"/>
        <v>727.35325296983501</v>
      </c>
      <c r="P111" s="19">
        <f t="shared" si="94"/>
        <v>58.570157095504328</v>
      </c>
      <c r="Q111" s="19">
        <f t="shared" si="94"/>
        <v>2213.9665079136466</v>
      </c>
    </row>
    <row r="112" spans="1:17" ht="16">
      <c r="A112" s="37" t="s">
        <v>383</v>
      </c>
      <c r="B112" s="19">
        <f t="shared" si="90"/>
        <v>12.551617500000001</v>
      </c>
      <c r="C112" s="19">
        <f t="shared" si="91"/>
        <v>3.5375000000000014</v>
      </c>
      <c r="D112" s="19">
        <f t="shared" si="92"/>
        <v>2.5825000000000009</v>
      </c>
      <c r="E112" s="19">
        <f t="shared" si="93"/>
        <v>6.431617499999998</v>
      </c>
      <c r="F112" s="19">
        <f>F101-F101*F$91/100</f>
        <v>0.625</v>
      </c>
      <c r="G112" s="19">
        <f t="shared" ref="G112:Q112" si="95">G101-G101*G$91/100</f>
        <v>0.44500000000000028</v>
      </c>
      <c r="H112" s="19">
        <f t="shared" si="95"/>
        <v>2.4675000000000011</v>
      </c>
      <c r="I112" s="19">
        <f t="shared" si="95"/>
        <v>2.5000000000000022E-2</v>
      </c>
      <c r="J112" s="19">
        <f t="shared" si="95"/>
        <v>0.375</v>
      </c>
      <c r="K112" s="19">
        <f t="shared" si="95"/>
        <v>0.97500000000000142</v>
      </c>
      <c r="L112" s="19">
        <f t="shared" si="95"/>
        <v>0.46250000000000036</v>
      </c>
      <c r="M112" s="19">
        <f t="shared" si="95"/>
        <v>0.74499999999999922</v>
      </c>
      <c r="N112" s="19">
        <f t="shared" si="95"/>
        <v>2.75</v>
      </c>
      <c r="O112" s="19">
        <f t="shared" si="95"/>
        <v>1.125</v>
      </c>
      <c r="P112" s="19">
        <f t="shared" si="95"/>
        <v>1.125</v>
      </c>
      <c r="Q112" s="19">
        <f t="shared" si="95"/>
        <v>1.431617499999998</v>
      </c>
    </row>
    <row r="113" spans="1:17" ht="16">
      <c r="A113" s="37" t="s">
        <v>384</v>
      </c>
      <c r="B113" s="19">
        <f t="shared" si="90"/>
        <v>80962.620828244995</v>
      </c>
      <c r="C113" s="19">
        <f t="shared" si="91"/>
        <v>15703.323853983522</v>
      </c>
      <c r="D113" s="19">
        <f t="shared" si="92"/>
        <v>10355.054326524583</v>
      </c>
      <c r="E113" s="19">
        <f t="shared" si="93"/>
        <v>54904.242647736894</v>
      </c>
      <c r="F113" s="19">
        <f>F102-F102*F$93/100</f>
        <v>1959.9110603544157</v>
      </c>
      <c r="G113" s="19">
        <f t="shared" ref="G113:Q113" si="96">G102-G102*G$93/100</f>
        <v>2440.3924608781481</v>
      </c>
      <c r="H113" s="19">
        <f t="shared" si="96"/>
        <v>11303.020332750959</v>
      </c>
      <c r="I113" s="19">
        <f t="shared" si="96"/>
        <v>298.93677078113893</v>
      </c>
      <c r="J113" s="19">
        <f t="shared" si="96"/>
        <v>1188.6708925402272</v>
      </c>
      <c r="K113" s="19">
        <f t="shared" si="96"/>
        <v>3830.2685825825683</v>
      </c>
      <c r="L113" s="19">
        <f t="shared" si="96"/>
        <v>1659.4855929444318</v>
      </c>
      <c r="M113" s="19">
        <f t="shared" si="96"/>
        <v>3377.6924876762168</v>
      </c>
      <c r="N113" s="19">
        <f t="shared" si="96"/>
        <v>10907.240090224501</v>
      </c>
      <c r="O113" s="19">
        <f t="shared" si="96"/>
        <v>15574.975406149497</v>
      </c>
      <c r="P113" s="19">
        <f t="shared" si="96"/>
        <v>3148.0610383629</v>
      </c>
      <c r="Q113" s="19">
        <f t="shared" si="96"/>
        <v>25273.966112999999</v>
      </c>
    </row>
    <row r="114" spans="1:17" ht="16">
      <c r="A114" s="37" t="s">
        <v>385</v>
      </c>
      <c r="B114" s="19">
        <f t="shared" si="90"/>
        <v>1056.2849832903544</v>
      </c>
      <c r="C114" s="19">
        <f t="shared" si="91"/>
        <v>225.83193286851952</v>
      </c>
      <c r="D114" s="19">
        <f t="shared" si="92"/>
        <v>153.66400834873309</v>
      </c>
      <c r="E114" s="19">
        <f t="shared" si="93"/>
        <v>676.78904207310188</v>
      </c>
      <c r="F114" s="19">
        <f>F101+F102-F112-F113</f>
        <v>31.672081417721301</v>
      </c>
      <c r="G114" s="19">
        <f t="shared" ref="G114:Q114" si="97">G101+G102-G112-G113</f>
        <v>33.105428897758884</v>
      </c>
      <c r="H114" s="19">
        <f t="shared" si="97"/>
        <v>161.05442255303933</v>
      </c>
      <c r="I114" s="19">
        <f t="shared" si="97"/>
        <v>3.4945633412236248</v>
      </c>
      <c r="J114" s="19">
        <f t="shared" si="97"/>
        <v>19.131776692325502</v>
      </c>
      <c r="K114" s="19">
        <f t="shared" si="97"/>
        <v>57.214581642248049</v>
      </c>
      <c r="L114" s="19">
        <f t="shared" si="97"/>
        <v>25.549980736812358</v>
      </c>
      <c r="M114" s="19">
        <f t="shared" si="97"/>
        <v>48.273105936123557</v>
      </c>
      <c r="N114" s="19">
        <f t="shared" si="97"/>
        <v>162.42414232550072</v>
      </c>
      <c r="O114" s="19">
        <f t="shared" si="97"/>
        <v>178.69798390049982</v>
      </c>
      <c r="P114" s="19">
        <f t="shared" si="97"/>
        <v>53.173596347100101</v>
      </c>
      <c r="Q114" s="19">
        <f t="shared" si="97"/>
        <v>282.49331950000123</v>
      </c>
    </row>
    <row r="115" spans="1:17" ht="16">
      <c r="A115" s="37" t="s">
        <v>381</v>
      </c>
      <c r="B115" s="19">
        <f t="shared" si="90"/>
        <v>13585.135047097894</v>
      </c>
      <c r="C115" s="19">
        <f t="shared" si="91"/>
        <v>1024.3914589444109</v>
      </c>
      <c r="D115" s="19">
        <f t="shared" si="92"/>
        <v>1993.2908467895427</v>
      </c>
      <c r="E115" s="19">
        <f t="shared" si="93"/>
        <v>10567.452741363941</v>
      </c>
      <c r="F115" s="19">
        <f>F114+F104-F111</f>
        <v>379.62909815953003</v>
      </c>
      <c r="G115" s="19">
        <f t="shared" ref="G115:Q115" si="98">G114+G104-G111</f>
        <v>260.15206510485132</v>
      </c>
      <c r="H115" s="19">
        <f t="shared" si="98"/>
        <v>384.61029568002959</v>
      </c>
      <c r="I115" s="19">
        <f t="shared" si="98"/>
        <v>32.044627322257611</v>
      </c>
      <c r="J115" s="19">
        <f t="shared" si="98"/>
        <v>273.90974637365548</v>
      </c>
      <c r="K115" s="19">
        <f t="shared" si="98"/>
        <v>724.95356657871071</v>
      </c>
      <c r="L115" s="19">
        <f t="shared" si="98"/>
        <v>340.11964551237497</v>
      </c>
      <c r="M115" s="19">
        <f t="shared" si="98"/>
        <v>622.26326100254391</v>
      </c>
      <c r="N115" s="19">
        <f t="shared" si="98"/>
        <v>2076.3491854699969</v>
      </c>
      <c r="O115" s="19">
        <f t="shared" si="98"/>
        <v>39.372258935482023</v>
      </c>
      <c r="P115" s="19">
        <f t="shared" si="98"/>
        <v>1315.5751270352202</v>
      </c>
      <c r="Q115" s="19">
        <f t="shared" si="98"/>
        <v>7136.1561699232407</v>
      </c>
    </row>
    <row r="116" spans="1:17" ht="16">
      <c r="A116" s="37" t="s">
        <v>313</v>
      </c>
      <c r="B116" s="19">
        <f t="shared" si="90"/>
        <v>12</v>
      </c>
      <c r="C116" s="19">
        <f t="shared" si="91"/>
        <v>3</v>
      </c>
      <c r="D116" s="19">
        <f t="shared" si="92"/>
        <v>5</v>
      </c>
      <c r="E116" s="19">
        <f t="shared" si="93"/>
        <v>4</v>
      </c>
      <c r="F116" s="19">
        <f>IF(F115&lt;0,0,1)</f>
        <v>1</v>
      </c>
      <c r="G116" s="19">
        <f t="shared" ref="G116:Q116" si="99">IF(G115&lt;0,0,1)</f>
        <v>1</v>
      </c>
      <c r="H116" s="19">
        <f t="shared" si="99"/>
        <v>1</v>
      </c>
      <c r="I116" s="19">
        <f t="shared" si="99"/>
        <v>1</v>
      </c>
      <c r="J116" s="19">
        <f t="shared" si="99"/>
        <v>1</v>
      </c>
      <c r="K116" s="19">
        <f t="shared" si="99"/>
        <v>1</v>
      </c>
      <c r="L116" s="19">
        <f t="shared" si="99"/>
        <v>1</v>
      </c>
      <c r="M116" s="19">
        <f t="shared" si="99"/>
        <v>1</v>
      </c>
      <c r="N116" s="19">
        <f t="shared" si="99"/>
        <v>1</v>
      </c>
      <c r="O116" s="19">
        <f t="shared" si="99"/>
        <v>1</v>
      </c>
      <c r="P116" s="19">
        <f t="shared" si="99"/>
        <v>1</v>
      </c>
      <c r="Q116" s="19">
        <f t="shared" si="99"/>
        <v>1</v>
      </c>
    </row>
    <row r="117" spans="1:17" ht="16">
      <c r="A117" s="83">
        <v>3</v>
      </c>
      <c r="B117" s="19"/>
      <c r="C117" s="19"/>
      <c r="D117" s="19"/>
      <c r="E117" s="19"/>
      <c r="F117" s="19"/>
      <c r="G117" s="19"/>
      <c r="H117" s="19"/>
      <c r="I117" s="19"/>
      <c r="J117" s="19"/>
      <c r="K117" s="19"/>
      <c r="L117" s="19"/>
      <c r="M117" s="19"/>
      <c r="N117" s="19"/>
      <c r="O117" s="19"/>
      <c r="P117" s="19"/>
      <c r="Q117" s="19"/>
    </row>
    <row r="118" spans="1:17" ht="16">
      <c r="A118" s="37" t="s">
        <v>373</v>
      </c>
      <c r="B118" s="19">
        <f>SUM(C118:E118)</f>
        <v>9577.8213676824125</v>
      </c>
      <c r="C118" s="19">
        <f>SUM(F118:H118)</f>
        <v>4420.4441857726797</v>
      </c>
      <c r="D118" s="19">
        <f>SUM(I118:M118)</f>
        <v>2515.0403510484862</v>
      </c>
      <c r="E118" s="19">
        <f>SUM(N118:Q118)</f>
        <v>2642.3368308612453</v>
      </c>
      <c r="F118" s="19">
        <f>F107-F107*F$81/100</f>
        <v>862.05385983848487</v>
      </c>
      <c r="G118" s="19">
        <f t="shared" ref="G118:Q118" si="100">G107-G107*G$81/100</f>
        <v>840.76943550802866</v>
      </c>
      <c r="H118" s="19">
        <f t="shared" si="100"/>
        <v>2717.6208904261666</v>
      </c>
      <c r="I118" s="19">
        <f t="shared" si="100"/>
        <v>54.8</v>
      </c>
      <c r="J118" s="19">
        <f t="shared" si="100"/>
        <v>311.60057584467637</v>
      </c>
      <c r="K118" s="19">
        <f t="shared" si="100"/>
        <v>1292.2704255467795</v>
      </c>
      <c r="L118" s="19">
        <f t="shared" si="100"/>
        <v>294.56550405835156</v>
      </c>
      <c r="M118" s="19">
        <f t="shared" si="100"/>
        <v>561.80384559867878</v>
      </c>
      <c r="N118" s="19">
        <f t="shared" si="100"/>
        <v>1315.2491142394504</v>
      </c>
      <c r="O118" s="19">
        <f t="shared" si="100"/>
        <v>810.17321770596902</v>
      </c>
      <c r="P118" s="19">
        <f t="shared" si="100"/>
        <v>516.91449891582579</v>
      </c>
      <c r="Q118" s="19">
        <f t="shared" si="100"/>
        <v>0</v>
      </c>
    </row>
    <row r="119" spans="1:17" ht="16">
      <c r="A119" s="37" t="s">
        <v>374</v>
      </c>
      <c r="B119" s="19">
        <f>SUM(C119:E119)</f>
        <v>15525.116289498155</v>
      </c>
      <c r="C119" s="19">
        <f>SUM(F119:H119)</f>
        <v>2337.0374031985903</v>
      </c>
      <c r="D119" s="19">
        <f>SUM(I119:M119)</f>
        <v>2563.7916594115436</v>
      </c>
      <c r="E119" s="19">
        <f>SUM(N119:Q119)</f>
        <v>10624.287226888022</v>
      </c>
      <c r="F119" s="19">
        <f>F108-F108*F$83/100</f>
        <v>219.19675247460879</v>
      </c>
      <c r="G119" s="19">
        <f t="shared" ref="G119:Q119" si="101">G108-G108*G$83/100</f>
        <v>95.312215625730644</v>
      </c>
      <c r="H119" s="19">
        <f t="shared" si="101"/>
        <v>2022.5284350982508</v>
      </c>
      <c r="I119" s="19">
        <f t="shared" si="101"/>
        <v>82.2</v>
      </c>
      <c r="J119" s="19">
        <f t="shared" si="101"/>
        <v>314.54645673937466</v>
      </c>
      <c r="K119" s="19">
        <f t="shared" si="101"/>
        <v>754.02445107004769</v>
      </c>
      <c r="L119" s="19">
        <f t="shared" si="101"/>
        <v>467.20113702217697</v>
      </c>
      <c r="M119" s="19">
        <f t="shared" si="101"/>
        <v>945.81961457994441</v>
      </c>
      <c r="N119" s="19">
        <f t="shared" si="101"/>
        <v>4228.7579268967847</v>
      </c>
      <c r="O119" s="19">
        <f t="shared" si="101"/>
        <v>4947.3150962998488</v>
      </c>
      <c r="P119" s="19">
        <f t="shared" si="101"/>
        <v>1448.2142036913879</v>
      </c>
      <c r="Q119" s="19">
        <f t="shared" si="101"/>
        <v>0</v>
      </c>
    </row>
    <row r="120" spans="1:17" ht="16">
      <c r="A120" s="37" t="s">
        <v>375</v>
      </c>
      <c r="B120" s="19">
        <f>SUM(C120:E120)</f>
        <v>22209.960258359704</v>
      </c>
      <c r="C120" s="19">
        <f>SUM(F120:H120)</f>
        <v>6207.129668679785</v>
      </c>
      <c r="D120" s="19">
        <f>SUM(I120:M120)</f>
        <v>2706.3536023615475</v>
      </c>
      <c r="E120" s="19">
        <f>SUM(N120:Q120)</f>
        <v>13296.476987318372</v>
      </c>
      <c r="F120" s="19">
        <f>F109-F109*F$85/100</f>
        <v>936.14053343683554</v>
      </c>
      <c r="G120" s="19">
        <f t="shared" ref="G120:Q120" si="102">G109-G109*G$85/100</f>
        <v>1471.2222258286922</v>
      </c>
      <c r="H120" s="19">
        <f t="shared" si="102"/>
        <v>3799.766909414257</v>
      </c>
      <c r="I120" s="19">
        <f t="shared" si="102"/>
        <v>65.825921340320718</v>
      </c>
      <c r="J120" s="19">
        <f t="shared" si="102"/>
        <v>421.55455981467571</v>
      </c>
      <c r="K120" s="19">
        <f t="shared" si="102"/>
        <v>1157.60970306583</v>
      </c>
      <c r="L120" s="19">
        <f t="shared" si="102"/>
        <v>455.03752008569376</v>
      </c>
      <c r="M120" s="19">
        <f t="shared" si="102"/>
        <v>606.3258980550271</v>
      </c>
      <c r="N120" s="19">
        <f t="shared" si="102"/>
        <v>1361.5073202872188</v>
      </c>
      <c r="O120" s="19">
        <f t="shared" si="102"/>
        <v>1481.0554489392471</v>
      </c>
      <c r="P120" s="19">
        <f t="shared" si="102"/>
        <v>661.18371064367966</v>
      </c>
      <c r="Q120" s="19">
        <f t="shared" si="102"/>
        <v>9792.7305074482265</v>
      </c>
    </row>
    <row r="121" spans="1:17" ht="16">
      <c r="A121" s="37" t="s">
        <v>376</v>
      </c>
      <c r="B121" s="19">
        <f>SUM(C121:E121)</f>
        <v>35415.88145997181</v>
      </c>
      <c r="C121" s="19">
        <f>SUM(F121:H121)</f>
        <v>2676.9003112739165</v>
      </c>
      <c r="D121" s="19">
        <f>SUM(I121:M121)</f>
        <v>3218.3107517902572</v>
      </c>
      <c r="E121" s="19">
        <f>SUM(N121:Q121)</f>
        <v>29520.670396907637</v>
      </c>
      <c r="F121" s="19">
        <f>F110-F110*F$87/100</f>
        <v>221.4438771195486</v>
      </c>
      <c r="G121" s="19">
        <f t="shared" ref="G121:Q121" si="103">G110-G110*G$87/100</f>
        <v>202.62722351248402</v>
      </c>
      <c r="H121" s="19">
        <f t="shared" si="103"/>
        <v>2252.8292106418839</v>
      </c>
      <c r="I121" s="19">
        <f t="shared" si="103"/>
        <v>90.90246280330004</v>
      </c>
      <c r="J121" s="19">
        <f t="shared" si="103"/>
        <v>406.92557622012669</v>
      </c>
      <c r="K121" s="19">
        <f t="shared" si="103"/>
        <v>753.58459670823197</v>
      </c>
      <c r="L121" s="19">
        <f t="shared" si="103"/>
        <v>716.67676411234186</v>
      </c>
      <c r="M121" s="19">
        <f t="shared" si="103"/>
        <v>1250.2213519462568</v>
      </c>
      <c r="N121" s="19">
        <f t="shared" si="103"/>
        <v>3900.9467215073369</v>
      </c>
      <c r="O121" s="19">
        <f t="shared" si="103"/>
        <v>5982.0031460512146</v>
      </c>
      <c r="P121" s="19">
        <f t="shared" si="103"/>
        <v>1497.6973651423589</v>
      </c>
      <c r="Q121" s="19">
        <f t="shared" si="103"/>
        <v>18140.023164206727</v>
      </c>
    </row>
    <row r="122" spans="1:17" ht="16">
      <c r="A122" s="37" t="s">
        <v>386</v>
      </c>
      <c r="B122" s="19">
        <f t="shared" ref="B122:B127" si="104">SUM(C122:E122)</f>
        <v>4010.0960570678444</v>
      </c>
      <c r="C122" s="19">
        <f t="shared" ref="C122:C127" si="105">SUM(F122:H122)</f>
        <v>582.20749855175018</v>
      </c>
      <c r="D122" s="19">
        <f t="shared" ref="D122:D127" si="106">SUM(I122:M122)</f>
        <v>130.42714446330774</v>
      </c>
      <c r="E122" s="19">
        <f t="shared" ref="E122:E127" si="107">SUM(N122:Q122)</f>
        <v>3297.4614140527865</v>
      </c>
      <c r="F122" s="19">
        <f t="shared" ref="F122:Q122" si="108">SUM(F107:F110)-SUM(F118:F121)</f>
        <v>19.938918960567207</v>
      </c>
      <c r="G122" s="19">
        <f t="shared" si="108"/>
        <v>25.50413014132846</v>
      </c>
      <c r="H122" s="19">
        <f t="shared" si="108"/>
        <v>536.76444944985451</v>
      </c>
      <c r="I122" s="19">
        <f t="shared" si="108"/>
        <v>0</v>
      </c>
      <c r="J122" s="19">
        <f t="shared" si="108"/>
        <v>5.8780352301059793</v>
      </c>
      <c r="K122" s="19">
        <f t="shared" si="108"/>
        <v>71.901750052359148</v>
      </c>
      <c r="L122" s="19">
        <f t="shared" si="108"/>
        <v>10.441510563982774</v>
      </c>
      <c r="M122" s="19">
        <f t="shared" si="108"/>
        <v>42.205848616859839</v>
      </c>
      <c r="N122" s="19">
        <f t="shared" si="108"/>
        <v>516.83940260359486</v>
      </c>
      <c r="O122" s="19">
        <f t="shared" si="108"/>
        <v>680.28747546573504</v>
      </c>
      <c r="P122" s="19">
        <f t="shared" si="108"/>
        <v>57.515307215169742</v>
      </c>
      <c r="Q122" s="19">
        <f t="shared" si="108"/>
        <v>2042.8192287682868</v>
      </c>
    </row>
    <row r="123" spans="1:17" ht="16">
      <c r="A123" s="37" t="s">
        <v>387</v>
      </c>
      <c r="B123" s="19">
        <f t="shared" si="104"/>
        <v>0.62758087499999993</v>
      </c>
      <c r="C123" s="19">
        <f t="shared" si="105"/>
        <v>0.17687500000000023</v>
      </c>
      <c r="D123" s="19">
        <f t="shared" si="106"/>
        <v>0.12912499999999996</v>
      </c>
      <c r="E123" s="19">
        <f t="shared" si="107"/>
        <v>0.32158087499999977</v>
      </c>
      <c r="F123" s="19">
        <f>F112-F112*F$91/100</f>
        <v>3.125E-2</v>
      </c>
      <c r="G123" s="19">
        <f t="shared" ref="G123:Q123" si="109">G112-G112*G$91/100</f>
        <v>2.2249999999999992E-2</v>
      </c>
      <c r="H123" s="19">
        <f t="shared" si="109"/>
        <v>0.12337500000000023</v>
      </c>
      <c r="I123" s="19">
        <f t="shared" si="109"/>
        <v>1.2500000000000011E-3</v>
      </c>
      <c r="J123" s="19">
        <f t="shared" si="109"/>
        <v>1.8749999999999989E-2</v>
      </c>
      <c r="K123" s="19">
        <f t="shared" si="109"/>
        <v>4.874999999999996E-2</v>
      </c>
      <c r="L123" s="19">
        <f t="shared" si="109"/>
        <v>2.3125000000000007E-2</v>
      </c>
      <c r="M123" s="19">
        <f t="shared" si="109"/>
        <v>3.7250000000000005E-2</v>
      </c>
      <c r="N123" s="19">
        <f t="shared" si="109"/>
        <v>0.13750000000000018</v>
      </c>
      <c r="O123" s="19">
        <f t="shared" si="109"/>
        <v>5.6249999999999911E-2</v>
      </c>
      <c r="P123" s="19">
        <f t="shared" si="109"/>
        <v>5.6249999999999911E-2</v>
      </c>
      <c r="Q123" s="19">
        <f t="shared" si="109"/>
        <v>7.1580874999999766E-2</v>
      </c>
    </row>
    <row r="124" spans="1:17" ht="16">
      <c r="A124" s="37" t="s">
        <v>388</v>
      </c>
      <c r="B124" s="19">
        <f t="shared" si="104"/>
        <v>80152.994619962556</v>
      </c>
      <c r="C124" s="19">
        <f t="shared" si="105"/>
        <v>15546.290615443688</v>
      </c>
      <c r="D124" s="19">
        <f t="shared" si="106"/>
        <v>10251.503783259337</v>
      </c>
      <c r="E124" s="19">
        <f t="shared" si="107"/>
        <v>54355.200221259525</v>
      </c>
      <c r="F124" s="19">
        <f>F113-F113*F$93/100</f>
        <v>1940.3119497508715</v>
      </c>
      <c r="G124" s="19">
        <f t="shared" ref="G124:Q124" si="110">G113-G113*G$93/100</f>
        <v>2415.9885362693667</v>
      </c>
      <c r="H124" s="19">
        <f t="shared" si="110"/>
        <v>11189.99012942345</v>
      </c>
      <c r="I124" s="19">
        <f t="shared" si="110"/>
        <v>295.94740307332756</v>
      </c>
      <c r="J124" s="19">
        <f t="shared" si="110"/>
        <v>1176.784183614825</v>
      </c>
      <c r="K124" s="19">
        <f t="shared" si="110"/>
        <v>3791.9658967567425</v>
      </c>
      <c r="L124" s="19">
        <f t="shared" si="110"/>
        <v>1642.8907370149875</v>
      </c>
      <c r="M124" s="19">
        <f t="shared" si="110"/>
        <v>3343.9155627994546</v>
      </c>
      <c r="N124" s="19">
        <f t="shared" si="110"/>
        <v>10798.167689322256</v>
      </c>
      <c r="O124" s="19">
        <f t="shared" si="110"/>
        <v>15419.225652088002</v>
      </c>
      <c r="P124" s="19">
        <f t="shared" si="110"/>
        <v>3116.580427979271</v>
      </c>
      <c r="Q124" s="19">
        <f t="shared" si="110"/>
        <v>25021.226451869999</v>
      </c>
    </row>
    <row r="125" spans="1:17" ht="16">
      <c r="A125" s="37" t="s">
        <v>389</v>
      </c>
      <c r="B125" s="19">
        <f t="shared" si="104"/>
        <v>821.55024490744972</v>
      </c>
      <c r="C125" s="19">
        <f t="shared" si="105"/>
        <v>160.3938635398365</v>
      </c>
      <c r="D125" s="19">
        <f t="shared" si="106"/>
        <v>106.00391826524611</v>
      </c>
      <c r="E125" s="19">
        <f t="shared" si="107"/>
        <v>555.15246310236716</v>
      </c>
      <c r="F125" s="19">
        <f t="shared" ref="F125:Q125" si="111">F112+F113-F123-F124</f>
        <v>20.192860603544204</v>
      </c>
      <c r="G125" s="19">
        <f t="shared" si="111"/>
        <v>24.826674608781559</v>
      </c>
      <c r="H125" s="19">
        <f t="shared" si="111"/>
        <v>115.37432832751074</v>
      </c>
      <c r="I125" s="19">
        <f t="shared" si="111"/>
        <v>3.0131177078113183</v>
      </c>
      <c r="J125" s="19">
        <f t="shared" si="111"/>
        <v>12.242958925402263</v>
      </c>
      <c r="K125" s="19">
        <f t="shared" si="111"/>
        <v>39.228935825825829</v>
      </c>
      <c r="L125" s="19">
        <f t="shared" si="111"/>
        <v>17.034230929444448</v>
      </c>
      <c r="M125" s="19">
        <f t="shared" si="111"/>
        <v>34.484674876762256</v>
      </c>
      <c r="N125" s="19">
        <f t="shared" si="111"/>
        <v>111.68490090224441</v>
      </c>
      <c r="O125" s="19">
        <f t="shared" si="111"/>
        <v>156.81850406149533</v>
      </c>
      <c r="P125" s="19">
        <f t="shared" si="111"/>
        <v>32.549360383628937</v>
      </c>
      <c r="Q125" s="19">
        <f t="shared" si="111"/>
        <v>254.09969775499849</v>
      </c>
    </row>
    <row r="126" spans="1:17" ht="16">
      <c r="A126" s="37" t="s">
        <v>381</v>
      </c>
      <c r="B126" s="19">
        <f t="shared" si="104"/>
        <v>10396.589234937499</v>
      </c>
      <c r="C126" s="19">
        <f t="shared" si="105"/>
        <v>602.57782393249727</v>
      </c>
      <c r="D126" s="19">
        <f t="shared" si="106"/>
        <v>1968.867620591481</v>
      </c>
      <c r="E126" s="19">
        <f t="shared" si="107"/>
        <v>7825.14379041352</v>
      </c>
      <c r="F126" s="19">
        <f t="shared" ref="F126:Q126" si="112">F125+F115-F122</f>
        <v>379.88303980250703</v>
      </c>
      <c r="G126" s="19">
        <f t="shared" si="112"/>
        <v>259.47460957230442</v>
      </c>
      <c r="H126" s="19">
        <f t="shared" si="112"/>
        <v>-36.779825442314177</v>
      </c>
      <c r="I126" s="19">
        <f t="shared" si="112"/>
        <v>35.057745030068929</v>
      </c>
      <c r="J126" s="19">
        <f t="shared" si="112"/>
        <v>280.27467006895176</v>
      </c>
      <c r="K126" s="19">
        <f t="shared" si="112"/>
        <v>692.28075235217739</v>
      </c>
      <c r="L126" s="19">
        <f t="shared" si="112"/>
        <v>346.71236587783665</v>
      </c>
      <c r="M126" s="19">
        <f t="shared" si="112"/>
        <v>614.54208726244633</v>
      </c>
      <c r="N126" s="19">
        <f t="shared" si="112"/>
        <v>1671.1946837686464</v>
      </c>
      <c r="O126" s="19">
        <f t="shared" si="112"/>
        <v>-484.09671246875769</v>
      </c>
      <c r="P126" s="19">
        <f t="shared" si="112"/>
        <v>1290.6091802036794</v>
      </c>
      <c r="Q126" s="19">
        <f t="shared" si="112"/>
        <v>5347.4366389099523</v>
      </c>
    </row>
    <row r="127" spans="1:17" ht="16">
      <c r="A127" s="37" t="s">
        <v>313</v>
      </c>
      <c r="B127" s="19">
        <f t="shared" si="104"/>
        <v>10</v>
      </c>
      <c r="C127" s="19">
        <f t="shared" si="105"/>
        <v>2</v>
      </c>
      <c r="D127" s="19">
        <f t="shared" si="106"/>
        <v>5</v>
      </c>
      <c r="E127" s="19">
        <f t="shared" si="107"/>
        <v>3</v>
      </c>
      <c r="F127" s="19">
        <f t="shared" ref="F127:Q127" si="113">IF(F126&lt;0,0,1)</f>
        <v>1</v>
      </c>
      <c r="G127" s="19">
        <f t="shared" si="113"/>
        <v>1</v>
      </c>
      <c r="H127" s="19">
        <f t="shared" si="113"/>
        <v>0</v>
      </c>
      <c r="I127" s="19">
        <f t="shared" si="113"/>
        <v>1</v>
      </c>
      <c r="J127" s="19">
        <f t="shared" si="113"/>
        <v>1</v>
      </c>
      <c r="K127" s="19">
        <f t="shared" si="113"/>
        <v>1</v>
      </c>
      <c r="L127" s="19">
        <f t="shared" si="113"/>
        <v>1</v>
      </c>
      <c r="M127" s="19">
        <f t="shared" si="113"/>
        <v>1</v>
      </c>
      <c r="N127" s="19">
        <f t="shared" si="113"/>
        <v>1</v>
      </c>
      <c r="O127" s="19">
        <f t="shared" si="113"/>
        <v>0</v>
      </c>
      <c r="P127" s="19">
        <f t="shared" si="113"/>
        <v>1</v>
      </c>
      <c r="Q127" s="19">
        <f t="shared" si="113"/>
        <v>1</v>
      </c>
    </row>
    <row r="128" spans="1:17" ht="16">
      <c r="A128" s="83">
        <v>4</v>
      </c>
      <c r="B128" s="19"/>
      <c r="C128" s="19"/>
      <c r="D128" s="19"/>
      <c r="E128" s="19"/>
      <c r="F128" s="19"/>
      <c r="G128" s="19"/>
      <c r="H128" s="19"/>
      <c r="I128" s="19"/>
      <c r="J128" s="19"/>
      <c r="K128" s="19"/>
      <c r="L128" s="19"/>
      <c r="M128" s="19"/>
      <c r="N128" s="19"/>
      <c r="O128" s="19"/>
      <c r="P128" s="19"/>
      <c r="Q128" s="19"/>
    </row>
    <row r="129" spans="1:17" ht="16">
      <c r="A129" s="37" t="s">
        <v>373</v>
      </c>
      <c r="B129" s="19">
        <f>SUM(C129:E129)</f>
        <v>9029.8120643196926</v>
      </c>
      <c r="C129" s="19">
        <f>SUM(F129:H129)</f>
        <v>4162.3513477646848</v>
      </c>
      <c r="D129" s="19">
        <f>SUM(I129:M129)</f>
        <v>2456.3346197847522</v>
      </c>
      <c r="E129" s="19">
        <f>SUM(N129:Q129)</f>
        <v>2411.1260967702565</v>
      </c>
      <c r="F129" s="19">
        <f>F118-F118*F$81/100</f>
        <v>850.01600193879256</v>
      </c>
      <c r="G129" s="19">
        <f t="shared" ref="G129:Q129" si="114">G118-G118*G$81/100</f>
        <v>826.89662901388749</v>
      </c>
      <c r="H129" s="19">
        <f t="shared" si="114"/>
        <v>2485.4387168120043</v>
      </c>
      <c r="I129" s="19">
        <f t="shared" si="114"/>
        <v>54.8</v>
      </c>
      <c r="J129" s="19">
        <f t="shared" si="114"/>
        <v>309.17244070234557</v>
      </c>
      <c r="K129" s="19">
        <f t="shared" si="114"/>
        <v>1253.7616116596078</v>
      </c>
      <c r="L129" s="19">
        <f t="shared" si="114"/>
        <v>291.17364393986088</v>
      </c>
      <c r="M129" s="19">
        <f t="shared" si="114"/>
        <v>547.42692348293804</v>
      </c>
      <c r="N129" s="19">
        <f t="shared" si="114"/>
        <v>1191.686400050384</v>
      </c>
      <c r="O129" s="19">
        <f t="shared" si="114"/>
        <v>717.49906513142639</v>
      </c>
      <c r="P129" s="19">
        <f t="shared" si="114"/>
        <v>501.94063158844619</v>
      </c>
      <c r="Q129" s="19">
        <f t="shared" si="114"/>
        <v>0</v>
      </c>
    </row>
    <row r="130" spans="1:17" ht="16">
      <c r="A130" s="37" t="s">
        <v>374</v>
      </c>
      <c r="B130" s="19">
        <f>SUM(C130:E130)</f>
        <v>14782.870905361526</v>
      </c>
      <c r="C130" s="19">
        <f>SUM(F130:H130)</f>
        <v>2230.5794384761039</v>
      </c>
      <c r="D130" s="19">
        <f>SUM(I130:M130)</f>
        <v>2531.0890297933443</v>
      </c>
      <c r="E130" s="19">
        <f>SUM(N130:Q130)</f>
        <v>10021.202437092077</v>
      </c>
      <c r="F130" s="19">
        <f>F119-F119*F$83/100</f>
        <v>217.36021338027115</v>
      </c>
      <c r="G130" s="19">
        <f t="shared" ref="G130:Q130" si="115">G119-G119*G$83/100</f>
        <v>94.368617154096398</v>
      </c>
      <c r="H130" s="19">
        <f t="shared" si="115"/>
        <v>1918.8506079417364</v>
      </c>
      <c r="I130" s="19">
        <f t="shared" si="115"/>
        <v>82.2</v>
      </c>
      <c r="J130" s="19">
        <f t="shared" si="115"/>
        <v>313.07580225787865</v>
      </c>
      <c r="K130" s="19">
        <f t="shared" si="115"/>
        <v>740.5427896413197</v>
      </c>
      <c r="L130" s="19">
        <f t="shared" si="115"/>
        <v>463.97330304539514</v>
      </c>
      <c r="M130" s="19">
        <f t="shared" si="115"/>
        <v>931.29713484875072</v>
      </c>
      <c r="N130" s="19">
        <f t="shared" si="115"/>
        <v>3990.3923725213108</v>
      </c>
      <c r="O130" s="19">
        <f t="shared" si="115"/>
        <v>4607.7667942463295</v>
      </c>
      <c r="P130" s="19">
        <f t="shared" si="115"/>
        <v>1423.0432703244371</v>
      </c>
      <c r="Q130" s="19">
        <f t="shared" si="115"/>
        <v>0</v>
      </c>
    </row>
    <row r="131" spans="1:17" ht="16">
      <c r="A131" s="37" t="s">
        <v>375</v>
      </c>
      <c r="B131" s="19">
        <f>SUM(C131:E131)</f>
        <v>20935.888215905728</v>
      </c>
      <c r="C131" s="19">
        <f>SUM(F131:H131)</f>
        <v>6062.3360748670766</v>
      </c>
      <c r="D131" s="19">
        <f>SUM(I131:M131)</f>
        <v>2682.9388457656814</v>
      </c>
      <c r="E131" s="19">
        <f>SUM(N131:Q131)</f>
        <v>12190.613295272971</v>
      </c>
      <c r="F131" s="19">
        <f>F120-F120*F$85/100</f>
        <v>930.91156701575085</v>
      </c>
      <c r="G131" s="19">
        <f t="shared" ref="G131:Q131" si="116">G120-G120*G$85/100</f>
        <v>1461.512081578994</v>
      </c>
      <c r="H131" s="19">
        <f t="shared" si="116"/>
        <v>3669.9124262723321</v>
      </c>
      <c r="I131" s="19">
        <f t="shared" si="116"/>
        <v>65.825921340320718</v>
      </c>
      <c r="J131" s="19">
        <f t="shared" si="116"/>
        <v>420.24058093216422</v>
      </c>
      <c r="K131" s="19">
        <f t="shared" si="116"/>
        <v>1143.8112981103086</v>
      </c>
      <c r="L131" s="19">
        <f t="shared" si="116"/>
        <v>452.94165536897549</v>
      </c>
      <c r="M131" s="19">
        <f t="shared" si="116"/>
        <v>600.11939001391215</v>
      </c>
      <c r="N131" s="19">
        <f t="shared" si="116"/>
        <v>1310.3439207269</v>
      </c>
      <c r="O131" s="19">
        <f t="shared" si="116"/>
        <v>1413.2894178502427</v>
      </c>
      <c r="P131" s="19">
        <f t="shared" si="116"/>
        <v>653.52249999242633</v>
      </c>
      <c r="Q131" s="19">
        <f t="shared" si="116"/>
        <v>8813.4574567034033</v>
      </c>
    </row>
    <row r="132" spans="1:17" ht="16">
      <c r="A132" s="37" t="s">
        <v>376</v>
      </c>
      <c r="B132" s="19">
        <f>SUM(C132:E132)</f>
        <v>34237.097166972591</v>
      </c>
      <c r="C132" s="19">
        <f>SUM(F132:H132)</f>
        <v>2637.1187176413487</v>
      </c>
      <c r="D132" s="19">
        <f>SUM(I132:M132)</f>
        <v>3205.1360253863422</v>
      </c>
      <c r="E132" s="19">
        <f>SUM(N132:Q132)</f>
        <v>28394.842423944901</v>
      </c>
      <c r="F132" s="19">
        <f>F121-F121*F$87/100</f>
        <v>220.82542157988627</v>
      </c>
      <c r="G132" s="19">
        <f t="shared" ref="G132:Q132" si="117">G121-G121*G$87/100</f>
        <v>201.95854833388759</v>
      </c>
      <c r="H132" s="19">
        <f t="shared" si="117"/>
        <v>2214.3347477275747</v>
      </c>
      <c r="I132" s="19">
        <f t="shared" si="117"/>
        <v>90.90246280330004</v>
      </c>
      <c r="J132" s="19">
        <f t="shared" si="117"/>
        <v>406.29138593388933</v>
      </c>
      <c r="K132" s="19">
        <f t="shared" si="117"/>
        <v>749.09333103980998</v>
      </c>
      <c r="L132" s="19">
        <f t="shared" si="117"/>
        <v>715.02628752866144</v>
      </c>
      <c r="M132" s="19">
        <f t="shared" si="117"/>
        <v>1243.8225580806813</v>
      </c>
      <c r="N132" s="19">
        <f t="shared" si="117"/>
        <v>3827.6508630121025</v>
      </c>
      <c r="O132" s="19">
        <f t="shared" si="117"/>
        <v>5845.1491844185948</v>
      </c>
      <c r="P132" s="19">
        <f t="shared" si="117"/>
        <v>1489.0203705178149</v>
      </c>
      <c r="Q132" s="19">
        <f t="shared" si="117"/>
        <v>17233.02200599639</v>
      </c>
    </row>
    <row r="133" spans="1:17" ht="16">
      <c r="A133" s="37" t="s">
        <v>390</v>
      </c>
      <c r="B133" s="19">
        <f t="shared" ref="B133:B138" si="118">SUM(C133:E133)</f>
        <v>3743.1110229525402</v>
      </c>
      <c r="C133" s="19">
        <f t="shared" ref="C133:C138" si="119">SUM(F133:H133)</f>
        <v>549.12599017576076</v>
      </c>
      <c r="D133" s="19">
        <f t="shared" ref="D133:D138" si="120">SUM(I133:M133)</f>
        <v>127.99784388171452</v>
      </c>
      <c r="E133" s="19">
        <f t="shared" ref="E133:E138" si="121">SUM(N133:Q133)</f>
        <v>3065.9871888950647</v>
      </c>
      <c r="F133" s="19">
        <f t="shared" ref="F133:Q133" si="122">SUM(F118:F121)-SUM(F129:F132)</f>
        <v>19.721818954777063</v>
      </c>
      <c r="G133" s="19">
        <f t="shared" si="122"/>
        <v>25.195224394070465</v>
      </c>
      <c r="H133" s="19">
        <f t="shared" si="122"/>
        <v>504.20894682691323</v>
      </c>
      <c r="I133" s="19">
        <f t="shared" si="122"/>
        <v>0</v>
      </c>
      <c r="J133" s="19">
        <f t="shared" si="122"/>
        <v>5.8469587925756059</v>
      </c>
      <c r="K133" s="19">
        <f t="shared" si="122"/>
        <v>70.280145939842896</v>
      </c>
      <c r="L133" s="19">
        <f t="shared" si="122"/>
        <v>10.366035395670906</v>
      </c>
      <c r="M133" s="19">
        <f t="shared" si="122"/>
        <v>41.504703753625108</v>
      </c>
      <c r="N133" s="19">
        <f t="shared" si="122"/>
        <v>486.38752662009392</v>
      </c>
      <c r="O133" s="19">
        <f t="shared" si="122"/>
        <v>636.84244734968524</v>
      </c>
      <c r="P133" s="19">
        <f t="shared" si="122"/>
        <v>56.483005970128033</v>
      </c>
      <c r="Q133" s="19">
        <f t="shared" si="122"/>
        <v>1886.2742089551575</v>
      </c>
    </row>
    <row r="134" spans="1:17" ht="16">
      <c r="A134" s="37" t="s">
        <v>391</v>
      </c>
      <c r="B134" s="19">
        <f t="shared" si="118"/>
        <v>3.1379043749999988E-2</v>
      </c>
      <c r="C134" s="19">
        <f t="shared" si="119"/>
        <v>8.8437500000000044E-3</v>
      </c>
      <c r="D134" s="19">
        <f t="shared" si="120"/>
        <v>6.4562500000000037E-3</v>
      </c>
      <c r="E134" s="19">
        <f t="shared" si="121"/>
        <v>1.607904374999998E-2</v>
      </c>
      <c r="F134" s="19">
        <f>F123-F123*F$91/100</f>
        <v>1.5625000000000014E-3</v>
      </c>
      <c r="G134" s="19">
        <f t="shared" ref="G134:Q134" si="123">G123-G123*G$91/100</f>
        <v>1.1125000000000024E-3</v>
      </c>
      <c r="H134" s="19">
        <f t="shared" si="123"/>
        <v>6.1687500000000006E-3</v>
      </c>
      <c r="I134" s="19">
        <f t="shared" si="123"/>
        <v>6.2500000000000056E-5</v>
      </c>
      <c r="J134" s="19">
        <f t="shared" si="123"/>
        <v>9.3750000000000083E-4</v>
      </c>
      <c r="K134" s="19">
        <f t="shared" si="123"/>
        <v>2.4375000000000022E-3</v>
      </c>
      <c r="L134" s="19">
        <f t="shared" si="123"/>
        <v>1.1562499999999976E-3</v>
      </c>
      <c r="M134" s="19">
        <f t="shared" si="123"/>
        <v>1.862500000000003E-3</v>
      </c>
      <c r="N134" s="19">
        <f t="shared" si="123"/>
        <v>6.8749999999999922E-3</v>
      </c>
      <c r="O134" s="19">
        <f t="shared" si="123"/>
        <v>2.8125000000000025E-3</v>
      </c>
      <c r="P134" s="19">
        <f t="shared" si="123"/>
        <v>2.8125000000000025E-3</v>
      </c>
      <c r="Q134" s="19">
        <f t="shared" si="123"/>
        <v>3.5790437499999828E-3</v>
      </c>
    </row>
    <row r="135" spans="1:17" ht="16">
      <c r="A135" s="37" t="s">
        <v>392</v>
      </c>
      <c r="B135" s="19">
        <f t="shared" si="118"/>
        <v>79351.464673762923</v>
      </c>
      <c r="C135" s="19">
        <f t="shared" si="119"/>
        <v>15390.827709289249</v>
      </c>
      <c r="D135" s="19">
        <f t="shared" si="120"/>
        <v>10148.988745426745</v>
      </c>
      <c r="E135" s="19">
        <f t="shared" si="121"/>
        <v>53811.648219046932</v>
      </c>
      <c r="F135" s="19">
        <f>F124-F124*F$93/100</f>
        <v>1920.9088302533628</v>
      </c>
      <c r="G135" s="19">
        <f t="shared" ref="G135:Q135" si="124">G124-G124*G$93/100</f>
        <v>2391.8286509066729</v>
      </c>
      <c r="H135" s="19">
        <f t="shared" si="124"/>
        <v>11078.090228129215</v>
      </c>
      <c r="I135" s="19">
        <f t="shared" si="124"/>
        <v>292.98792904259426</v>
      </c>
      <c r="J135" s="19">
        <f t="shared" si="124"/>
        <v>1165.0163417786766</v>
      </c>
      <c r="K135" s="19">
        <f t="shared" si="124"/>
        <v>3754.0462377891749</v>
      </c>
      <c r="L135" s="19">
        <f t="shared" si="124"/>
        <v>1626.4618296448377</v>
      </c>
      <c r="M135" s="19">
        <f t="shared" si="124"/>
        <v>3310.4764071714599</v>
      </c>
      <c r="N135" s="19">
        <f t="shared" si="124"/>
        <v>10690.186012429032</v>
      </c>
      <c r="O135" s="19">
        <f t="shared" si="124"/>
        <v>15265.033395567121</v>
      </c>
      <c r="P135" s="19">
        <f t="shared" si="124"/>
        <v>3085.4146236994784</v>
      </c>
      <c r="Q135" s="19">
        <f t="shared" si="124"/>
        <v>24771.014187351298</v>
      </c>
    </row>
    <row r="136" spans="1:17" ht="16">
      <c r="A136" s="37" t="s">
        <v>393</v>
      </c>
      <c r="B136" s="19">
        <f t="shared" si="118"/>
        <v>802.12614803087706</v>
      </c>
      <c r="C136" s="19">
        <f t="shared" si="119"/>
        <v>155.63093740443628</v>
      </c>
      <c r="D136" s="19">
        <f t="shared" si="120"/>
        <v>102.63770658259398</v>
      </c>
      <c r="E136" s="19">
        <f t="shared" si="121"/>
        <v>543.8575040438468</v>
      </c>
      <c r="F136" s="19">
        <f t="shared" ref="F136:Q136" si="125">F123+F124-F134-F135</f>
        <v>19.432806997508578</v>
      </c>
      <c r="G136" s="19">
        <f t="shared" si="125"/>
        <v>24.181022862693681</v>
      </c>
      <c r="H136" s="19">
        <f t="shared" si="125"/>
        <v>112.01710754423402</v>
      </c>
      <c r="I136" s="19">
        <f t="shared" si="125"/>
        <v>2.9606615307333186</v>
      </c>
      <c r="J136" s="19">
        <f t="shared" si="125"/>
        <v>11.785654336148355</v>
      </c>
      <c r="K136" s="19">
        <f t="shared" si="125"/>
        <v>37.96597146756767</v>
      </c>
      <c r="L136" s="19">
        <f t="shared" si="125"/>
        <v>16.450876120149815</v>
      </c>
      <c r="M136" s="19">
        <f t="shared" si="125"/>
        <v>33.474543127994821</v>
      </c>
      <c r="N136" s="19">
        <f t="shared" si="125"/>
        <v>108.11230189322487</v>
      </c>
      <c r="O136" s="19">
        <f t="shared" si="125"/>
        <v>154.24569402087945</v>
      </c>
      <c r="P136" s="19">
        <f t="shared" si="125"/>
        <v>31.21924177979281</v>
      </c>
      <c r="Q136" s="19">
        <f t="shared" si="125"/>
        <v>250.28026634994967</v>
      </c>
    </row>
    <row r="137" spans="1:17" ht="16">
      <c r="A137" s="37" t="s">
        <v>381</v>
      </c>
      <c r="B137" s="19">
        <f t="shared" si="118"/>
        <v>7455.6043600158355</v>
      </c>
      <c r="C137" s="19">
        <f t="shared" si="119"/>
        <v>209.08277116117279</v>
      </c>
      <c r="D137" s="19">
        <f t="shared" si="120"/>
        <v>1943.5074832923606</v>
      </c>
      <c r="E137" s="19">
        <f t="shared" si="121"/>
        <v>5303.0141055623026</v>
      </c>
      <c r="F137" s="19">
        <f t="shared" ref="F137:Q137" si="126">F136+F126-F133</f>
        <v>379.59402784523854</v>
      </c>
      <c r="G137" s="19">
        <f t="shared" si="126"/>
        <v>258.46040804092763</v>
      </c>
      <c r="H137" s="19">
        <f t="shared" si="126"/>
        <v>-428.97166472499339</v>
      </c>
      <c r="I137" s="19">
        <f t="shared" si="126"/>
        <v>38.018406560802248</v>
      </c>
      <c r="J137" s="19">
        <f t="shared" si="126"/>
        <v>286.21336561252451</v>
      </c>
      <c r="K137" s="19">
        <f t="shared" si="126"/>
        <v>659.96657787990216</v>
      </c>
      <c r="L137" s="19">
        <f t="shared" si="126"/>
        <v>352.79720660231555</v>
      </c>
      <c r="M137" s="19">
        <f t="shared" si="126"/>
        <v>606.51192663681604</v>
      </c>
      <c r="N137" s="19">
        <f t="shared" si="126"/>
        <v>1292.9194590417774</v>
      </c>
      <c r="O137" s="19">
        <f t="shared" si="126"/>
        <v>-966.69346579756348</v>
      </c>
      <c r="P137" s="19">
        <f t="shared" si="126"/>
        <v>1265.3454160133442</v>
      </c>
      <c r="Q137" s="19">
        <f t="shared" si="126"/>
        <v>3711.4426963047445</v>
      </c>
    </row>
    <row r="138" spans="1:17" ht="16">
      <c r="A138" s="37" t="s">
        <v>313</v>
      </c>
      <c r="B138" s="19">
        <f t="shared" si="118"/>
        <v>10</v>
      </c>
      <c r="C138" s="19">
        <f t="shared" si="119"/>
        <v>2</v>
      </c>
      <c r="D138" s="19">
        <f t="shared" si="120"/>
        <v>5</v>
      </c>
      <c r="E138" s="19">
        <f t="shared" si="121"/>
        <v>3</v>
      </c>
      <c r="F138" s="19">
        <f t="shared" ref="F138:Q138" si="127">IF(F137&lt;0,0,1)</f>
        <v>1</v>
      </c>
      <c r="G138" s="19">
        <f t="shared" si="127"/>
        <v>1</v>
      </c>
      <c r="H138" s="19">
        <f t="shared" si="127"/>
        <v>0</v>
      </c>
      <c r="I138" s="19">
        <f t="shared" si="127"/>
        <v>1</v>
      </c>
      <c r="J138" s="19">
        <f t="shared" si="127"/>
        <v>1</v>
      </c>
      <c r="K138" s="19">
        <f t="shared" si="127"/>
        <v>1</v>
      </c>
      <c r="L138" s="19">
        <f t="shared" si="127"/>
        <v>1</v>
      </c>
      <c r="M138" s="19">
        <f t="shared" si="127"/>
        <v>1</v>
      </c>
      <c r="N138" s="19">
        <f t="shared" si="127"/>
        <v>1</v>
      </c>
      <c r="O138" s="19">
        <f t="shared" si="127"/>
        <v>0</v>
      </c>
      <c r="P138" s="19">
        <f t="shared" si="127"/>
        <v>1</v>
      </c>
      <c r="Q138" s="19">
        <f t="shared" si="127"/>
        <v>1</v>
      </c>
    </row>
    <row r="139" spans="1:17" ht="16">
      <c r="A139" s="83">
        <v>5</v>
      </c>
      <c r="B139" s="19"/>
      <c r="C139" s="19"/>
      <c r="D139" s="19"/>
      <c r="E139" s="19"/>
      <c r="F139" s="19"/>
      <c r="G139" s="19"/>
      <c r="H139" s="19"/>
      <c r="I139" s="19"/>
      <c r="J139" s="19"/>
      <c r="K139" s="19"/>
      <c r="L139" s="19"/>
      <c r="M139" s="19"/>
      <c r="N139" s="19"/>
      <c r="O139" s="19"/>
      <c r="P139" s="19"/>
      <c r="Q139" s="19"/>
    </row>
    <row r="140" spans="1:17" ht="16">
      <c r="A140" s="37" t="s">
        <v>373</v>
      </c>
      <c r="B140" s="19">
        <f>SUM(C140:E140)</f>
        <v>8526.2526976152512</v>
      </c>
      <c r="C140" s="19">
        <f>SUM(F140:H140)</f>
        <v>3924.4921862314754</v>
      </c>
      <c r="D140" s="19">
        <f>SUM(I140:M140)</f>
        <v>2399.2023183999499</v>
      </c>
      <c r="E140" s="19">
        <f>SUM(N140:Q140)</f>
        <v>2202.5581929838272</v>
      </c>
      <c r="F140" s="19">
        <f>F129-F129*F$81/100</f>
        <v>838.14624261108543</v>
      </c>
      <c r="G140" s="19">
        <f t="shared" ref="G140:Q140" si="128">G129-G129*G$81/100</f>
        <v>813.25272565525052</v>
      </c>
      <c r="H140" s="19">
        <f t="shared" si="128"/>
        <v>2273.0932179651395</v>
      </c>
      <c r="I140" s="19">
        <f t="shared" si="128"/>
        <v>54.8</v>
      </c>
      <c r="J140" s="19">
        <f t="shared" si="128"/>
        <v>306.76322670691388</v>
      </c>
      <c r="K140" s="19">
        <f t="shared" si="128"/>
        <v>1216.4003352519612</v>
      </c>
      <c r="L140" s="19">
        <f t="shared" si="128"/>
        <v>287.82084038062408</v>
      </c>
      <c r="M140" s="19">
        <f t="shared" si="128"/>
        <v>533.41791606045081</v>
      </c>
      <c r="N140" s="19">
        <f t="shared" si="128"/>
        <v>1079.7319387561297</v>
      </c>
      <c r="O140" s="19">
        <f t="shared" si="128"/>
        <v>635.4257302187267</v>
      </c>
      <c r="P140" s="19">
        <f t="shared" si="128"/>
        <v>487.40052400897116</v>
      </c>
      <c r="Q140" s="19">
        <f t="shared" si="128"/>
        <v>0</v>
      </c>
    </row>
    <row r="141" spans="1:17" ht="16">
      <c r="A141" s="37" t="s">
        <v>374</v>
      </c>
      <c r="B141" s="19">
        <f>SUM(C141:E141)</f>
        <v>14083.635920094617</v>
      </c>
      <c r="C141" s="19">
        <f>SUM(F141:H141)</f>
        <v>2129.4608830962779</v>
      </c>
      <c r="D141" s="19">
        <f>SUM(I141:M141)</f>
        <v>2498.8796074669008</v>
      </c>
      <c r="E141" s="19">
        <f>SUM(N141:Q141)</f>
        <v>9455.2954295314375</v>
      </c>
      <c r="F141" s="19">
        <f>F130-F130*F$83/100</f>
        <v>215.53906172122603</v>
      </c>
      <c r="G141" s="19">
        <f t="shared" ref="G141:Q141" si="129">G130-G130*G$83/100</f>
        <v>93.434360381947627</v>
      </c>
      <c r="H141" s="19">
        <f t="shared" si="129"/>
        <v>1820.4874609931044</v>
      </c>
      <c r="I141" s="19">
        <f t="shared" si="129"/>
        <v>82.2</v>
      </c>
      <c r="J141" s="19">
        <f t="shared" si="129"/>
        <v>311.61202378645237</v>
      </c>
      <c r="K141" s="19">
        <f t="shared" si="129"/>
        <v>727.30217503092888</v>
      </c>
      <c r="L141" s="19">
        <f t="shared" si="129"/>
        <v>460.7677697681537</v>
      </c>
      <c r="M141" s="19">
        <f t="shared" si="129"/>
        <v>916.99763888136545</v>
      </c>
      <c r="N141" s="19">
        <f t="shared" si="129"/>
        <v>3765.4629472634056</v>
      </c>
      <c r="O141" s="19">
        <f t="shared" si="129"/>
        <v>4291.5226576205705</v>
      </c>
      <c r="P141" s="19">
        <f t="shared" si="129"/>
        <v>1398.3098246474626</v>
      </c>
      <c r="Q141" s="19">
        <f t="shared" si="129"/>
        <v>0</v>
      </c>
    </row>
    <row r="142" spans="1:17" ht="16">
      <c r="A142" s="37" t="s">
        <v>375</v>
      </c>
      <c r="B142" s="19">
        <f>SUM(C142:E142)</f>
        <v>19769.628282113459</v>
      </c>
      <c r="C142" s="19">
        <f>SUM(F142:H142)</f>
        <v>5922.0734655505948</v>
      </c>
      <c r="D142" s="19">
        <f>SUM(I142:M142)</f>
        <v>2659.7658429921566</v>
      </c>
      <c r="E142" s="19">
        <f>SUM(N142:Q142)</f>
        <v>11187.788973570707</v>
      </c>
      <c r="F142" s="19">
        <f>F131-F131*F$85/100</f>
        <v>925.71180784385172</v>
      </c>
      <c r="G142" s="19">
        <f t="shared" ref="G142:Q142" si="130">G131-G131*G$85/100</f>
        <v>1451.8660247932387</v>
      </c>
      <c r="H142" s="19">
        <f t="shared" si="130"/>
        <v>3544.4956329135039</v>
      </c>
      <c r="I142" s="19">
        <f t="shared" si="130"/>
        <v>65.825921340320718</v>
      </c>
      <c r="J142" s="19">
        <f t="shared" si="130"/>
        <v>418.93069770100669</v>
      </c>
      <c r="K142" s="19">
        <f t="shared" si="130"/>
        <v>1130.1773665336923</v>
      </c>
      <c r="L142" s="19">
        <f t="shared" si="130"/>
        <v>450.85544402965337</v>
      </c>
      <c r="M142" s="19">
        <f t="shared" si="130"/>
        <v>593.9764133874836</v>
      </c>
      <c r="N142" s="19">
        <f t="shared" si="130"/>
        <v>1261.1031648538856</v>
      </c>
      <c r="O142" s="19">
        <f t="shared" si="130"/>
        <v>1348.624037025781</v>
      </c>
      <c r="P142" s="19">
        <f t="shared" si="130"/>
        <v>645.95006065797656</v>
      </c>
      <c r="Q142" s="19">
        <f t="shared" si="130"/>
        <v>7932.1117110330633</v>
      </c>
    </row>
    <row r="143" spans="1:17" ht="16">
      <c r="A143" s="37" t="s">
        <v>376</v>
      </c>
      <c r="B143" s="19">
        <f>SUM(C143:E143)</f>
        <v>33108.947270503639</v>
      </c>
      <c r="C143" s="19">
        <f>SUM(F143:H143)</f>
        <v>2597.9988191102484</v>
      </c>
      <c r="D143" s="19">
        <f>SUM(I143:M143)</f>
        <v>3192.0256055485597</v>
      </c>
      <c r="E143" s="19">
        <f>SUM(N143:Q143)</f>
        <v>27318.922845844831</v>
      </c>
      <c r="F143" s="19">
        <f>F132-F132*F$87/100</f>
        <v>220.20869328262737</v>
      </c>
      <c r="G143" s="19">
        <f t="shared" ref="G143:Q143" si="131">G132-G132*G$87/100</f>
        <v>201.292079801006</v>
      </c>
      <c r="H143" s="19">
        <f t="shared" si="131"/>
        <v>2176.4980460266152</v>
      </c>
      <c r="I143" s="19">
        <f t="shared" si="131"/>
        <v>90.90246280330004</v>
      </c>
      <c r="J143" s="19">
        <f t="shared" si="131"/>
        <v>405.65818402818803</v>
      </c>
      <c r="K143" s="19">
        <f t="shared" si="131"/>
        <v>744.62883272755801</v>
      </c>
      <c r="L143" s="19">
        <f t="shared" si="131"/>
        <v>713.37961192345517</v>
      </c>
      <c r="M143" s="19">
        <f t="shared" si="131"/>
        <v>1237.4565140660586</v>
      </c>
      <c r="N143" s="19">
        <f t="shared" si="131"/>
        <v>3755.7321786379434</v>
      </c>
      <c r="O143" s="19">
        <f t="shared" si="131"/>
        <v>5711.4261149565864</v>
      </c>
      <c r="P143" s="19">
        <f t="shared" si="131"/>
        <v>1480.3936465537304</v>
      </c>
      <c r="Q143" s="19">
        <f t="shared" si="131"/>
        <v>16371.370905696571</v>
      </c>
    </row>
    <row r="144" spans="1:17" ht="16">
      <c r="A144" s="37" t="s">
        <v>394</v>
      </c>
      <c r="B144" s="19">
        <f t="shared" ref="B144:B149" si="132">SUM(C144:E144)</f>
        <v>3497.2041822325723</v>
      </c>
      <c r="C144" s="19">
        <f t="shared" ref="C144:C149" si="133">SUM(F144:H144)</f>
        <v>518.36022476061544</v>
      </c>
      <c r="D144" s="19">
        <f t="shared" ref="D144:D149" si="134">SUM(I144:M144)</f>
        <v>125.62514632255306</v>
      </c>
      <c r="E144" s="19">
        <f t="shared" ref="E144:E149" si="135">SUM(N144:Q144)</f>
        <v>2853.2188111494038</v>
      </c>
      <c r="F144" s="19">
        <f t="shared" ref="F144:Q144" si="136">SUM(F129:F132)-SUM(F140:F143)</f>
        <v>19.507398455909879</v>
      </c>
      <c r="G144" s="19">
        <f t="shared" si="136"/>
        <v>24.890685449422563</v>
      </c>
      <c r="H144" s="19">
        <f t="shared" si="136"/>
        <v>473.962140855283</v>
      </c>
      <c r="I144" s="19">
        <f t="shared" si="136"/>
        <v>0</v>
      </c>
      <c r="J144" s="19">
        <f t="shared" si="136"/>
        <v>5.8160776037168489</v>
      </c>
      <c r="K144" s="19">
        <f t="shared" si="136"/>
        <v>68.700320906905745</v>
      </c>
      <c r="L144" s="19">
        <f t="shared" si="136"/>
        <v>10.291223781006693</v>
      </c>
      <c r="M144" s="19">
        <f t="shared" si="136"/>
        <v>40.817524030923778</v>
      </c>
      <c r="N144" s="19">
        <f t="shared" si="136"/>
        <v>458.04332679933214</v>
      </c>
      <c r="O144" s="19">
        <f t="shared" si="136"/>
        <v>596.70592182492874</v>
      </c>
      <c r="P144" s="19">
        <f t="shared" si="136"/>
        <v>55.472716554983435</v>
      </c>
      <c r="Q144" s="19">
        <f t="shared" si="136"/>
        <v>1742.9968459701595</v>
      </c>
    </row>
    <row r="145" spans="1:17" ht="16">
      <c r="A145" s="37" t="s">
        <v>395</v>
      </c>
      <c r="B145" s="19">
        <f t="shared" si="132"/>
        <v>1.5689521874999997E-3</v>
      </c>
      <c r="C145" s="19">
        <f t="shared" si="133"/>
        <v>4.4218750000000074E-4</v>
      </c>
      <c r="D145" s="19">
        <f t="shared" si="134"/>
        <v>3.2281250000000018E-4</v>
      </c>
      <c r="E145" s="19">
        <f t="shared" si="135"/>
        <v>8.0395218749999874E-4</v>
      </c>
      <c r="F145" s="19">
        <f>F134-F134*F$91/100</f>
        <v>7.8125000000000069E-5</v>
      </c>
      <c r="G145" s="19">
        <f t="shared" ref="G145:Q145" si="137">G134-G134*G$91/100</f>
        <v>5.5625000000000119E-5</v>
      </c>
      <c r="H145" s="19">
        <f t="shared" si="137"/>
        <v>3.0843750000000055E-4</v>
      </c>
      <c r="I145" s="19">
        <f t="shared" si="137"/>
        <v>3.1250000000000014E-6</v>
      </c>
      <c r="J145" s="19">
        <f t="shared" si="137"/>
        <v>4.687500000000015E-5</v>
      </c>
      <c r="K145" s="19">
        <f t="shared" si="137"/>
        <v>1.2187500000000002E-4</v>
      </c>
      <c r="L145" s="19">
        <f t="shared" si="137"/>
        <v>5.7812499999999921E-5</v>
      </c>
      <c r="M145" s="19">
        <f t="shared" si="137"/>
        <v>9.3125000000000109E-5</v>
      </c>
      <c r="N145" s="19">
        <f t="shared" si="137"/>
        <v>3.4374999999999944E-4</v>
      </c>
      <c r="O145" s="19">
        <f t="shared" si="137"/>
        <v>1.4062500000000012E-4</v>
      </c>
      <c r="P145" s="19">
        <f t="shared" si="137"/>
        <v>1.4062500000000012E-4</v>
      </c>
      <c r="Q145" s="19">
        <f t="shared" si="137"/>
        <v>1.7895218749999905E-4</v>
      </c>
    </row>
    <row r="146" spans="1:17" ht="16">
      <c r="A146" s="37" t="s">
        <v>396</v>
      </c>
      <c r="B146" s="19">
        <f t="shared" si="132"/>
        <v>78557.95002702529</v>
      </c>
      <c r="C146" s="19">
        <f t="shared" si="133"/>
        <v>15236.919432196359</v>
      </c>
      <c r="D146" s="19">
        <f t="shared" si="134"/>
        <v>10047.498857972476</v>
      </c>
      <c r="E146" s="19">
        <f t="shared" si="135"/>
        <v>53273.531736856457</v>
      </c>
      <c r="F146" s="19">
        <f>F135-F135*F$93/100</f>
        <v>1901.6997419508291</v>
      </c>
      <c r="G146" s="19">
        <f t="shared" ref="G146:Q146" si="138">G135-G135*G$93/100</f>
        <v>2367.9103643976064</v>
      </c>
      <c r="H146" s="19">
        <f t="shared" si="138"/>
        <v>10967.309325847922</v>
      </c>
      <c r="I146" s="19">
        <f t="shared" si="138"/>
        <v>290.0580497521683</v>
      </c>
      <c r="J146" s="19">
        <f t="shared" si="138"/>
        <v>1153.3661783608898</v>
      </c>
      <c r="K146" s="19">
        <f t="shared" si="138"/>
        <v>3716.5057754112831</v>
      </c>
      <c r="L146" s="19">
        <f t="shared" si="138"/>
        <v>1610.1972113483894</v>
      </c>
      <c r="M146" s="19">
        <f t="shared" si="138"/>
        <v>3277.3716430997451</v>
      </c>
      <c r="N146" s="19">
        <f t="shared" si="138"/>
        <v>10583.284152304743</v>
      </c>
      <c r="O146" s="19">
        <f t="shared" si="138"/>
        <v>15112.38306161145</v>
      </c>
      <c r="P146" s="19">
        <f t="shared" si="138"/>
        <v>3054.5604774624835</v>
      </c>
      <c r="Q146" s="19">
        <f t="shared" si="138"/>
        <v>24523.304045477784</v>
      </c>
    </row>
    <row r="147" spans="1:17" ht="16">
      <c r="A147" s="37" t="s">
        <v>397</v>
      </c>
      <c r="B147" s="19">
        <f t="shared" si="132"/>
        <v>793.54445682919288</v>
      </c>
      <c r="C147" s="19">
        <f t="shared" si="133"/>
        <v>153.91667865539262</v>
      </c>
      <c r="D147" s="19">
        <f t="shared" si="134"/>
        <v>101.49602089176722</v>
      </c>
      <c r="E147" s="19">
        <f t="shared" si="135"/>
        <v>538.13175728203305</v>
      </c>
      <c r="F147" s="19">
        <f t="shared" ref="F147:Q147" si="139">F134+F135-F145-F146</f>
        <v>19.210572677533719</v>
      </c>
      <c r="G147" s="19">
        <f t="shared" si="139"/>
        <v>23.919343384066451</v>
      </c>
      <c r="H147" s="19">
        <f t="shared" si="139"/>
        <v>110.78676259379245</v>
      </c>
      <c r="I147" s="19">
        <f t="shared" si="139"/>
        <v>2.9299386654259933</v>
      </c>
      <c r="J147" s="19">
        <f t="shared" si="139"/>
        <v>11.651054042786882</v>
      </c>
      <c r="K147" s="19">
        <f t="shared" si="139"/>
        <v>37.542778002891737</v>
      </c>
      <c r="L147" s="19">
        <f t="shared" si="139"/>
        <v>16.265716733948238</v>
      </c>
      <c r="M147" s="19">
        <f t="shared" si="139"/>
        <v>33.106533446714366</v>
      </c>
      <c r="N147" s="19">
        <f t="shared" si="139"/>
        <v>106.90839137428884</v>
      </c>
      <c r="O147" s="19">
        <f t="shared" si="139"/>
        <v>152.65300583067256</v>
      </c>
      <c r="P147" s="19">
        <f t="shared" si="139"/>
        <v>30.856818111994926</v>
      </c>
      <c r="Q147" s="19">
        <f t="shared" si="139"/>
        <v>247.71354196507673</v>
      </c>
    </row>
    <row r="148" spans="1:17" ht="16">
      <c r="A148" s="37" t="s">
        <v>381</v>
      </c>
      <c r="B148" s="19">
        <f t="shared" si="132"/>
        <v>4751.9446346124569</v>
      </c>
      <c r="C148" s="19">
        <f t="shared" si="133"/>
        <v>-155.36077494405004</v>
      </c>
      <c r="D148" s="19">
        <f t="shared" si="134"/>
        <v>1919.3783578615746</v>
      </c>
      <c r="E148" s="19">
        <f t="shared" si="135"/>
        <v>2987.9270516949318</v>
      </c>
      <c r="F148" s="19">
        <f t="shared" ref="F148:Q148" si="140">F147+F137-F144</f>
        <v>379.29720206686238</v>
      </c>
      <c r="G148" s="19">
        <f t="shared" si="140"/>
        <v>257.48906597557152</v>
      </c>
      <c r="H148" s="19">
        <f t="shared" si="140"/>
        <v>-792.14704298648394</v>
      </c>
      <c r="I148" s="19">
        <f t="shared" si="140"/>
        <v>40.948345226228241</v>
      </c>
      <c r="J148" s="19">
        <f t="shared" si="140"/>
        <v>292.04834205159455</v>
      </c>
      <c r="K148" s="19">
        <f t="shared" si="140"/>
        <v>628.80903497588815</v>
      </c>
      <c r="L148" s="19">
        <f t="shared" si="140"/>
        <v>358.7716995552571</v>
      </c>
      <c r="M148" s="19">
        <f t="shared" si="140"/>
        <v>598.80093605260663</v>
      </c>
      <c r="N148" s="19">
        <f t="shared" si="140"/>
        <v>941.78452361673408</v>
      </c>
      <c r="O148" s="19">
        <f t="shared" si="140"/>
        <v>-1410.7463817918197</v>
      </c>
      <c r="P148" s="19">
        <f t="shared" si="140"/>
        <v>1240.7295175703557</v>
      </c>
      <c r="Q148" s="19">
        <f t="shared" si="140"/>
        <v>2216.1593922996617</v>
      </c>
    </row>
    <row r="149" spans="1:17" ht="16">
      <c r="A149" s="37" t="s">
        <v>313</v>
      </c>
      <c r="B149" s="19">
        <f t="shared" si="132"/>
        <v>10</v>
      </c>
      <c r="C149" s="19">
        <f t="shared" si="133"/>
        <v>2</v>
      </c>
      <c r="D149" s="19">
        <f t="shared" si="134"/>
        <v>5</v>
      </c>
      <c r="E149" s="19">
        <f t="shared" si="135"/>
        <v>3</v>
      </c>
      <c r="F149" s="19">
        <f t="shared" ref="F149:Q149" si="141">IF(F148&lt;0,0,1)</f>
        <v>1</v>
      </c>
      <c r="G149" s="19">
        <f t="shared" si="141"/>
        <v>1</v>
      </c>
      <c r="H149" s="19">
        <f t="shared" si="141"/>
        <v>0</v>
      </c>
      <c r="I149" s="19">
        <f t="shared" si="141"/>
        <v>1</v>
      </c>
      <c r="J149" s="19">
        <f t="shared" si="141"/>
        <v>1</v>
      </c>
      <c r="K149" s="19">
        <f t="shared" si="141"/>
        <v>1</v>
      </c>
      <c r="L149" s="19">
        <f t="shared" si="141"/>
        <v>1</v>
      </c>
      <c r="M149" s="19">
        <f t="shared" si="141"/>
        <v>1</v>
      </c>
      <c r="N149" s="19">
        <f t="shared" si="141"/>
        <v>1</v>
      </c>
      <c r="O149" s="19">
        <f t="shared" si="141"/>
        <v>0</v>
      </c>
      <c r="P149" s="19">
        <f t="shared" si="141"/>
        <v>1</v>
      </c>
      <c r="Q149" s="19">
        <f t="shared" si="141"/>
        <v>1</v>
      </c>
    </row>
    <row r="150" spans="1:17" ht="16">
      <c r="A150" s="37"/>
      <c r="B150" s="19"/>
      <c r="C150" s="19"/>
      <c r="D150" s="19"/>
      <c r="E150" s="19"/>
      <c r="F150" s="19"/>
      <c r="G150" s="19"/>
      <c r="H150" s="19"/>
      <c r="I150" s="19"/>
      <c r="J150" s="19"/>
      <c r="K150" s="19"/>
      <c r="L150" s="19"/>
      <c r="M150" s="19"/>
      <c r="N150" s="19"/>
      <c r="O150" s="19"/>
      <c r="P150" s="19"/>
      <c r="Q150" s="19"/>
    </row>
  </sheetData>
  <phoneticPr fontId="3" type="noConversion"/>
  <pageMargins left="0.75" right="0.75" top="1" bottom="1" header="0.5" footer="0.5"/>
  <pageSetup scale="50" orientation="portrait"/>
  <headerFooter alignWithMargins="0"/>
  <rowBreaks count="2" manualBreakCount="2">
    <brk id="72" max="16383" man="1"/>
    <brk id="149"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60</vt:i4>
      </vt:variant>
    </vt:vector>
  </HeadingPairs>
  <TitlesOfParts>
    <vt:vector size="79" baseType="lpstr">
      <vt:lpstr>Testing Dashboard</vt:lpstr>
      <vt:lpstr>Read Me</vt:lpstr>
      <vt:lpstr>Data</vt:lpstr>
      <vt:lpstr>Assumptions</vt:lpstr>
      <vt:lpstr>Credit Risk</vt:lpstr>
      <vt:lpstr>Interest Risk</vt:lpstr>
      <vt:lpstr>FX Risk</vt:lpstr>
      <vt:lpstr>Interbank</vt:lpstr>
      <vt:lpstr>Liquidity</vt:lpstr>
      <vt:lpstr>Scenarios</vt:lpstr>
      <vt:lpstr>xCall</vt:lpstr>
      <vt:lpstr>Banks</vt:lpstr>
      <vt:lpstr>output</vt:lpstr>
      <vt:lpstr>ratios</vt:lpstr>
      <vt:lpstr>source-format-income</vt:lpstr>
      <vt:lpstr>source-format-balance</vt:lpstr>
      <vt:lpstr>source-balance</vt:lpstr>
      <vt:lpstr>source-income</vt:lpstr>
      <vt:lpstr>source-info</vt:lpstr>
      <vt:lpstr>Assumptions!Print_Area</vt:lpstr>
      <vt:lpstr>Data!Print_Area</vt:lpstr>
      <vt:lpstr>Interbank!Print_Area</vt:lpstr>
      <vt:lpstr>'Read Me'!Print_Area</vt:lpstr>
      <vt:lpstr>Scenarios!Print_Area</vt:lpstr>
      <vt:lpstr>'Credit Risk'!Print_Titles</vt:lpstr>
      <vt:lpstr>Data!Print_Titles</vt:lpstr>
      <vt:lpstr>'FX Risk'!Print_Titles</vt:lpstr>
      <vt:lpstr>Interbank!Print_Titles</vt:lpstr>
      <vt:lpstr>'Interest Risk'!Print_Titles</vt:lpstr>
      <vt:lpstr>Scenarios!Print_Titles</vt:lpstr>
      <vt:lpstr>xInput_Bank</vt:lpstr>
      <vt:lpstr>xInput_CR1_DoubtfulLoans</vt:lpstr>
      <vt:lpstr>xInput_CR1_Haircut</vt:lpstr>
      <vt:lpstr>xInput_CR1_LossLoans</vt:lpstr>
      <vt:lpstr>xInput_CR1_SubstandardLoans</vt:lpstr>
      <vt:lpstr>xInput_CR2_IncreaseNPL</vt:lpstr>
      <vt:lpstr>xInput_CR2_ProvisioningNPL</vt:lpstr>
      <vt:lpstr>xInput_CR3Agri</vt:lpstr>
      <vt:lpstr>xInput_CR3Const</vt:lpstr>
      <vt:lpstr>xInput_CR3Manu</vt:lpstr>
      <vt:lpstr>xInput_CR3Nonbank</vt:lpstr>
      <vt:lpstr>xInput_CR3Other</vt:lpstr>
      <vt:lpstr>xInput_CR3Provis</vt:lpstr>
      <vt:lpstr>xInput_CR3Tour</vt:lpstr>
      <vt:lpstr>xInput_CR3Trade</vt:lpstr>
      <vt:lpstr>xInput_CR4_LEtoNPL</vt:lpstr>
      <vt:lpstr>xInput_CR4_Provisioning</vt:lpstr>
      <vt:lpstr>xInput_FX_ChangeRate</vt:lpstr>
      <vt:lpstr>xInput_FX_NewNPL</vt:lpstr>
      <vt:lpstr>xInput_FX_NPLProvisioning</vt:lpstr>
      <vt:lpstr>xInput_LR_AssetsAvailable</vt:lpstr>
      <vt:lpstr>xInput_LR_Domestic</vt:lpstr>
      <vt:lpstr>xInput_LR_Foreign</vt:lpstr>
      <vt:lpstr>xOutput_BalanceSheetAssets</vt:lpstr>
      <vt:lpstr>xOutput_BalanceSheetLiabilities</vt:lpstr>
      <vt:lpstr>xOutput_BalanceSheetLoans</vt:lpstr>
      <vt:lpstr>xoutput_bankdata</vt:lpstr>
      <vt:lpstr>xOutput_CR1_AssetQuality</vt:lpstr>
      <vt:lpstr>xOutput_CR1_CAR</vt:lpstr>
      <vt:lpstr>xOutput_CR1_LoanValues</vt:lpstr>
      <vt:lpstr>xOutput_CR2_AssetValues</vt:lpstr>
      <vt:lpstr>xOutput_CR2_CAR</vt:lpstr>
      <vt:lpstr>xOutput_CR3_CAR</vt:lpstr>
      <vt:lpstr>xOutput_CR3_NPL</vt:lpstr>
      <vt:lpstr>xOutput_CR3_NPLSector</vt:lpstr>
      <vt:lpstr>xOutput_CR4_AssetValues</vt:lpstr>
      <vt:lpstr>xOutput_CR4_CAR</vt:lpstr>
      <vt:lpstr>xOutput_CR4_Exposures</vt:lpstr>
      <vt:lpstr>xOutput_Description</vt:lpstr>
      <vt:lpstr>xOutput_FX_AssetValues</vt:lpstr>
      <vt:lpstr>xOutput_FX_AssetValues2</vt:lpstr>
      <vt:lpstr>xOutput_FX_CAR</vt:lpstr>
      <vt:lpstr>xOutput_FX_Loans</vt:lpstr>
      <vt:lpstr>xOutput_FX_NetPosition</vt:lpstr>
      <vt:lpstr>xOutput_LiquidutyTable2</vt:lpstr>
      <vt:lpstr>xOutput_LR_LiquidityFiveDays</vt:lpstr>
      <vt:lpstr>xOutput_MarketCap</vt:lpstr>
      <vt:lpstr>xOutput_Sector</vt:lpstr>
      <vt:lpstr>xOutput_Ticker</vt:lpstr>
    </vt:vector>
  </TitlesOfParts>
  <Company>International Monetary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Stress Testing Template</dc:title>
  <dc:subject/>
  <dc:creator>Martin Cihak</dc:creator>
  <cp:keywords>Financial Stability, Stress Testing, IMF</cp:keywords>
  <dc:description/>
  <cp:lastModifiedBy>Mark banaria</cp:lastModifiedBy>
  <cp:lastPrinted>2006-10-11T13:17:00Z</cp:lastPrinted>
  <dcterms:created xsi:type="dcterms:W3CDTF">1999-10-16T15:54:06Z</dcterms:created>
  <dcterms:modified xsi:type="dcterms:W3CDTF">2023-08-15T05:34:35Z</dcterms:modified>
</cp:coreProperties>
</file>