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450"/>
  </bookViews>
  <sheets>
    <sheet name="Hoja1" sheetId="1" r:id="rId1"/>
    <sheet name="Hoja2" sheetId="2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1" l="1"/>
  <c r="W5" i="1" s="1"/>
  <c r="AA4" i="1"/>
  <c r="O13" i="1" s="1"/>
  <c r="Z18" i="1"/>
  <c r="Z17" i="1"/>
  <c r="Z11" i="1"/>
  <c r="Z10" i="1"/>
  <c r="Q68" i="1"/>
  <c r="Q69" i="1"/>
  <c r="Q70" i="1"/>
  <c r="Q71" i="1"/>
  <c r="Q72" i="1"/>
  <c r="Q73" i="1"/>
  <c r="Q74" i="1"/>
  <c r="Q75" i="1"/>
  <c r="Q76" i="1"/>
  <c r="Q77" i="1"/>
  <c r="Q78" i="1"/>
  <c r="S5" i="1"/>
  <c r="P10" i="1" l="1"/>
  <c r="AA55" i="1"/>
  <c r="Z55" i="1"/>
  <c r="Y55" i="1"/>
  <c r="X55" i="1"/>
  <c r="W55" i="1"/>
  <c r="V55" i="1"/>
  <c r="U55" i="1"/>
  <c r="T55" i="1"/>
  <c r="S55" i="1"/>
  <c r="R55" i="1"/>
  <c r="AA54" i="1"/>
  <c r="Z54" i="1"/>
  <c r="Y54" i="1"/>
  <c r="X54" i="1"/>
  <c r="W54" i="1"/>
  <c r="V54" i="1"/>
  <c r="U54" i="1"/>
  <c r="T54" i="1"/>
  <c r="S54" i="1"/>
  <c r="R54" i="1"/>
  <c r="AA53" i="1"/>
  <c r="Z53" i="1"/>
  <c r="Y53" i="1"/>
  <c r="X53" i="1"/>
  <c r="W53" i="1"/>
  <c r="V53" i="1"/>
  <c r="U53" i="1"/>
  <c r="T53" i="1"/>
  <c r="S53" i="1"/>
  <c r="R53" i="1"/>
  <c r="AA52" i="1"/>
  <c r="Z52" i="1"/>
  <c r="Y52" i="1"/>
  <c r="X52" i="1"/>
  <c r="W52" i="1"/>
  <c r="V52" i="1"/>
  <c r="U52" i="1"/>
  <c r="T52" i="1"/>
  <c r="S52" i="1"/>
  <c r="R52" i="1"/>
  <c r="AA51" i="1"/>
  <c r="Z51" i="1"/>
  <c r="Y51" i="1"/>
  <c r="X51" i="1"/>
  <c r="W51" i="1"/>
  <c r="V51" i="1"/>
  <c r="U51" i="1"/>
  <c r="T51" i="1"/>
  <c r="S51" i="1"/>
  <c r="R51" i="1"/>
  <c r="AA50" i="1"/>
  <c r="Z50" i="1"/>
  <c r="Y50" i="1"/>
  <c r="X50" i="1"/>
  <c r="W50" i="1"/>
  <c r="V50" i="1"/>
  <c r="U50" i="1"/>
  <c r="T50" i="1"/>
  <c r="S50" i="1"/>
  <c r="R50" i="1"/>
  <c r="AA49" i="1"/>
  <c r="Z49" i="1"/>
  <c r="Y49" i="1"/>
  <c r="X49" i="1"/>
  <c r="W49" i="1"/>
  <c r="V49" i="1"/>
  <c r="U49" i="1"/>
  <c r="T49" i="1"/>
  <c r="S49" i="1"/>
  <c r="R49" i="1"/>
  <c r="AA48" i="1"/>
  <c r="Z48" i="1"/>
  <c r="Y48" i="1"/>
  <c r="X48" i="1"/>
  <c r="W48" i="1"/>
  <c r="V48" i="1"/>
  <c r="U48" i="1"/>
  <c r="T48" i="1"/>
  <c r="S48" i="1"/>
  <c r="R48" i="1"/>
  <c r="U47" i="1"/>
  <c r="T47" i="1"/>
  <c r="R47" i="1"/>
  <c r="S47" i="1"/>
  <c r="R29" i="1" l="1"/>
  <c r="R30" i="1"/>
  <c r="S30" i="1"/>
  <c r="R31" i="1"/>
  <c r="S31" i="1"/>
  <c r="AA16" i="1"/>
  <c r="Z29" i="1" s="1"/>
  <c r="U31" i="1"/>
  <c r="U30" i="1"/>
  <c r="P18" i="1"/>
  <c r="P16" i="1"/>
  <c r="Z16" i="1" s="1"/>
  <c r="Y29" i="1" s="1"/>
  <c r="P17" i="1"/>
  <c r="Y30" i="1" l="1"/>
  <c r="U29" i="1"/>
  <c r="T29" i="1"/>
  <c r="T31" i="1"/>
  <c r="S29" i="1"/>
  <c r="AA17" i="1"/>
  <c r="Z30" i="1" s="1"/>
  <c r="AA18" i="1"/>
  <c r="Z31" i="1" s="1"/>
  <c r="Y31" i="1"/>
  <c r="T30" i="1"/>
  <c r="X47" i="1"/>
  <c r="W47" i="1"/>
  <c r="AA47" i="1"/>
  <c r="Z47" i="1"/>
  <c r="Y47" i="1"/>
  <c r="V47" i="1" l="1"/>
  <c r="AA15" i="1" l="1"/>
  <c r="Z28" i="1" s="1"/>
  <c r="AA14" i="1"/>
  <c r="Z27" i="1" s="1"/>
  <c r="AA13" i="1"/>
  <c r="Z26" i="1" s="1"/>
  <c r="AA12" i="1"/>
  <c r="Z25" i="1" s="1"/>
  <c r="AA11" i="1"/>
  <c r="Z24" i="1" s="1"/>
  <c r="AA10" i="1"/>
  <c r="Z23" i="1" s="1"/>
  <c r="R23" i="1"/>
  <c r="S23" i="1"/>
  <c r="T23" i="1"/>
  <c r="U23" i="1"/>
  <c r="R24" i="1"/>
  <c r="S24" i="1"/>
  <c r="T24" i="1"/>
  <c r="U24" i="1"/>
  <c r="R25" i="1"/>
  <c r="S25" i="1"/>
  <c r="T25" i="1"/>
  <c r="U25" i="1"/>
  <c r="R26" i="1"/>
  <c r="S26" i="1"/>
  <c r="T26" i="1"/>
  <c r="U26" i="1"/>
  <c r="R27" i="1"/>
  <c r="S27" i="1"/>
  <c r="T27" i="1"/>
  <c r="U27" i="1"/>
  <c r="R28" i="1"/>
  <c r="S28" i="1"/>
  <c r="T28" i="1"/>
  <c r="U28" i="1"/>
  <c r="Z22" i="1"/>
  <c r="Y22" i="1"/>
  <c r="X22" i="1"/>
  <c r="W22" i="1"/>
  <c r="V22" i="1"/>
  <c r="U22" i="1"/>
  <c r="T22" i="1"/>
  <c r="S22" i="1"/>
  <c r="R22" i="1"/>
  <c r="AF5" i="1"/>
  <c r="AE19" i="1" s="1"/>
  <c r="P11" i="1" l="1"/>
  <c r="P12" i="1"/>
  <c r="P13" i="1"/>
  <c r="P14" i="1"/>
  <c r="P15" i="1"/>
  <c r="S6" i="1"/>
  <c r="O10" i="1" l="1"/>
  <c r="N10" i="1"/>
  <c r="N11" i="1"/>
  <c r="Z15" i="1"/>
  <c r="Y28" i="1" s="1"/>
  <c r="Z14" i="1"/>
  <c r="Y27" i="1" s="1"/>
  <c r="Z13" i="1"/>
  <c r="Y26" i="1" s="1"/>
  <c r="Z12" i="1"/>
  <c r="Y25" i="1" s="1"/>
  <c r="Y24" i="1"/>
  <c r="Y23" i="1"/>
  <c r="N16" i="1"/>
  <c r="V16" i="1" s="1"/>
  <c r="N18" i="1"/>
  <c r="N17" i="1"/>
  <c r="N15" i="1"/>
  <c r="O18" i="1"/>
  <c r="O16" i="1"/>
  <c r="O17" i="1"/>
  <c r="N14" i="1"/>
  <c r="N13" i="1"/>
  <c r="N12" i="1"/>
  <c r="O11" i="1"/>
  <c r="O15" i="1"/>
  <c r="O12" i="1"/>
  <c r="O14" i="1"/>
  <c r="X14" i="1" s="1"/>
  <c r="V17" i="1" l="1"/>
  <c r="V10" i="1"/>
  <c r="V15" i="1" l="1"/>
  <c r="AB15" i="1" s="1"/>
  <c r="AC15" i="1" s="1"/>
  <c r="AG15" i="1" s="1"/>
  <c r="X28" i="1" s="1"/>
  <c r="V18" i="1"/>
  <c r="X18" i="1"/>
  <c r="Y18" i="1" s="1"/>
  <c r="AF18" i="1" s="1"/>
  <c r="W31" i="1" s="1"/>
  <c r="X10" i="1"/>
  <c r="Y10" i="1" s="1"/>
  <c r="X16" i="1"/>
  <c r="Y16" i="1" s="1"/>
  <c r="AF16" i="1" s="1"/>
  <c r="W29" i="1" s="1"/>
  <c r="X17" i="1"/>
  <c r="Y14" i="1"/>
  <c r="AF14" i="1" s="1"/>
  <c r="W27" i="1" s="1"/>
  <c r="X15" i="1"/>
  <c r="Y15" i="1" s="1"/>
  <c r="AF15" i="1" s="1"/>
  <c r="W28" i="1" s="1"/>
  <c r="X12" i="1"/>
  <c r="Y12" i="1" s="1"/>
  <c r="AF12" i="1" s="1"/>
  <c r="W25" i="1" s="1"/>
  <c r="V13" i="1"/>
  <c r="X13" i="1"/>
  <c r="Y13" i="1" s="1"/>
  <c r="AF13" i="1" s="1"/>
  <c r="W26" i="1" s="1"/>
  <c r="V11" i="1"/>
  <c r="V12" i="1"/>
  <c r="V14" i="1"/>
  <c r="X11" i="1"/>
  <c r="Y11" i="1" s="1"/>
  <c r="AF11" i="1" s="1"/>
  <c r="W24" i="1" s="1"/>
  <c r="AF10" i="1" l="1"/>
  <c r="W23" i="1" s="1"/>
  <c r="W15" i="1"/>
  <c r="AE15" i="1" s="1"/>
  <c r="V28" i="1" s="1"/>
  <c r="W16" i="1"/>
  <c r="AE16" i="1" s="1"/>
  <c r="V29" i="1" s="1"/>
  <c r="AB16" i="1"/>
  <c r="AC16" i="1" s="1"/>
  <c r="AG16" i="1" s="1"/>
  <c r="X29" i="1" s="1"/>
  <c r="W18" i="1"/>
  <c r="AE18" i="1" s="1"/>
  <c r="V31" i="1" s="1"/>
  <c r="AB18" i="1"/>
  <c r="AC18" i="1" s="1"/>
  <c r="AG18" i="1" s="1"/>
  <c r="X31" i="1" s="1"/>
  <c r="Y17" i="1"/>
  <c r="AF17" i="1" s="1"/>
  <c r="W30" i="1" s="1"/>
  <c r="W17" i="1"/>
  <c r="AE17" i="1" s="1"/>
  <c r="V30" i="1" s="1"/>
  <c r="AB17" i="1"/>
  <c r="AC17" i="1" s="1"/>
  <c r="AG17" i="1" s="1"/>
  <c r="X30" i="1" s="1"/>
  <c r="AB11" i="1"/>
  <c r="AC11" i="1" s="1"/>
  <c r="AG11" i="1" s="1"/>
  <c r="X24" i="1" s="1"/>
  <c r="W11" i="1"/>
  <c r="AE11" i="1" s="1"/>
  <c r="V24" i="1" s="1"/>
  <c r="W13" i="1"/>
  <c r="AE13" i="1" s="1"/>
  <c r="V26" i="1" s="1"/>
  <c r="AB13" i="1"/>
  <c r="AC13" i="1" s="1"/>
  <c r="AG13" i="1" s="1"/>
  <c r="X26" i="1" s="1"/>
  <c r="AB14" i="1"/>
  <c r="AC14" i="1" s="1"/>
  <c r="AG14" i="1" s="1"/>
  <c r="X27" i="1" s="1"/>
  <c r="W14" i="1"/>
  <c r="AE14" i="1" s="1"/>
  <c r="V27" i="1" s="1"/>
  <c r="W10" i="1"/>
  <c r="AE10" i="1" s="1"/>
  <c r="V23" i="1" s="1"/>
  <c r="AB10" i="1"/>
  <c r="AC10" i="1" s="1"/>
  <c r="AG10" i="1" s="1"/>
  <c r="X23" i="1" s="1"/>
  <c r="AB12" i="1"/>
  <c r="AC12" i="1" s="1"/>
  <c r="AG12" i="1" s="1"/>
  <c r="X25" i="1" s="1"/>
  <c r="W12" i="1"/>
  <c r="AE12" i="1" s="1"/>
  <c r="V25" i="1" s="1"/>
</calcChain>
</file>

<file path=xl/sharedStrings.xml><?xml version="1.0" encoding="utf-8"?>
<sst xmlns="http://schemas.openxmlformats.org/spreadsheetml/2006/main" count="91" uniqueCount="62">
  <si>
    <t>Concr  normal</t>
  </si>
  <si>
    <t>Concr  liviano</t>
  </si>
  <si>
    <t>Barra</t>
  </si>
  <si>
    <t>Diam [mm]</t>
  </si>
  <si>
    <t xml:space="preserve">fy=420   SIN recub epox   </t>
  </si>
  <si>
    <t>ld [mm]</t>
  </si>
  <si>
    <t>recub (m)</t>
  </si>
  <si>
    <t>spacing (m)</t>
  </si>
  <si>
    <r>
      <rPr>
        <b/>
        <sz val="11"/>
        <color theme="1"/>
        <rFont val="Calibri"/>
        <family val="2"/>
      </rPr>
      <t>ψ</t>
    </r>
    <r>
      <rPr>
        <b/>
        <sz val="11"/>
        <color theme="1"/>
        <rFont val="Calibri"/>
        <family val="2"/>
        <scheme val="minor"/>
      </rPr>
      <t>s</t>
    </r>
  </si>
  <si>
    <r>
      <t>Area [mm</t>
    </r>
    <r>
      <rPr>
        <b/>
        <sz val="11"/>
        <color theme="1"/>
        <rFont val="Calibri"/>
        <family val="2"/>
      </rPr>
      <t>²</t>
    </r>
    <r>
      <rPr>
        <b/>
        <sz val="11"/>
        <color theme="1"/>
        <rFont val="Calibri"/>
        <family val="2"/>
        <scheme val="minor"/>
      </rPr>
      <t>]</t>
    </r>
  </si>
  <si>
    <t>6 db [mm]</t>
  </si>
  <si>
    <t>ldh [mm]</t>
  </si>
  <si>
    <t>w [kgf/m]</t>
  </si>
  <si>
    <t>EST confinamiento</t>
  </si>
  <si>
    <t>n barras que se desarrollan</t>
  </si>
  <si>
    <t xml:space="preserve"> </t>
  </si>
  <si>
    <t>lg 90° [mm]</t>
  </si>
  <si>
    <t>lg 180° [mm]</t>
  </si>
  <si>
    <t>lt [mm]</t>
  </si>
  <si>
    <t>ld</t>
  </si>
  <si>
    <t>ldh</t>
  </si>
  <si>
    <t>lt</t>
  </si>
  <si>
    <t>Ast req</t>
  </si>
  <si>
    <t>As colocado</t>
  </si>
  <si>
    <t>fctr reducc</t>
  </si>
  <si>
    <t>REDUCCIÓN</t>
  </si>
  <si>
    <t>Area [mm²]</t>
  </si>
  <si>
    <t>MÍNIMO</t>
  </si>
  <si>
    <t>COMERCIAL</t>
  </si>
  <si>
    <t>5 cm</t>
  </si>
  <si>
    <t>(cb + ktr)/db</t>
  </si>
  <si>
    <t>ld [m]</t>
  </si>
  <si>
    <t>ldh [m]</t>
  </si>
  <si>
    <t>lt [m]</t>
  </si>
  <si>
    <t>lg 90° [m]</t>
  </si>
  <si>
    <t>lg 180° [m]</t>
  </si>
  <si>
    <t>recub = 5</t>
  </si>
  <si>
    <t>recub = 7.5</t>
  </si>
  <si>
    <t>ψs</t>
  </si>
  <si>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</si>
  <si>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</si>
  <si>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</si>
  <si>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</si>
  <si>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</si>
  <si>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</si>
  <si>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</si>
  <si>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</si>
  <si>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</si>
  <si>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Designación</t>
  </si>
  <si>
    <t>Área [mm²]</t>
  </si>
  <si>
    <t>Masa [kg/m]</t>
  </si>
  <si>
    <t>10M</t>
  </si>
  <si>
    <t>12M</t>
  </si>
  <si>
    <t>16M</t>
  </si>
  <si>
    <t>18M</t>
  </si>
  <si>
    <t>20M</t>
  </si>
  <si>
    <t>22M</t>
  </si>
  <si>
    <t>25M</t>
  </si>
  <si>
    <t>28M</t>
  </si>
  <si>
    <t>30M</t>
  </si>
  <si>
    <t>32M</t>
  </si>
  <si>
    <t>36M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</si>
</sst>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fy= &quot;0"/>
    <numFmt numFmtId="165" formatCode="&quot;f'c= &quot;0"/>
    <numFmt numFmtId="166" formatCode="&quot;No.&quot;0"/>
    <numFmt numFmtId="167" formatCode="0.0"/>
    <numFmt numFmtId="168" formatCode="0.000"/>
    <numFmt numFmtId="169" formatCode="&quot;ψc =&quot;\ 0.000"/>
    <numFmt numFmtId="170" formatCode="&quot;ψo =&quot;\ 0.000"/>
    <numFmt numFmtId="171" formatCode="&quot;ψr =&quot;\ 0.00"/>
    <numFmt numFmtId="172" formatCode="0.00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FCFC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</cellStyleXfs>
  <cellXfs count="117">
    <xf numFmtId="0" fontId="0" fillId="0" borderId="0" xfId="0"/>
    <xf numFmtId="164" fontId="1" fillId="2" borderId="1" xfId="1" applyNumberFormat="1"/>
    <xf numFmtId="165" fontId="1" fillId="2" borderId="1" xfId="1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3" fillId="2" borderId="1" xfId="1" applyFont="1"/>
    <xf numFmtId="0" fontId="1" fillId="2" borderId="1" xfId="1"/>
    <xf numFmtId="169" fontId="0" fillId="0" borderId="0" xfId="0" applyNumberFormat="1"/>
    <xf numFmtId="170" fontId="0" fillId="0" borderId="0" xfId="0" applyNumberFormat="1"/>
    <xf numFmtId="168" fontId="1" fillId="2" borderId="1" xfId="1" applyNumberFormat="1"/>
    <xf numFmtId="171" fontId="0" fillId="0" borderId="0" xfId="0" applyNumberFormat="1"/>
    <xf numFmtId="0" fontId="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2" xfId="1" applyBorder="1"/>
    <xf numFmtId="166" fontId="1" fillId="2" borderId="4" xfId="1" applyNumberFormat="1" applyBorder="1"/>
    <xf numFmtId="0" fontId="4" fillId="3" borderId="3" xfId="2" applyBorder="1"/>
    <xf numFmtId="2" fontId="4" fillId="3" borderId="5" xfId="2" applyNumberFormat="1" applyBorder="1"/>
    <xf numFmtId="0" fontId="0" fillId="0" borderId="6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4" fillId="3" borderId="1" xfId="2"/>
    <xf numFmtId="0" fontId="5" fillId="0" borderId="31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4" borderId="27" xfId="0" applyNumberFormat="1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4" borderId="0" xfId="0" applyFill="1"/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166" fontId="0" fillId="4" borderId="18" xfId="0" applyNumberFormat="1" applyFill="1" applyBorder="1" applyAlignment="1">
      <alignment horizontal="center" vertical="center"/>
    </xf>
    <xf numFmtId="2" fontId="0" fillId="4" borderId="13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166" fontId="0" fillId="4" borderId="9" xfId="0" applyNumberFormat="1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/>
    <xf numFmtId="0" fontId="5" fillId="5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166" fontId="0" fillId="5" borderId="18" xfId="0" applyNumberForma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6" fontId="0" fillId="5" borderId="7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" fillId="2" borderId="1" xfId="1" applyAlignment="1">
      <alignment horizontal="center"/>
    </xf>
    <xf numFmtId="2" fontId="0" fillId="4" borderId="14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18" xfId="0" applyNumberFormat="1" applyBorder="1" applyAlignment="1">
      <alignment horizontal="left" indent="2"/>
    </xf>
    <xf numFmtId="166" fontId="0" fillId="0" borderId="7" xfId="0" applyNumberFormat="1" applyBorder="1" applyAlignment="1">
      <alignment horizontal="left" indent="2"/>
    </xf>
    <xf numFmtId="166" fontId="0" fillId="0" borderId="9" xfId="0" applyNumberFormat="1" applyBorder="1" applyAlignment="1">
      <alignment horizontal="left" indent="2"/>
    </xf>
    <xf numFmtId="172" fontId="0" fillId="0" borderId="0" xfId="0" applyNumberFormat="1" applyAlignment="1">
      <alignment horizontal="center"/>
    </xf>
    <xf numFmtId="168" fontId="0" fillId="0" borderId="0" xfId="0" applyNumberFormat="1"/>
    <xf numFmtId="168" fontId="0" fillId="0" borderId="8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7" fontId="0" fillId="4" borderId="13" xfId="0" applyNumberFormat="1" applyFill="1" applyBorder="1" applyAlignment="1">
      <alignment horizontal="center" vertical="center"/>
    </xf>
    <xf numFmtId="167" fontId="0" fillId="4" borderId="6" xfId="0" applyNumberFormat="1" applyFill="1" applyBorder="1" applyAlignment="1">
      <alignment horizontal="center" vertical="center"/>
    </xf>
    <xf numFmtId="167" fontId="0" fillId="4" borderId="10" xfId="0" applyNumberFormat="1" applyFill="1" applyBorder="1" applyAlignment="1">
      <alignment horizontal="center" vertical="center"/>
    </xf>
    <xf numFmtId="1" fontId="0" fillId="0" borderId="32" xfId="0" applyNumberFormat="1" applyFill="1" applyBorder="1" applyAlignment="1">
      <alignment horizontal="center"/>
    </xf>
  </cellXfs>
  <cellStyles count="3">
    <cellStyle name="Calculation" xfId="2"/>
    <cellStyle name="Entrada" xfId="1" builtinId="20"/>
    <cellStyle name="Normal" xfId="0" builtinId="0"/>
  </cellStyles>
  <dxfs count="0"/>
  <tableStyles count="0" defaultTableStyle="TableStyleMedium2" defaultPivotStyle="PivotStyleLight16"/>
  <colors>
    <mruColors>
      <color rgb="FFFCFCFC"/>
      <color rgb="FFFDFDFD"/>
      <color rgb="FFFEFEFE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336177</xdr:colOff>
      <xdr:row>69</xdr:row>
      <xdr:rowOff>168087</xdr:rowOff>
    </xdr:from>
    <xdr:to>
      <xdr:col>6</xdr:col>
      <xdr:colOff>752718</xdr:colOff>
      <xdr:row>87</xdr:row>
      <xdr:rowOff>25887</xdr:rowOff>
    </xdr:to>
    <xdr:pic>
      <xdr:nvPicPr>
        <xdr:cNvPr id="22" name="2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177" y="13166911"/>
          <a:ext cx="5055776" cy="3286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212913</xdr:colOff>
      <xdr:row>51</xdr:row>
      <xdr:rowOff>56030</xdr:rowOff>
    </xdr:from>
    <xdr:to>
      <xdr:col>8</xdr:col>
      <xdr:colOff>285477</xdr:colOff>
      <xdr:row>68</xdr:row>
      <xdr:rowOff>147124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913" y="9614648"/>
          <a:ext cx="6258211" cy="3340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526675</xdr:colOff>
      <xdr:row>27</xdr:row>
      <xdr:rowOff>78439</xdr:rowOff>
    </xdr:from>
    <xdr:to>
      <xdr:col>4</xdr:col>
      <xdr:colOff>643297</xdr:colOff>
      <xdr:row>49</xdr:row>
      <xdr:rowOff>164697</xdr:rowOff>
    </xdr:to>
    <xdr:pic>
      <xdr:nvPicPr>
        <xdr:cNvPr id="20" name="19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675" y="5177115"/>
          <a:ext cx="3209446" cy="41652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560294</xdr:colOff>
      <xdr:row>1</xdr:row>
      <xdr:rowOff>112058</xdr:rowOff>
    </xdr:from>
    <xdr:to>
      <xdr:col>4</xdr:col>
      <xdr:colOff>673822</xdr:colOff>
      <xdr:row>25</xdr:row>
      <xdr:rowOff>26064</xdr:rowOff>
    </xdr:to>
    <xdr:pic>
      <xdr:nvPicPr>
        <xdr:cNvPr id="19" name="18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0294" y="291352"/>
          <a:ext cx="3206352" cy="4474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1</xdr:colOff>
      <xdr:row>2</xdr:row>
      <xdr:rowOff>130966</xdr:rowOff>
    </xdr:from>
    <xdr:to>
      <xdr:col>5</xdr:col>
      <xdr:colOff>552247</xdr:colOff>
      <xdr:row>26</xdr:row>
      <xdr:rowOff>55777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3907" y="500060"/>
          <a:ext cx="3647871" cy="4472998"/>
        </a:xfrm>
        <a:prstGeom prst="rect">
          <a:avLst/>
        </a:prstGeom>
      </xdr:spPr>
    </xdr:pic>
    <xdr:clientData/>
  </xdr:twoCellAnchor>
  <xdr:twoCellAnchor editAs="oneCell">
    <xdr:from>
      <xdr:col>0</xdr:col>
      <xdr:colOff>707571</xdr:colOff>
      <xdr:row>28</xdr:row>
      <xdr:rowOff>136070</xdr:rowOff>
    </xdr:from>
    <xdr:to>
      <xdr:col>5</xdr:col>
      <xdr:colOff>517071</xdr:colOff>
      <xdr:row>51</xdr:row>
      <xdr:rowOff>18847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07571" y="5470070"/>
          <a:ext cx="3619500" cy="4321427"/>
        </a:xfrm>
        <a:prstGeom prst="rect">
          <a:avLst/>
        </a:prstGeom>
      </xdr:spPr>
    </xdr:pic>
    <xdr:clientData/>
  </xdr:twoCellAnchor>
  <xdr:twoCellAnchor editAs="oneCell">
    <xdr:from>
      <xdr:col>0</xdr:col>
      <xdr:colOff>560615</xdr:colOff>
      <xdr:row>52</xdr:row>
      <xdr:rowOff>21771</xdr:rowOff>
    </xdr:from>
    <xdr:to>
      <xdr:col>8</xdr:col>
      <xdr:colOff>636233</xdr:colOff>
      <xdr:row>69</xdr:row>
      <xdr:rowOff>114299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615" y="9770889"/>
          <a:ext cx="6261265" cy="3342234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1</xdr:row>
      <xdr:rowOff>122464</xdr:rowOff>
    </xdr:from>
    <xdr:to>
      <xdr:col>11</xdr:col>
      <xdr:colOff>190500</xdr:colOff>
      <xdr:row>12</xdr:row>
      <xdr:rowOff>11592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06664" y="306395"/>
          <a:ext cx="3938095" cy="1993496"/>
        </a:xfrm>
        <a:prstGeom prst="rect">
          <a:avLst/>
        </a:prstGeom>
      </xdr:spPr>
    </xdr:pic>
    <xdr:clientData/>
  </xdr:twoCellAnchor>
  <xdr:twoCellAnchor editAs="oneCell">
    <xdr:from>
      <xdr:col>5</xdr:col>
      <xdr:colOff>748393</xdr:colOff>
      <xdr:row>29</xdr:row>
      <xdr:rowOff>13607</xdr:rowOff>
    </xdr:from>
    <xdr:to>
      <xdr:col>10</xdr:col>
      <xdr:colOff>751795</xdr:colOff>
      <xdr:row>38</xdr:row>
      <xdr:rowOff>80282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58393" y="5538107"/>
          <a:ext cx="3813402" cy="1809750"/>
        </a:xfrm>
        <a:prstGeom prst="rect">
          <a:avLst/>
        </a:prstGeom>
      </xdr:spPr>
    </xdr:pic>
    <xdr:clientData/>
  </xdr:twoCellAnchor>
  <xdr:twoCellAnchor>
    <xdr:from>
      <xdr:col>2</xdr:col>
      <xdr:colOff>38100</xdr:colOff>
      <xdr:row>20</xdr:row>
      <xdr:rowOff>47625</xdr:rowOff>
    </xdr:from>
    <xdr:to>
      <xdr:col>5</xdr:col>
      <xdr:colOff>533400</xdr:colOff>
      <xdr:row>22</xdr:row>
      <xdr:rowOff>123825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585913" y="3857625"/>
          <a:ext cx="2817018" cy="469106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9</xdr:row>
      <xdr:rowOff>64292</xdr:rowOff>
    </xdr:from>
    <xdr:to>
      <xdr:col>5</xdr:col>
      <xdr:colOff>533400</xdr:colOff>
      <xdr:row>10</xdr:row>
      <xdr:rowOff>95248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1585913" y="1766886"/>
          <a:ext cx="2817018" cy="221456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8</xdr:row>
      <xdr:rowOff>7141</xdr:rowOff>
    </xdr:from>
    <xdr:to>
      <xdr:col>5</xdr:col>
      <xdr:colOff>533400</xdr:colOff>
      <xdr:row>9</xdr:row>
      <xdr:rowOff>35717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1585913" y="1507329"/>
          <a:ext cx="2817018" cy="230982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18</xdr:row>
      <xdr:rowOff>133350</xdr:rowOff>
    </xdr:from>
    <xdr:to>
      <xdr:col>5</xdr:col>
      <xdr:colOff>533400</xdr:colOff>
      <xdr:row>20</xdr:row>
      <xdr:rowOff>38100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1562100" y="3562350"/>
          <a:ext cx="2781300" cy="285750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22</xdr:row>
      <xdr:rowOff>123826</xdr:rowOff>
    </xdr:from>
    <xdr:to>
      <xdr:col>5</xdr:col>
      <xdr:colOff>533400</xdr:colOff>
      <xdr:row>23</xdr:row>
      <xdr:rowOff>161926</xdr:rowOff>
    </xdr:to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1562100" y="4381501"/>
          <a:ext cx="2781300" cy="228600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46</xdr:row>
      <xdr:rowOff>76200</xdr:rowOff>
    </xdr:from>
    <xdr:to>
      <xdr:col>5</xdr:col>
      <xdr:colOff>514350</xdr:colOff>
      <xdr:row>49</xdr:row>
      <xdr:rowOff>123824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1590675" y="8839200"/>
          <a:ext cx="2733675" cy="619124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41</xdr:row>
      <xdr:rowOff>28575</xdr:rowOff>
    </xdr:from>
    <xdr:to>
      <xdr:col>5</xdr:col>
      <xdr:colOff>514350</xdr:colOff>
      <xdr:row>46</xdr:row>
      <xdr:rowOff>66674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590675" y="7839075"/>
          <a:ext cx="2733675" cy="990599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38</xdr:row>
      <xdr:rowOff>130629</xdr:rowOff>
    </xdr:from>
    <xdr:to>
      <xdr:col>5</xdr:col>
      <xdr:colOff>514350</xdr:colOff>
      <xdr:row>41</xdr:row>
      <xdr:rowOff>38102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612446" y="7260772"/>
          <a:ext cx="2766333" cy="446316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37</xdr:row>
      <xdr:rowOff>28575</xdr:rowOff>
    </xdr:from>
    <xdr:to>
      <xdr:col>5</xdr:col>
      <xdr:colOff>514350</xdr:colOff>
      <xdr:row>38</xdr:row>
      <xdr:rowOff>104774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590675" y="7077075"/>
          <a:ext cx="2733675" cy="266699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33</xdr:row>
      <xdr:rowOff>161925</xdr:rowOff>
    </xdr:from>
    <xdr:to>
      <xdr:col>5</xdr:col>
      <xdr:colOff>514350</xdr:colOff>
      <xdr:row>35</xdr:row>
      <xdr:rowOff>0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1590675" y="6448425"/>
          <a:ext cx="2733675" cy="219075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6</xdr:col>
      <xdr:colOff>180975</xdr:colOff>
      <xdr:row>13</xdr:row>
      <xdr:rowOff>1</xdr:rowOff>
    </xdr:from>
    <xdr:to>
      <xdr:col>10</xdr:col>
      <xdr:colOff>756194</xdr:colOff>
      <xdr:row>19</xdr:row>
      <xdr:rowOff>85725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820210" y="2420472"/>
          <a:ext cx="3668043" cy="1231525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71</xdr:row>
      <xdr:rowOff>0</xdr:rowOff>
    </xdr:from>
    <xdr:to>
      <xdr:col>7</xdr:col>
      <xdr:colOff>391207</xdr:colOff>
      <xdr:row>88</xdr:row>
      <xdr:rowOff>48084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8200" y="13573125"/>
          <a:ext cx="4887007" cy="3286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L1:AG78"/>
  <sheetViews>
    <sheetView showGridLines="0" tabSelected="1" topLeftCell="T1" zoomScale="85" zoomScaleNormal="85" workbookViewId="0">
      <selection activeCell="Z7" sqref="Z7"/>
    </sheetView>
  </sheetViews>
  <sheetFormatPr baseColWidth="10" defaultColWidth="11.5703125" defaultRowHeight="15" x14ac:dyDescent="0.25"/>
  <cols>
    <col min="17" max="17" width="12.7109375" customWidth="1"/>
    <col min="18" max="19" width="10.7109375" customWidth="1"/>
    <col min="20" max="20" width="11.5703125" customWidth="1"/>
    <col min="21" max="30" width="10.7109375" customWidth="1"/>
    <col min="31" max="31" width="13.5703125" customWidth="1"/>
    <col min="32" max="33" width="10.7109375" customWidth="1"/>
  </cols>
  <sheetData>
    <row r="1" spans="12:33" ht="14.45" x14ac:dyDescent="0.3">
      <c r="R1" s="99" t="s">
        <v>14</v>
      </c>
      <c r="U1">
        <v>420</v>
      </c>
    </row>
    <row r="2" spans="12:33" thickBot="1" x14ac:dyDescent="0.35">
      <c r="R2" s="10">
        <v>1</v>
      </c>
      <c r="T2" s="5" t="s">
        <v>0</v>
      </c>
      <c r="U2">
        <v>550</v>
      </c>
      <c r="AC2" t="s">
        <v>15</v>
      </c>
    </row>
    <row r="3" spans="12:33" x14ac:dyDescent="0.25">
      <c r="N3" s="98"/>
      <c r="T3" s="5" t="s">
        <v>1</v>
      </c>
      <c r="U3">
        <v>690</v>
      </c>
      <c r="W3" s="7" t="s">
        <v>6</v>
      </c>
      <c r="X3" s="7" t="s">
        <v>7</v>
      </c>
      <c r="Z3" s="14" t="s">
        <v>13</v>
      </c>
      <c r="AA3" s="16" t="s">
        <v>26</v>
      </c>
      <c r="AC3" s="4">
        <v>3</v>
      </c>
      <c r="AE3" s="7" t="s">
        <v>22</v>
      </c>
      <c r="AF3" s="7"/>
    </row>
    <row r="4" spans="12:33" thickBot="1" x14ac:dyDescent="0.35">
      <c r="S4" s="2">
        <v>21</v>
      </c>
      <c r="T4" s="6" t="s">
        <v>0</v>
      </c>
      <c r="U4" s="1">
        <v>420</v>
      </c>
      <c r="W4" s="10">
        <f>7.5/100</f>
        <v>7.4999999999999997E-2</v>
      </c>
      <c r="X4" s="10">
        <v>0.1</v>
      </c>
      <c r="Z4" s="15">
        <v>5</v>
      </c>
      <c r="AA4" s="17">
        <f>IFERROR(VLOOKUP(Z4,R10:T15,3,FALSE), "")</f>
        <v>199</v>
      </c>
      <c r="AC4" s="4">
        <v>4</v>
      </c>
      <c r="AE4" s="7" t="s">
        <v>23</v>
      </c>
      <c r="AF4" s="7"/>
    </row>
    <row r="5" spans="12:33" ht="14.45" x14ac:dyDescent="0.3">
      <c r="S5">
        <f>MIN(SQRT(S4), 8.3)</f>
        <v>4.5825756949558398</v>
      </c>
      <c r="W5" s="9">
        <f>+IF(W4&lt;0.06, 1.25, 1)</f>
        <v>1</v>
      </c>
      <c r="X5" s="9"/>
      <c r="AC5" s="4">
        <v>5</v>
      </c>
      <c r="AE5" s="29" t="s">
        <v>24</v>
      </c>
      <c r="AF5" s="29" t="e">
        <f>+AF4/AF3</f>
        <v>#DIV/0!</v>
      </c>
    </row>
    <row r="6" spans="12:33" ht="14.45" x14ac:dyDescent="0.3">
      <c r="S6" s="8">
        <f>IF(S4&gt;42,
1,
S4/105 + 0.6 )</f>
        <v>0.8</v>
      </c>
    </row>
    <row r="8" spans="12:33" ht="15.75" thickBot="1" x14ac:dyDescent="0.3">
      <c r="Q8" t="s">
        <v>4</v>
      </c>
      <c r="AE8" t="s">
        <v>25</v>
      </c>
    </row>
    <row r="9" spans="12:33" ht="15.75" thickBot="1" x14ac:dyDescent="0.3">
      <c r="M9" s="12"/>
      <c r="N9" s="12" t="s">
        <v>30</v>
      </c>
      <c r="O9" s="11">
        <v>1.6</v>
      </c>
      <c r="P9" s="12" t="s">
        <v>10</v>
      </c>
      <c r="Q9" s="12" t="s">
        <v>8</v>
      </c>
      <c r="R9" s="21" t="s">
        <v>2</v>
      </c>
      <c r="S9" s="22" t="s">
        <v>3</v>
      </c>
      <c r="T9" s="22" t="s">
        <v>9</v>
      </c>
      <c r="U9" s="26" t="s">
        <v>12</v>
      </c>
      <c r="V9" s="27" t="s">
        <v>19</v>
      </c>
      <c r="W9" s="23" t="s">
        <v>5</v>
      </c>
      <c r="X9" s="27" t="s">
        <v>20</v>
      </c>
      <c r="Y9" s="23" t="s">
        <v>11</v>
      </c>
      <c r="Z9" s="28" t="s">
        <v>16</v>
      </c>
      <c r="AA9" s="26" t="s">
        <v>17</v>
      </c>
      <c r="AB9" s="27" t="s">
        <v>21</v>
      </c>
      <c r="AC9" s="23" t="s">
        <v>18</v>
      </c>
      <c r="AE9" s="30" t="s">
        <v>5</v>
      </c>
      <c r="AF9" s="30" t="s">
        <v>11</v>
      </c>
      <c r="AG9" s="30" t="s">
        <v>18</v>
      </c>
    </row>
    <row r="10" spans="12:33" x14ac:dyDescent="0.25">
      <c r="L10" s="110"/>
      <c r="M10" s="109"/>
      <c r="N10" s="13">
        <f>IFERROR(
MIN(
(   MIN($X$4/2, $W$4)*1000  +  40 * 2 * $AA$4 /($X$4*1000*$R$2)   ) /(S10),
2.5     ),
2)</f>
        <v>2.5</v>
      </c>
      <c r="O10" s="13">
        <f>IFERROR(
IF(
OR($X$4*1000 &gt; P10,     2 * $AA$4  &gt;  0.4 * $R$2  *  T10),
 1, 1.6),
1.6)</f>
        <v>1</v>
      </c>
      <c r="P10" s="3">
        <f>6*S10</f>
        <v>57</v>
      </c>
      <c r="Q10" s="3">
        <v>0.8</v>
      </c>
      <c r="R10" s="106">
        <v>3</v>
      </c>
      <c r="S10" s="24">
        <v>9.5</v>
      </c>
      <c r="T10" s="25">
        <v>71</v>
      </c>
      <c r="U10" s="104">
        <v>0.56000000000000005</v>
      </c>
      <c r="V10" s="55">
        <f>+$U$4/(1.1*$S$5) * (1*Q10*1.3)/N10*S10</f>
        <v>329.27889357209961</v>
      </c>
      <c r="W10" s="56">
        <f>MAX(
+V10,
300)</f>
        <v>329.27889357209961</v>
      </c>
      <c r="X10" s="55">
        <f>($U$4/(23*$S$5)*1*O10*$W$5*$S$6*S10^1.5)</f>
        <v>93.344170763368808</v>
      </c>
      <c r="Y10" s="56">
        <f>MAX(
+X10,
8*S10,
150)</f>
        <v>150</v>
      </c>
      <c r="Z10" s="47">
        <f>ROUNDUP(12*S10+   P10/6 *3,0)</f>
        <v>143</v>
      </c>
      <c r="AA10" s="48">
        <f>ROUNDUP(
MAX(
4*S10,
65),0)</f>
        <v>65</v>
      </c>
      <c r="AB10" s="55">
        <f>1.3 * V10</f>
        <v>428.06256164372951</v>
      </c>
      <c r="AC10" s="56">
        <f xml:space="preserve"> MAX( AB10, 300)</f>
        <v>428.06256164372951</v>
      </c>
      <c r="AE10" s="63">
        <f>ROUNDUP(IFERROR(
MAX(
+V10/$AF$5,
300), W10),0)</f>
        <v>330</v>
      </c>
      <c r="AF10" s="64">
        <f>ROUNDUP(IFERROR(
MAX(
+X10/$AF$5,
8*S10,
150), Y10), 0)</f>
        <v>150</v>
      </c>
      <c r="AG10" s="46">
        <f>ROUNDUP(IFERROR(
MAX( AB10/$AF$5,
 300), AC10), 0)</f>
        <v>429</v>
      </c>
    </row>
    <row r="11" spans="12:33" x14ac:dyDescent="0.25">
      <c r="M11" s="109"/>
      <c r="N11" s="13">
        <f>IFERROR(
MIN(
(   MIN($X$4/2, $W$4)*1000  +  40 * 2 * $AA$4 /($X$4*1000*$R$2)   ) /(S11),
2.5     ),
2)</f>
        <v>2.5</v>
      </c>
      <c r="O11" s="13">
        <f t="shared" ref="O11:O15" si="0">IFERROR(
IF(
OR($X$4*1000 &gt; P11,     2 * $AA$4  &gt;  0.4 * $R$2  *  T11),
 1, 1.6),
1.6)</f>
        <v>1</v>
      </c>
      <c r="P11" s="3">
        <f t="shared" ref="P11:P15" si="1">6*S11</f>
        <v>76.199999999999989</v>
      </c>
      <c r="Q11" s="3">
        <v>0.8</v>
      </c>
      <c r="R11" s="107">
        <v>4</v>
      </c>
      <c r="S11" s="18">
        <v>12.7</v>
      </c>
      <c r="T11" s="19">
        <v>129</v>
      </c>
      <c r="U11" s="105">
        <v>0.99399999999999999</v>
      </c>
      <c r="V11" s="57">
        <f t="shared" ref="V11:V14" si="2">+$U$4/(1.1*$S$5) * (1*Q11*1.3)/N11*S11</f>
        <v>440.19388930164888</v>
      </c>
      <c r="W11" s="58">
        <f t="shared" ref="W11:W15" si="3">MAX(
+V11,
300)</f>
        <v>440.19388930164888</v>
      </c>
      <c r="X11" s="57">
        <f t="shared" ref="X11:X14" si="4">($U$4/(23*$S$5)*1*O11*$W$5*$S$6*S11^1.5)</f>
        <v>144.28041254527383</v>
      </c>
      <c r="Y11" s="59">
        <f t="shared" ref="Y11:Y15" si="5">MAX(
+X11,
8*S11,
150)</f>
        <v>150</v>
      </c>
      <c r="Z11" s="50">
        <f>ROUNDUP(12*S11+   P11/6 *3,0)</f>
        <v>191</v>
      </c>
      <c r="AA11" s="51">
        <f t="shared" ref="AA11:AA15" si="6">ROUNDUP(
MAX(
4*S11,
65),0)</f>
        <v>65</v>
      </c>
      <c r="AB11" s="57">
        <f t="shared" ref="AB11:AB15" si="7">1.3 * V11</f>
        <v>572.25205609214356</v>
      </c>
      <c r="AC11" s="59">
        <f t="shared" ref="AC11:AC15" si="8" xml:space="preserve"> MAX( AB11, 300)</f>
        <v>572.25205609214356</v>
      </c>
      <c r="AE11" s="65">
        <f t="shared" ref="AE11:AE15" si="9">ROUNDUP(IFERROR(
MAX(
+V11/$AF$5,
300), W11),0)</f>
        <v>441</v>
      </c>
      <c r="AF11" s="66">
        <f t="shared" ref="AF11:AF15" si="10">ROUNDUP(IFERROR(
MAX(
+X11/$AF$5,
8*S11,
150), Y11), 0)</f>
        <v>150</v>
      </c>
      <c r="AG11" s="49">
        <f t="shared" ref="AG11:AG15" si="11">ROUNDUP(IFERROR(
MAX( AB11/$AF$5,
 300), AC11), 0)</f>
        <v>573</v>
      </c>
    </row>
    <row r="12" spans="12:33" x14ac:dyDescent="0.25">
      <c r="M12" s="109"/>
      <c r="N12" s="13">
        <f t="shared" ref="N12:N14" si="12">IFERROR(
MIN(
(   MIN($X$4/2, $W$4)*1000  +  40 * 2 * $AA$4 /($X$4*1000*$R$2)   ) /(S12),
2.5     ),
2)</f>
        <v>2.5</v>
      </c>
      <c r="O12" s="13">
        <f t="shared" si="0"/>
        <v>1</v>
      </c>
      <c r="P12" s="3">
        <f t="shared" si="1"/>
        <v>95.4</v>
      </c>
      <c r="Q12" s="3">
        <v>0.8</v>
      </c>
      <c r="R12" s="107">
        <v>5</v>
      </c>
      <c r="S12" s="18">
        <v>15.9</v>
      </c>
      <c r="T12" s="19">
        <v>199</v>
      </c>
      <c r="U12" s="105">
        <v>1.552</v>
      </c>
      <c r="V12" s="57">
        <f t="shared" si="2"/>
        <v>551.10888503119827</v>
      </c>
      <c r="W12" s="58">
        <f>MAX(
+V12,
300)</f>
        <v>551.10888503119827</v>
      </c>
      <c r="X12" s="57">
        <f t="shared" si="4"/>
        <v>202.11450414650957</v>
      </c>
      <c r="Y12" s="59">
        <f t="shared" si="5"/>
        <v>202.11450414650957</v>
      </c>
      <c r="Z12" s="50">
        <f t="shared" ref="Z11:Z15" si="13">ROUNDUP(12*S12+   P12/6 *3,0)</f>
        <v>239</v>
      </c>
      <c r="AA12" s="51">
        <f t="shared" si="6"/>
        <v>65</v>
      </c>
      <c r="AB12" s="57">
        <f t="shared" si="7"/>
        <v>716.44155054055773</v>
      </c>
      <c r="AC12" s="59">
        <f t="shared" si="8"/>
        <v>716.44155054055773</v>
      </c>
      <c r="AE12" s="65">
        <f t="shared" si="9"/>
        <v>552</v>
      </c>
      <c r="AF12" s="66">
        <f t="shared" si="10"/>
        <v>203</v>
      </c>
      <c r="AG12" s="49">
        <f t="shared" si="11"/>
        <v>717</v>
      </c>
    </row>
    <row r="13" spans="12:33" x14ac:dyDescent="0.25">
      <c r="M13" s="109"/>
      <c r="N13" s="13">
        <f t="shared" si="12"/>
        <v>2.5</v>
      </c>
      <c r="O13" s="13">
        <f>IFERROR(
IF(
OR($X$4*1000 &gt; P13,     2 * $AA$4  &gt;  0.4 * $R$2  *  T13),
 1, 1.6),
1.6)</f>
        <v>1</v>
      </c>
      <c r="P13" s="3">
        <f t="shared" si="1"/>
        <v>114.60000000000001</v>
      </c>
      <c r="Q13" s="3">
        <v>0.8</v>
      </c>
      <c r="R13" s="107">
        <v>6</v>
      </c>
      <c r="S13" s="18">
        <v>19.100000000000001</v>
      </c>
      <c r="T13" s="19">
        <v>284</v>
      </c>
      <c r="U13" s="105">
        <v>2.2349999999999999</v>
      </c>
      <c r="V13" s="57">
        <f t="shared" si="2"/>
        <v>662.0238807607476</v>
      </c>
      <c r="W13" s="58">
        <f t="shared" si="3"/>
        <v>662.0238807607476</v>
      </c>
      <c r="X13" s="57">
        <f t="shared" si="4"/>
        <v>266.10427087742522</v>
      </c>
      <c r="Y13" s="59">
        <f t="shared" si="5"/>
        <v>266.10427087742522</v>
      </c>
      <c r="Z13" s="50">
        <f t="shared" si="13"/>
        <v>287</v>
      </c>
      <c r="AA13" s="51">
        <f t="shared" si="6"/>
        <v>77</v>
      </c>
      <c r="AB13" s="57">
        <f t="shared" si="7"/>
        <v>860.63104498897189</v>
      </c>
      <c r="AC13" s="59">
        <f t="shared" si="8"/>
        <v>860.63104498897189</v>
      </c>
      <c r="AE13" s="65">
        <f t="shared" si="9"/>
        <v>663</v>
      </c>
      <c r="AF13" s="66">
        <f t="shared" si="10"/>
        <v>267</v>
      </c>
      <c r="AG13" s="49">
        <f t="shared" si="11"/>
        <v>861</v>
      </c>
    </row>
    <row r="14" spans="12:33" x14ac:dyDescent="0.25">
      <c r="M14" s="109"/>
      <c r="N14" s="13">
        <f t="shared" si="12"/>
        <v>2.5</v>
      </c>
      <c r="O14" s="13">
        <f t="shared" si="0"/>
        <v>1</v>
      </c>
      <c r="P14" s="3">
        <f t="shared" si="1"/>
        <v>133.19999999999999</v>
      </c>
      <c r="Q14" s="3">
        <v>1</v>
      </c>
      <c r="R14" s="107">
        <v>7</v>
      </c>
      <c r="S14" s="18">
        <v>22.2</v>
      </c>
      <c r="T14" s="19">
        <v>387</v>
      </c>
      <c r="U14" s="105">
        <v>3.0419999999999998</v>
      </c>
      <c r="V14" s="57">
        <f t="shared" si="2"/>
        <v>961.84097859218559</v>
      </c>
      <c r="W14" s="58">
        <f t="shared" si="3"/>
        <v>961.84097859218559</v>
      </c>
      <c r="X14" s="57">
        <f>($U$4/(23*$S$5)*1*O14*$W$5*$S$6*S14^1.5)</f>
        <v>333.45040994747626</v>
      </c>
      <c r="Y14" s="59">
        <f t="shared" si="5"/>
        <v>333.45040994747626</v>
      </c>
      <c r="Z14" s="50">
        <f t="shared" si="13"/>
        <v>333</v>
      </c>
      <c r="AA14" s="51">
        <f t="shared" si="6"/>
        <v>89</v>
      </c>
      <c r="AB14" s="57">
        <f t="shared" si="7"/>
        <v>1250.3932721698413</v>
      </c>
      <c r="AC14" s="59">
        <f t="shared" si="8"/>
        <v>1250.3932721698413</v>
      </c>
      <c r="AE14" s="65">
        <f t="shared" si="9"/>
        <v>962</v>
      </c>
      <c r="AF14" s="66">
        <f t="shared" si="10"/>
        <v>334</v>
      </c>
      <c r="AG14" s="49">
        <f t="shared" si="11"/>
        <v>1251</v>
      </c>
    </row>
    <row r="15" spans="12:33" x14ac:dyDescent="0.25">
      <c r="M15" s="109"/>
      <c r="N15" s="13">
        <f>IFERROR(
MIN(
(   MIN($X$4/2, $W$4)*1000  +  40 * 2 * $AA$4 /($X$4*1000*$R$2)   ) /(S15),
2.5     ),
2)</f>
        <v>2.5</v>
      </c>
      <c r="O15" s="13">
        <f t="shared" si="0"/>
        <v>1</v>
      </c>
      <c r="P15" s="3">
        <f t="shared" si="1"/>
        <v>152.39999999999998</v>
      </c>
      <c r="Q15" s="3">
        <v>1</v>
      </c>
      <c r="R15" s="107">
        <v>8</v>
      </c>
      <c r="S15" s="18">
        <v>25.4</v>
      </c>
      <c r="T15" s="19">
        <v>510</v>
      </c>
      <c r="U15" s="105">
        <v>3.9729999999999999</v>
      </c>
      <c r="V15" s="57">
        <f>+$U$4/(1.1*$S$5) * (1*Q15*1.3)/N15*S15</f>
        <v>1100.4847232541222</v>
      </c>
      <c r="W15" s="58">
        <f t="shared" si="3"/>
        <v>1100.4847232541222</v>
      </c>
      <c r="X15" s="57">
        <f>($U$4/(23*$S$5)*1*O15*$W$5*$S$6*S15^1.5)</f>
        <v>408.08663241262303</v>
      </c>
      <c r="Y15" s="59">
        <f t="shared" si="5"/>
        <v>408.08663241262303</v>
      </c>
      <c r="Z15" s="50">
        <f t="shared" si="13"/>
        <v>381</v>
      </c>
      <c r="AA15" s="51">
        <f t="shared" si="6"/>
        <v>102</v>
      </c>
      <c r="AB15" s="57">
        <f t="shared" si="7"/>
        <v>1430.6301402303588</v>
      </c>
      <c r="AC15" s="59">
        <f t="shared" si="8"/>
        <v>1430.6301402303588</v>
      </c>
      <c r="AE15" s="65">
        <f t="shared" si="9"/>
        <v>1101</v>
      </c>
      <c r="AF15" s="66">
        <f t="shared" si="10"/>
        <v>409</v>
      </c>
      <c r="AG15" s="49">
        <f t="shared" si="11"/>
        <v>1431</v>
      </c>
    </row>
    <row r="16" spans="12:33" x14ac:dyDescent="0.25">
      <c r="N16" s="13">
        <f>IFERROR(
MIN(
(   MIN($X$4/2, $W$4)*1000  +  40 * 2 * $AA$4 /($X$4*1000*$R$2)   ) /(S16),
2.5     ),
1.8)</f>
        <v>2.5</v>
      </c>
      <c r="O16" s="13">
        <f t="shared" ref="O16:O17" si="14">IFERROR(
IF(
OR($X$4*1000 &gt; P16,     2 * $AA$4  &gt;  0.4 * $R$2  *  T16),
 1, 1.6),
1.6)</f>
        <v>1</v>
      </c>
      <c r="P16" s="3">
        <f t="shared" ref="P16:P17" si="15">6*S16</f>
        <v>172.2</v>
      </c>
      <c r="Q16" s="3">
        <v>1</v>
      </c>
      <c r="R16" s="107">
        <v>9</v>
      </c>
      <c r="S16" s="19">
        <v>28.7</v>
      </c>
      <c r="T16" s="19">
        <v>645</v>
      </c>
      <c r="U16" s="111">
        <v>5.0599999999999996</v>
      </c>
      <c r="V16" s="57">
        <f>+$U$4/(1.1*$S$5) * (1*Q16*1.3)/N16*S16</f>
        <v>1243.4610849367446</v>
      </c>
      <c r="W16" s="58">
        <f t="shared" ref="W16:W19" si="16">MAX(
+V16,
300)</f>
        <v>1243.4610849367446</v>
      </c>
      <c r="X16" s="57">
        <f t="shared" ref="X16:X18" si="17">($U$4/(23*$S$5)*1*O16*$W$5*$S$6*S16^1.5)</f>
        <v>490.14507039653745</v>
      </c>
      <c r="Y16" s="59">
        <f t="shared" ref="Y16:Y18" si="18">MAX(
+X16,
8*S16,
150)</f>
        <v>490.14507039653745</v>
      </c>
      <c r="Z16" s="50">
        <f>ROUNDUP(12*S16+   P16/6 *4,0)</f>
        <v>460</v>
      </c>
      <c r="AA16" s="51">
        <f t="shared" ref="AA16:AA18" si="19">ROUNDUP(
MAX(
4*S16,
65),0)</f>
        <v>115</v>
      </c>
      <c r="AB16" s="57">
        <f t="shared" ref="AB16:AB19" si="20">1.3 * V16</f>
        <v>1616.4994104177679</v>
      </c>
      <c r="AC16" s="59">
        <f t="shared" ref="AC16:AC19" si="21" xml:space="preserve"> MAX( AB16, 300)</f>
        <v>1616.4994104177679</v>
      </c>
      <c r="AE16" s="65">
        <f t="shared" ref="AE16:AE19" si="22">ROUNDUP(IFERROR(
MAX(
+V16/$AF$5,
300), W16),0)</f>
        <v>1244</v>
      </c>
      <c r="AF16" s="66">
        <f t="shared" ref="AF16:AF18" si="23">ROUNDUP(IFERROR(
MAX(
+X16/$AF$5,
8*S16,
150), Y16), 0)</f>
        <v>491</v>
      </c>
      <c r="AG16" s="49">
        <f t="shared" ref="AG16:AG19" si="24">ROUNDUP(IFERROR(
MAX( AB16/$AF$5,
 300), AC16), 0)</f>
        <v>1617</v>
      </c>
    </row>
    <row r="17" spans="14:33" x14ac:dyDescent="0.25">
      <c r="N17" s="13">
        <f>IFERROR(
MIN(
(   MIN($X$4/2, $W$4)*1000  +  40 * 2 * $AA$4 /($X$4*1000*$R$2)   ) /(S17),
2.5     ),
1.6)</f>
        <v>2.5</v>
      </c>
      <c r="O17" s="13">
        <f t="shared" si="14"/>
        <v>1</v>
      </c>
      <c r="P17" s="3">
        <f t="shared" si="15"/>
        <v>193.79999999999998</v>
      </c>
      <c r="Q17" s="3">
        <v>1</v>
      </c>
      <c r="R17" s="107">
        <v>10</v>
      </c>
      <c r="S17" s="19">
        <v>32.299999999999997</v>
      </c>
      <c r="T17" s="19">
        <v>819</v>
      </c>
      <c r="U17" s="111">
        <v>6.4039999999999999</v>
      </c>
      <c r="V17" s="57">
        <f>+$U$4/(1.1*$S$5) * (1*Q17*1.3)/N17*S17</f>
        <v>1399.4352976814232</v>
      </c>
      <c r="W17" s="58">
        <f t="shared" si="16"/>
        <v>1399.4352976814232</v>
      </c>
      <c r="X17" s="57">
        <f t="shared" si="17"/>
        <v>585.20169788377189</v>
      </c>
      <c r="Y17" s="59">
        <f t="shared" si="18"/>
        <v>585.20169788377189</v>
      </c>
      <c r="Z17" s="50">
        <f>ROUNDUP(12*S17+   P17/6 *4,0)</f>
        <v>517</v>
      </c>
      <c r="AA17" s="51">
        <f t="shared" si="19"/>
        <v>130</v>
      </c>
      <c r="AB17" s="57">
        <f t="shared" si="20"/>
        <v>1819.2658869858503</v>
      </c>
      <c r="AC17" s="59">
        <f t="shared" si="21"/>
        <v>1819.2658869858503</v>
      </c>
      <c r="AE17" s="65">
        <f t="shared" si="22"/>
        <v>1400</v>
      </c>
      <c r="AF17" s="66">
        <f t="shared" si="23"/>
        <v>586</v>
      </c>
      <c r="AG17" s="49">
        <f t="shared" si="24"/>
        <v>1820</v>
      </c>
    </row>
    <row r="18" spans="14:33" ht="15.75" thickBot="1" x14ac:dyDescent="0.3">
      <c r="N18" s="13">
        <f>IFERROR(
MIN(
(   MIN($X$4/2, $W$4)*1000  +  40 * 2 * $AA$4 /($X$4*1000*$R$2)   ) /(S18),
2.5     ),
1.4)</f>
        <v>2.5</v>
      </c>
      <c r="O18" s="13">
        <f>IFERROR(
IF(
OR($X$4*1000 &gt; P18,     2 * $AA$4  &gt;  0.4 * $R$2  *  T18),
 1, 1.6),
1.6)</f>
        <v>1.6</v>
      </c>
      <c r="P18" s="3">
        <f t="shared" ref="P18" si="25">6*S18</f>
        <v>214.79999999999998</v>
      </c>
      <c r="Q18" s="3">
        <v>1</v>
      </c>
      <c r="R18" s="108">
        <v>11</v>
      </c>
      <c r="S18" s="20">
        <v>35.799999999999997</v>
      </c>
      <c r="T18" s="20">
        <v>1006</v>
      </c>
      <c r="U18" s="112">
        <v>7.907</v>
      </c>
      <c r="V18" s="60">
        <f t="shared" ref="V18" si="26">+$U$4/(1.1*$S$5) * (1*Q18*1.3)/N18*S18</f>
        <v>1551.0768934054163</v>
      </c>
      <c r="W18" s="61">
        <f t="shared" si="16"/>
        <v>1551.0768934054163</v>
      </c>
      <c r="X18" s="60">
        <f t="shared" si="17"/>
        <v>1092.5625665989601</v>
      </c>
      <c r="Y18" s="62">
        <f t="shared" si="18"/>
        <v>1092.5625665989601</v>
      </c>
      <c r="Z18" s="53">
        <f>ROUNDUP(12*S18+   P18/6 *4,0)</f>
        <v>573</v>
      </c>
      <c r="AA18" s="54">
        <f t="shared" si="19"/>
        <v>144</v>
      </c>
      <c r="AB18" s="60">
        <f t="shared" si="20"/>
        <v>2016.3999614270413</v>
      </c>
      <c r="AC18" s="62">
        <f t="shared" si="21"/>
        <v>2016.3999614270413</v>
      </c>
      <c r="AE18" s="67">
        <f t="shared" si="22"/>
        <v>1552</v>
      </c>
      <c r="AF18" s="68">
        <f t="shared" si="23"/>
        <v>1093</v>
      </c>
      <c r="AG18" s="52">
        <f t="shared" si="24"/>
        <v>2017</v>
      </c>
    </row>
    <row r="19" spans="14:33" x14ac:dyDescent="0.25">
      <c r="AE19" s="116">
        <f t="shared" si="22"/>
        <v>0</v>
      </c>
    </row>
    <row r="21" spans="14:33" ht="15.75" thickBot="1" x14ac:dyDescent="0.3"/>
    <row r="22" spans="14:33" thickBot="1" x14ac:dyDescent="0.35">
      <c r="R22" s="31" t="str">
        <f t="shared" ref="R22:U28" si="27">+R9</f>
        <v>Barra</v>
      </c>
      <c r="S22" s="32" t="str">
        <f t="shared" si="27"/>
        <v>Diam [mm]</v>
      </c>
      <c r="T22" s="32" t="str">
        <f t="shared" si="27"/>
        <v>Area [mm²]</v>
      </c>
      <c r="U22" s="32" t="str">
        <f t="shared" si="27"/>
        <v>w [kgf/m]</v>
      </c>
      <c r="V22" s="32" t="str">
        <f t="shared" ref="V22:X28" si="28">+AE9</f>
        <v>ld [mm]</v>
      </c>
      <c r="W22" s="32" t="str">
        <f t="shared" si="28"/>
        <v>ldh [mm]</v>
      </c>
      <c r="X22" s="32" t="str">
        <f t="shared" si="28"/>
        <v>lt [mm]</v>
      </c>
      <c r="Y22" s="32" t="str">
        <f t="shared" ref="Y22:Z28" si="29">+Z9</f>
        <v>lg 90° [mm]</v>
      </c>
      <c r="Z22" s="33" t="str">
        <f t="shared" si="29"/>
        <v>lg 180° [mm]</v>
      </c>
    </row>
    <row r="23" spans="14:33" ht="14.45" x14ac:dyDescent="0.3">
      <c r="R23" s="34">
        <f t="shared" si="27"/>
        <v>3</v>
      </c>
      <c r="S23" s="35">
        <f t="shared" si="27"/>
        <v>9.5</v>
      </c>
      <c r="T23" s="43">
        <f t="shared" si="27"/>
        <v>71</v>
      </c>
      <c r="U23" s="43">
        <f t="shared" si="27"/>
        <v>0.56000000000000005</v>
      </c>
      <c r="V23" s="35">
        <f t="shared" si="28"/>
        <v>330</v>
      </c>
      <c r="W23" s="35">
        <f t="shared" si="28"/>
        <v>150</v>
      </c>
      <c r="X23" s="79">
        <f t="shared" si="28"/>
        <v>429</v>
      </c>
      <c r="Y23" s="79">
        <f t="shared" si="29"/>
        <v>143</v>
      </c>
      <c r="Z23" s="36">
        <f t="shared" si="29"/>
        <v>65</v>
      </c>
    </row>
    <row r="24" spans="14:33" ht="14.45" x14ac:dyDescent="0.3">
      <c r="R24" s="37">
        <f t="shared" si="27"/>
        <v>4</v>
      </c>
      <c r="S24" s="38">
        <f t="shared" si="27"/>
        <v>12.7</v>
      </c>
      <c r="T24" s="44">
        <f t="shared" si="27"/>
        <v>129</v>
      </c>
      <c r="U24" s="44">
        <f t="shared" si="27"/>
        <v>0.99399999999999999</v>
      </c>
      <c r="V24" s="38">
        <f t="shared" si="28"/>
        <v>441</v>
      </c>
      <c r="W24" s="38">
        <f t="shared" si="28"/>
        <v>150</v>
      </c>
      <c r="X24" s="80">
        <f t="shared" si="28"/>
        <v>573</v>
      </c>
      <c r="Y24" s="38">
        <f t="shared" si="29"/>
        <v>191</v>
      </c>
      <c r="Z24" s="39">
        <f t="shared" si="29"/>
        <v>65</v>
      </c>
    </row>
    <row r="25" spans="14:33" ht="14.45" x14ac:dyDescent="0.3">
      <c r="R25" s="37">
        <f t="shared" si="27"/>
        <v>5</v>
      </c>
      <c r="S25" s="38">
        <f t="shared" si="27"/>
        <v>15.9</v>
      </c>
      <c r="T25" s="44">
        <f t="shared" si="27"/>
        <v>199</v>
      </c>
      <c r="U25" s="44">
        <f t="shared" si="27"/>
        <v>1.552</v>
      </c>
      <c r="V25" s="38">
        <f t="shared" si="28"/>
        <v>552</v>
      </c>
      <c r="W25" s="38">
        <f t="shared" si="28"/>
        <v>203</v>
      </c>
      <c r="X25" s="38">
        <f t="shared" si="28"/>
        <v>717</v>
      </c>
      <c r="Y25" s="38">
        <f t="shared" si="29"/>
        <v>239</v>
      </c>
      <c r="Z25" s="39">
        <f t="shared" si="29"/>
        <v>65</v>
      </c>
    </row>
    <row r="26" spans="14:33" ht="14.45" x14ac:dyDescent="0.3">
      <c r="R26" s="37">
        <f t="shared" si="27"/>
        <v>6</v>
      </c>
      <c r="S26" s="38">
        <f t="shared" si="27"/>
        <v>19.100000000000001</v>
      </c>
      <c r="T26" s="44">
        <f t="shared" si="27"/>
        <v>284</v>
      </c>
      <c r="U26" s="44">
        <f t="shared" si="27"/>
        <v>2.2349999999999999</v>
      </c>
      <c r="V26" s="38">
        <f t="shared" si="28"/>
        <v>663</v>
      </c>
      <c r="W26" s="38">
        <f t="shared" si="28"/>
        <v>267</v>
      </c>
      <c r="X26" s="38">
        <f t="shared" si="28"/>
        <v>861</v>
      </c>
      <c r="Y26" s="38">
        <f t="shared" si="29"/>
        <v>287</v>
      </c>
      <c r="Z26" s="39">
        <f t="shared" si="29"/>
        <v>77</v>
      </c>
    </row>
    <row r="27" spans="14:33" ht="14.45" x14ac:dyDescent="0.3">
      <c r="R27" s="37">
        <f t="shared" si="27"/>
        <v>7</v>
      </c>
      <c r="S27" s="38">
        <f t="shared" si="27"/>
        <v>22.2</v>
      </c>
      <c r="T27" s="44">
        <f t="shared" si="27"/>
        <v>387</v>
      </c>
      <c r="U27" s="44">
        <f t="shared" si="27"/>
        <v>3.0419999999999998</v>
      </c>
      <c r="V27" s="38">
        <f t="shared" si="28"/>
        <v>962</v>
      </c>
      <c r="W27" s="38">
        <f t="shared" si="28"/>
        <v>334</v>
      </c>
      <c r="X27" s="38">
        <f t="shared" si="28"/>
        <v>1251</v>
      </c>
      <c r="Y27" s="38">
        <f t="shared" si="29"/>
        <v>333</v>
      </c>
      <c r="Z27" s="39">
        <f t="shared" si="29"/>
        <v>89</v>
      </c>
    </row>
    <row r="28" spans="14:33" ht="14.45" x14ac:dyDescent="0.3">
      <c r="R28" s="37">
        <f t="shared" si="27"/>
        <v>8</v>
      </c>
      <c r="S28" s="38">
        <f t="shared" si="27"/>
        <v>25.4</v>
      </c>
      <c r="T28" s="44">
        <f t="shared" si="27"/>
        <v>510</v>
      </c>
      <c r="U28" s="44">
        <f t="shared" si="27"/>
        <v>3.9729999999999999</v>
      </c>
      <c r="V28" s="38">
        <f t="shared" si="28"/>
        <v>1101</v>
      </c>
      <c r="W28" s="38">
        <f t="shared" si="28"/>
        <v>409</v>
      </c>
      <c r="X28" s="38">
        <f t="shared" si="28"/>
        <v>1431</v>
      </c>
      <c r="Y28" s="38">
        <f t="shared" si="29"/>
        <v>381</v>
      </c>
      <c r="Z28" s="39">
        <f t="shared" si="29"/>
        <v>102</v>
      </c>
    </row>
    <row r="29" spans="14:33" ht="14.45" x14ac:dyDescent="0.3">
      <c r="R29" s="37">
        <f t="shared" ref="R29:U29" si="30">+R16</f>
        <v>9</v>
      </c>
      <c r="S29" s="38">
        <f t="shared" si="30"/>
        <v>28.7</v>
      </c>
      <c r="T29" s="44">
        <f t="shared" si="30"/>
        <v>645</v>
      </c>
      <c r="U29" s="44">
        <f t="shared" si="30"/>
        <v>5.0599999999999996</v>
      </c>
      <c r="V29" s="38">
        <f t="shared" ref="V29:X29" si="31">+AE16</f>
        <v>1244</v>
      </c>
      <c r="W29" s="38">
        <f t="shared" si="31"/>
        <v>491</v>
      </c>
      <c r="X29" s="38">
        <f t="shared" si="31"/>
        <v>1617</v>
      </c>
      <c r="Y29" s="38">
        <f t="shared" ref="Y29:Z29" si="32">+Z16</f>
        <v>460</v>
      </c>
      <c r="Z29" s="39">
        <f t="shared" si="32"/>
        <v>115</v>
      </c>
    </row>
    <row r="30" spans="14:33" ht="14.45" x14ac:dyDescent="0.3">
      <c r="R30" s="37">
        <f t="shared" ref="R30:U30" si="33">+R17</f>
        <v>10</v>
      </c>
      <c r="S30" s="38">
        <f t="shared" si="33"/>
        <v>32.299999999999997</v>
      </c>
      <c r="T30" s="44">
        <f t="shared" si="33"/>
        <v>819</v>
      </c>
      <c r="U30" s="44">
        <f t="shared" si="33"/>
        <v>6.4039999999999999</v>
      </c>
      <c r="V30" s="38">
        <f t="shared" ref="V30:X30" si="34">+AE17</f>
        <v>1400</v>
      </c>
      <c r="W30" s="38">
        <f t="shared" si="34"/>
        <v>586</v>
      </c>
      <c r="X30" s="38">
        <f t="shared" si="34"/>
        <v>1820</v>
      </c>
      <c r="Y30" s="38">
        <f t="shared" ref="Y30:Z30" si="35">+Z17</f>
        <v>517</v>
      </c>
      <c r="Z30" s="39">
        <f t="shared" si="35"/>
        <v>130</v>
      </c>
    </row>
    <row r="31" spans="14:33" thickBot="1" x14ac:dyDescent="0.35">
      <c r="R31" s="40">
        <f t="shared" ref="R31:U31" si="36">+R18</f>
        <v>11</v>
      </c>
      <c r="S31" s="41">
        <f t="shared" si="36"/>
        <v>35.799999999999997</v>
      </c>
      <c r="T31" s="45">
        <f t="shared" si="36"/>
        <v>1006</v>
      </c>
      <c r="U31" s="45">
        <f t="shared" si="36"/>
        <v>7.907</v>
      </c>
      <c r="V31" s="81">
        <f t="shared" ref="V31:X31" si="37">+AE18</f>
        <v>1552</v>
      </c>
      <c r="W31" s="41">
        <f t="shared" si="37"/>
        <v>1093</v>
      </c>
      <c r="X31" s="41">
        <f t="shared" si="37"/>
        <v>2017</v>
      </c>
      <c r="Y31" s="81">
        <f t="shared" ref="Y31:Z31" si="38">+Z18</f>
        <v>573</v>
      </c>
      <c r="Z31" s="42">
        <f t="shared" si="38"/>
        <v>144</v>
      </c>
    </row>
    <row r="33" spans="17:27" thickBot="1" x14ac:dyDescent="0.35">
      <c r="Q33" s="82"/>
      <c r="R33" s="82"/>
      <c r="S33" s="82"/>
      <c r="T33" s="82"/>
      <c r="U33" s="82"/>
      <c r="V33" s="82"/>
      <c r="W33" s="103" t="s">
        <v>36</v>
      </c>
      <c r="X33" s="103" t="s">
        <v>37</v>
      </c>
      <c r="Y33" s="82"/>
      <c r="Z33" s="82"/>
    </row>
    <row r="34" spans="17:27" ht="15.75" thickBot="1" x14ac:dyDescent="0.3">
      <c r="Q34" s="82" t="s">
        <v>27</v>
      </c>
      <c r="R34" s="83" t="s">
        <v>2</v>
      </c>
      <c r="S34" s="84" t="s">
        <v>3</v>
      </c>
      <c r="T34" s="84" t="s">
        <v>26</v>
      </c>
      <c r="U34" s="84" t="s">
        <v>12</v>
      </c>
      <c r="V34" s="84" t="s">
        <v>5</v>
      </c>
      <c r="W34" s="84" t="s">
        <v>11</v>
      </c>
      <c r="X34" s="84" t="s">
        <v>11</v>
      </c>
      <c r="Y34" s="84" t="s">
        <v>18</v>
      </c>
      <c r="Z34" s="84" t="s">
        <v>16</v>
      </c>
      <c r="AA34" s="85" t="s">
        <v>17</v>
      </c>
    </row>
    <row r="35" spans="17:27" ht="14.45" x14ac:dyDescent="0.3">
      <c r="Q35" s="82"/>
      <c r="R35" s="86">
        <v>3</v>
      </c>
      <c r="S35" s="87">
        <v>9.5</v>
      </c>
      <c r="T35" s="88">
        <v>70.882124375000004</v>
      </c>
      <c r="U35" s="88">
        <v>0.56000000000000005</v>
      </c>
      <c r="V35" s="87">
        <v>357</v>
      </c>
      <c r="W35" s="87">
        <v>176</v>
      </c>
      <c r="X35" s="87">
        <v>150</v>
      </c>
      <c r="Y35" s="87">
        <v>464</v>
      </c>
      <c r="Z35" s="87">
        <v>143</v>
      </c>
      <c r="AA35" s="89">
        <v>65</v>
      </c>
    </row>
    <row r="36" spans="17:27" ht="14.45" x14ac:dyDescent="0.3">
      <c r="Q36" s="82"/>
      <c r="R36" s="90">
        <v>4</v>
      </c>
      <c r="S36" s="91">
        <v>12.7</v>
      </c>
      <c r="T36" s="92">
        <v>126.67676277499999</v>
      </c>
      <c r="U36" s="92">
        <v>0.99399999999999999</v>
      </c>
      <c r="V36" s="91">
        <v>477</v>
      </c>
      <c r="W36" s="91">
        <v>271</v>
      </c>
      <c r="X36" s="91">
        <v>217</v>
      </c>
      <c r="Y36" s="91">
        <v>620</v>
      </c>
      <c r="Z36" s="91">
        <v>191</v>
      </c>
      <c r="AA36" s="93">
        <v>65</v>
      </c>
    </row>
    <row r="37" spans="17:27" ht="14.45" x14ac:dyDescent="0.3">
      <c r="Q37" s="82"/>
      <c r="R37" s="90">
        <v>5</v>
      </c>
      <c r="S37" s="91">
        <v>15.9</v>
      </c>
      <c r="T37" s="92">
        <v>198.55634197499998</v>
      </c>
      <c r="U37" s="92">
        <v>1.552</v>
      </c>
      <c r="V37" s="91">
        <v>597</v>
      </c>
      <c r="W37" s="91">
        <v>380</v>
      </c>
      <c r="X37" s="91">
        <v>304</v>
      </c>
      <c r="Y37" s="91">
        <v>776</v>
      </c>
      <c r="Z37" s="91">
        <v>239</v>
      </c>
      <c r="AA37" s="93">
        <v>65</v>
      </c>
    </row>
    <row r="38" spans="17:27" ht="14.45" x14ac:dyDescent="0.3">
      <c r="Q38" s="82"/>
      <c r="R38" s="90">
        <v>6</v>
      </c>
      <c r="S38" s="91">
        <v>19.100000000000001</v>
      </c>
      <c r="T38" s="92">
        <v>286.52086197500006</v>
      </c>
      <c r="U38" s="92">
        <v>2.2349999999999999</v>
      </c>
      <c r="V38" s="91">
        <v>717</v>
      </c>
      <c r="W38" s="91">
        <v>500</v>
      </c>
      <c r="X38" s="91">
        <v>400</v>
      </c>
      <c r="Y38" s="91">
        <v>932</v>
      </c>
      <c r="Z38" s="91">
        <v>287</v>
      </c>
      <c r="AA38" s="93">
        <v>77</v>
      </c>
    </row>
    <row r="39" spans="17:27" ht="14.45" x14ac:dyDescent="0.3">
      <c r="Q39" s="82"/>
      <c r="R39" s="90">
        <v>7</v>
      </c>
      <c r="S39" s="91">
        <v>22.2</v>
      </c>
      <c r="T39" s="92">
        <v>387.07530389999994</v>
      </c>
      <c r="U39" s="92">
        <v>3.0419999999999998</v>
      </c>
      <c r="V39" s="91">
        <v>1042</v>
      </c>
      <c r="W39" s="91">
        <v>626</v>
      </c>
      <c r="X39" s="91">
        <v>501</v>
      </c>
      <c r="Y39" s="91">
        <v>1354</v>
      </c>
      <c r="Z39" s="91">
        <v>333</v>
      </c>
      <c r="AA39" s="93">
        <v>89</v>
      </c>
    </row>
    <row r="40" spans="17:27" ht="14.45" x14ac:dyDescent="0.3">
      <c r="Q40" s="82"/>
      <c r="R40" s="90">
        <v>8</v>
      </c>
      <c r="S40" s="91">
        <v>25.4</v>
      </c>
      <c r="T40" s="92">
        <v>506.70705109999994</v>
      </c>
      <c r="U40" s="92">
        <v>3.9729999999999999</v>
      </c>
      <c r="V40" s="91">
        <v>1192</v>
      </c>
      <c r="W40" s="91">
        <v>766</v>
      </c>
      <c r="X40" s="91">
        <v>613</v>
      </c>
      <c r="Y40" s="91">
        <v>1549</v>
      </c>
      <c r="Z40" s="91">
        <v>381</v>
      </c>
      <c r="AA40" s="93">
        <v>102</v>
      </c>
    </row>
    <row r="41" spans="17:27" ht="14.45" x14ac:dyDescent="0.3">
      <c r="Q41" s="82"/>
      <c r="R41" s="90">
        <v>9</v>
      </c>
      <c r="S41" s="91">
        <v>28.574999999999999</v>
      </c>
      <c r="T41" s="92">
        <v>641.4</v>
      </c>
      <c r="U41" s="92">
        <v>5.0670600000000006</v>
      </c>
      <c r="V41" s="91">
        <v>1490</v>
      </c>
      <c r="W41" s="91">
        <v>914</v>
      </c>
      <c r="X41" s="91">
        <v>731</v>
      </c>
      <c r="Y41" s="91">
        <v>1936</v>
      </c>
      <c r="Z41" s="91">
        <v>458</v>
      </c>
      <c r="AA41" s="93">
        <v>115</v>
      </c>
    </row>
    <row r="42" spans="17:27" ht="14.45" x14ac:dyDescent="0.3">
      <c r="Q42" s="82"/>
      <c r="R42" s="90">
        <v>10</v>
      </c>
      <c r="S42" s="91">
        <v>31.75</v>
      </c>
      <c r="T42" s="92">
        <v>791.80000000000007</v>
      </c>
      <c r="U42" s="92">
        <v>6.2552200000000013</v>
      </c>
      <c r="V42" s="91">
        <v>1862</v>
      </c>
      <c r="W42" s="91">
        <v>1071</v>
      </c>
      <c r="X42" s="91">
        <v>857</v>
      </c>
      <c r="Y42" s="91">
        <v>2420</v>
      </c>
      <c r="Z42" s="91">
        <v>508</v>
      </c>
      <c r="AA42" s="93">
        <v>127</v>
      </c>
    </row>
    <row r="43" spans="17:27" thickBot="1" x14ac:dyDescent="0.35">
      <c r="Q43" s="82"/>
      <c r="R43" s="94">
        <v>11</v>
      </c>
      <c r="S43" s="95">
        <v>34.924999999999997</v>
      </c>
      <c r="T43" s="96">
        <v>958</v>
      </c>
      <c r="U43" s="96">
        <v>7.5682000000000009</v>
      </c>
      <c r="V43" s="95">
        <v>2341</v>
      </c>
      <c r="W43" s="95">
        <v>1235</v>
      </c>
      <c r="X43" s="95">
        <v>988</v>
      </c>
      <c r="Y43" s="95">
        <v>3043</v>
      </c>
      <c r="Z43" s="95">
        <v>559</v>
      </c>
      <c r="AA43" s="97">
        <v>140</v>
      </c>
    </row>
    <row r="45" spans="17:27" thickBot="1" x14ac:dyDescent="0.35">
      <c r="Q45" s="69"/>
      <c r="R45" s="69"/>
      <c r="S45" s="69"/>
      <c r="T45" s="69"/>
      <c r="U45" s="69"/>
      <c r="V45" s="69"/>
      <c r="W45" s="103" t="s">
        <v>36</v>
      </c>
      <c r="X45" s="103" t="s">
        <v>37</v>
      </c>
      <c r="Y45" s="69"/>
      <c r="Z45" s="69"/>
      <c r="AA45" s="69"/>
    </row>
    <row r="46" spans="17:27" ht="15.75" thickBot="1" x14ac:dyDescent="0.3">
      <c r="Q46" s="69" t="s">
        <v>28</v>
      </c>
      <c r="R46" s="70" t="s">
        <v>2</v>
      </c>
      <c r="S46" s="71" t="s">
        <v>3</v>
      </c>
      <c r="T46" s="71" t="s">
        <v>26</v>
      </c>
      <c r="U46" s="71" t="s">
        <v>12</v>
      </c>
      <c r="V46" s="71" t="s">
        <v>31</v>
      </c>
      <c r="W46" s="71" t="s">
        <v>32</v>
      </c>
      <c r="X46" s="71" t="s">
        <v>32</v>
      </c>
      <c r="Y46" s="71" t="s">
        <v>33</v>
      </c>
      <c r="Z46" s="71" t="s">
        <v>34</v>
      </c>
      <c r="AA46" s="72" t="s">
        <v>35</v>
      </c>
    </row>
    <row r="47" spans="17:27" ht="14.45" x14ac:dyDescent="0.3">
      <c r="Q47" s="69" t="s">
        <v>29</v>
      </c>
      <c r="R47" s="73">
        <f>+R35</f>
        <v>3</v>
      </c>
      <c r="S47" s="113">
        <f>S35</f>
        <v>9.5</v>
      </c>
      <c r="T47" s="74">
        <f>+T35</f>
        <v>70.882124375000004</v>
      </c>
      <c r="U47" s="74">
        <f>+U35</f>
        <v>0.56000000000000005</v>
      </c>
      <c r="V47" s="74">
        <f t="shared" ref="V47:AA47" si="39">ROUNDUP(V35/50,0)*50/1000</f>
        <v>0.4</v>
      </c>
      <c r="W47" s="74">
        <f t="shared" si="39"/>
        <v>0.2</v>
      </c>
      <c r="X47" s="74">
        <f t="shared" si="39"/>
        <v>0.15</v>
      </c>
      <c r="Y47" s="74">
        <f t="shared" si="39"/>
        <v>0.5</v>
      </c>
      <c r="Z47" s="74">
        <f t="shared" si="39"/>
        <v>0.15</v>
      </c>
      <c r="AA47" s="100">
        <f t="shared" si="39"/>
        <v>0.1</v>
      </c>
    </row>
    <row r="48" spans="17:27" x14ac:dyDescent="0.25">
      <c r="Q48" s="69"/>
      <c r="R48" s="75">
        <f t="shared" ref="R48:R55" si="40">+R36</f>
        <v>4</v>
      </c>
      <c r="S48" s="114">
        <f t="shared" ref="S48:S55" si="41">S36</f>
        <v>12.7</v>
      </c>
      <c r="T48" s="76">
        <f t="shared" ref="T48:U48" si="42">+T36</f>
        <v>126.67676277499999</v>
      </c>
      <c r="U48" s="76">
        <f t="shared" si="42"/>
        <v>0.99399999999999999</v>
      </c>
      <c r="V48" s="76">
        <f t="shared" ref="V48:AA48" si="43">ROUNDUP(V36/50,0)*50/1000</f>
        <v>0.5</v>
      </c>
      <c r="W48" s="76">
        <f t="shared" si="43"/>
        <v>0.3</v>
      </c>
      <c r="X48" s="76">
        <f t="shared" si="43"/>
        <v>0.25</v>
      </c>
      <c r="Y48" s="76">
        <f t="shared" si="43"/>
        <v>0.65</v>
      </c>
      <c r="Z48" s="76">
        <f t="shared" si="43"/>
        <v>0.2</v>
      </c>
      <c r="AA48" s="101">
        <f t="shared" si="43"/>
        <v>0.1</v>
      </c>
    </row>
    <row r="49" spans="17:27" x14ac:dyDescent="0.25">
      <c r="Q49" s="69"/>
      <c r="R49" s="75">
        <f t="shared" si="40"/>
        <v>5</v>
      </c>
      <c r="S49" s="114">
        <f t="shared" si="41"/>
        <v>15.9</v>
      </c>
      <c r="T49" s="76">
        <f t="shared" ref="T49:U49" si="44">+T37</f>
        <v>198.55634197499998</v>
      </c>
      <c r="U49" s="76">
        <f t="shared" si="44"/>
        <v>1.552</v>
      </c>
      <c r="V49" s="76">
        <f t="shared" ref="V49:AA49" si="45">ROUNDUP(V37/50,0)*50/1000</f>
        <v>0.6</v>
      </c>
      <c r="W49" s="76">
        <f t="shared" si="45"/>
        <v>0.4</v>
      </c>
      <c r="X49" s="76">
        <f t="shared" si="45"/>
        <v>0.35</v>
      </c>
      <c r="Y49" s="76">
        <f t="shared" si="45"/>
        <v>0.8</v>
      </c>
      <c r="Z49" s="76">
        <f t="shared" si="45"/>
        <v>0.25</v>
      </c>
      <c r="AA49" s="101">
        <f t="shared" si="45"/>
        <v>0.1</v>
      </c>
    </row>
    <row r="50" spans="17:27" x14ac:dyDescent="0.25">
      <c r="Q50" s="69"/>
      <c r="R50" s="75">
        <f t="shared" si="40"/>
        <v>6</v>
      </c>
      <c r="S50" s="114">
        <f t="shared" si="41"/>
        <v>19.100000000000001</v>
      </c>
      <c r="T50" s="76">
        <f t="shared" ref="T50:U50" si="46">+T38</f>
        <v>286.52086197500006</v>
      </c>
      <c r="U50" s="76">
        <f t="shared" si="46"/>
        <v>2.2349999999999999</v>
      </c>
      <c r="V50" s="76">
        <f t="shared" ref="V50:AA50" si="47">ROUNDUP(V38/50,0)*50/1000</f>
        <v>0.75</v>
      </c>
      <c r="W50" s="76">
        <f t="shared" si="47"/>
        <v>0.5</v>
      </c>
      <c r="X50" s="76">
        <f t="shared" si="47"/>
        <v>0.4</v>
      </c>
      <c r="Y50" s="76">
        <f t="shared" si="47"/>
        <v>0.95</v>
      </c>
      <c r="Z50" s="76">
        <f t="shared" si="47"/>
        <v>0.3</v>
      </c>
      <c r="AA50" s="101">
        <f t="shared" si="47"/>
        <v>0.1</v>
      </c>
    </row>
    <row r="51" spans="17:27" x14ac:dyDescent="0.25">
      <c r="Q51" s="69"/>
      <c r="R51" s="75">
        <f t="shared" si="40"/>
        <v>7</v>
      </c>
      <c r="S51" s="114">
        <f t="shared" si="41"/>
        <v>22.2</v>
      </c>
      <c r="T51" s="76">
        <f t="shared" ref="T51:U51" si="48">+T39</f>
        <v>387.07530389999994</v>
      </c>
      <c r="U51" s="76">
        <f t="shared" si="48"/>
        <v>3.0419999999999998</v>
      </c>
      <c r="V51" s="76">
        <f t="shared" ref="V51:AA51" si="49">ROUNDUP(V39/50,0)*50/1000</f>
        <v>1.05</v>
      </c>
      <c r="W51" s="76">
        <f t="shared" si="49"/>
        <v>0.65</v>
      </c>
      <c r="X51" s="76">
        <f t="shared" si="49"/>
        <v>0.55000000000000004</v>
      </c>
      <c r="Y51" s="76">
        <f t="shared" si="49"/>
        <v>1.4</v>
      </c>
      <c r="Z51" s="76">
        <f t="shared" si="49"/>
        <v>0.35</v>
      </c>
      <c r="AA51" s="101">
        <f t="shared" si="49"/>
        <v>0.1</v>
      </c>
    </row>
    <row r="52" spans="17:27" x14ac:dyDescent="0.25">
      <c r="Q52" s="69"/>
      <c r="R52" s="75">
        <f t="shared" si="40"/>
        <v>8</v>
      </c>
      <c r="S52" s="114">
        <f t="shared" si="41"/>
        <v>25.4</v>
      </c>
      <c r="T52" s="76">
        <f t="shared" ref="T52:U52" si="50">+T40</f>
        <v>506.70705109999994</v>
      </c>
      <c r="U52" s="76">
        <f t="shared" si="50"/>
        <v>3.9729999999999999</v>
      </c>
      <c r="V52" s="76">
        <f t="shared" ref="V52:AA52" si="51">ROUNDUP(V40/50,0)*50/1000</f>
        <v>1.2</v>
      </c>
      <c r="W52" s="76">
        <f t="shared" si="51"/>
        <v>0.8</v>
      </c>
      <c r="X52" s="76">
        <f t="shared" si="51"/>
        <v>0.65</v>
      </c>
      <c r="Y52" s="76">
        <f t="shared" si="51"/>
        <v>1.55</v>
      </c>
      <c r="Z52" s="76">
        <f t="shared" si="51"/>
        <v>0.4</v>
      </c>
      <c r="AA52" s="101">
        <f t="shared" si="51"/>
        <v>0.15</v>
      </c>
    </row>
    <row r="53" spans="17:27" x14ac:dyDescent="0.25">
      <c r="Q53" s="69"/>
      <c r="R53" s="75">
        <f t="shared" si="40"/>
        <v>9</v>
      </c>
      <c r="S53" s="114">
        <f t="shared" si="41"/>
        <v>28.574999999999999</v>
      </c>
      <c r="T53" s="76">
        <f t="shared" ref="T53:U53" si="52">+T41</f>
        <v>641.4</v>
      </c>
      <c r="U53" s="76">
        <f t="shared" si="52"/>
        <v>5.0670600000000006</v>
      </c>
      <c r="V53" s="76">
        <f t="shared" ref="V53:AA53" si="53">ROUNDUP(V41/50,0)*50/1000</f>
        <v>1.5</v>
      </c>
      <c r="W53" s="76">
        <f t="shared" si="53"/>
        <v>0.95</v>
      </c>
      <c r="X53" s="76">
        <f t="shared" si="53"/>
        <v>0.75</v>
      </c>
      <c r="Y53" s="76">
        <f t="shared" si="53"/>
        <v>1.95</v>
      </c>
      <c r="Z53" s="76">
        <f t="shared" si="53"/>
        <v>0.5</v>
      </c>
      <c r="AA53" s="101">
        <f t="shared" si="53"/>
        <v>0.15</v>
      </c>
    </row>
    <row r="54" spans="17:27" x14ac:dyDescent="0.25">
      <c r="Q54" s="69"/>
      <c r="R54" s="75">
        <f t="shared" si="40"/>
        <v>10</v>
      </c>
      <c r="S54" s="114">
        <f t="shared" si="41"/>
        <v>31.75</v>
      </c>
      <c r="T54" s="76">
        <f t="shared" ref="T54:U54" si="54">+T42</f>
        <v>791.80000000000007</v>
      </c>
      <c r="U54" s="76">
        <f t="shared" si="54"/>
        <v>6.2552200000000013</v>
      </c>
      <c r="V54" s="76">
        <f t="shared" ref="V54:AA54" si="55">ROUNDUP(V42/50,0)*50/1000</f>
        <v>1.9</v>
      </c>
      <c r="W54" s="76">
        <f t="shared" si="55"/>
        <v>1.1000000000000001</v>
      </c>
      <c r="X54" s="76">
        <f t="shared" si="55"/>
        <v>0.9</v>
      </c>
      <c r="Y54" s="76">
        <f t="shared" si="55"/>
        <v>2.4500000000000002</v>
      </c>
      <c r="Z54" s="76">
        <f t="shared" si="55"/>
        <v>0.55000000000000004</v>
      </c>
      <c r="AA54" s="101">
        <f t="shared" si="55"/>
        <v>0.15</v>
      </c>
    </row>
    <row r="55" spans="17:27" ht="15.75" thickBot="1" x14ac:dyDescent="0.3">
      <c r="Q55" s="69"/>
      <c r="R55" s="77">
        <f t="shared" si="40"/>
        <v>11</v>
      </c>
      <c r="S55" s="115">
        <f t="shared" si="41"/>
        <v>34.924999999999997</v>
      </c>
      <c r="T55" s="78">
        <f t="shared" ref="T55:U55" si="56">+T43</f>
        <v>958</v>
      </c>
      <c r="U55" s="78">
        <f t="shared" si="56"/>
        <v>7.5682000000000009</v>
      </c>
      <c r="V55" s="78">
        <f t="shared" ref="V55:AA55" si="57">ROUNDUP(V43/50,0)*50/1000</f>
        <v>2.35</v>
      </c>
      <c r="W55" s="78">
        <f t="shared" si="57"/>
        <v>1.25</v>
      </c>
      <c r="X55" s="78">
        <f t="shared" si="57"/>
        <v>1</v>
      </c>
      <c r="Y55" s="78">
        <f t="shared" si="57"/>
        <v>3.05</v>
      </c>
      <c r="Z55" s="78">
        <f t="shared" si="57"/>
        <v>0.6</v>
      </c>
      <c r="AA55" s="102">
        <f t="shared" si="57"/>
        <v>0.15</v>
      </c>
    </row>
    <row r="67" spans="13:18" x14ac:dyDescent="0.25">
      <c r="M67" s="3" t="s">
        <v>48</v>
      </c>
      <c r="N67" s="3" t="s">
        <v>3</v>
      </c>
      <c r="O67" s="3" t="s">
        <v>49</v>
      </c>
      <c r="P67" s="3" t="s">
        <v>50</v>
      </c>
      <c r="Q67" s="3" t="s">
        <v>10</v>
      </c>
      <c r="R67" s="3" t="s">
        <v>38</v>
      </c>
    </row>
    <row r="68" spans="13:18" x14ac:dyDescent="0.25">
      <c r="M68" s="3" t="s">
        <v>51</v>
      </c>
      <c r="N68" s="3">
        <v>10</v>
      </c>
      <c r="O68" s="3">
        <v>78.5</v>
      </c>
      <c r="P68" s="3">
        <v>0.61599999999999999</v>
      </c>
      <c r="Q68" s="3">
        <f>6*N68</f>
        <v>60</v>
      </c>
      <c r="R68" s="3">
        <v>0.8</v>
      </c>
    </row>
    <row r="69" spans="13:18" x14ac:dyDescent="0.25">
      <c r="M69" s="3" t="s">
        <v>52</v>
      </c>
      <c r="N69" s="3">
        <v>12</v>
      </c>
      <c r="O69" s="3">
        <v>113.1</v>
      </c>
      <c r="P69" s="3">
        <v>0.88700000000000001</v>
      </c>
      <c r="Q69" s="3">
        <f>6*N69</f>
        <v>72</v>
      </c>
      <c r="R69" s="3">
        <v>0.8</v>
      </c>
    </row>
    <row r="70" spans="13:18" x14ac:dyDescent="0.25">
      <c r="M70" s="3" t="s">
        <v>53</v>
      </c>
      <c r="N70" s="3">
        <v>16</v>
      </c>
      <c r="O70" s="3">
        <v>201.1</v>
      </c>
      <c r="P70" s="3">
        <v>1.577</v>
      </c>
      <c r="Q70" s="3">
        <f>6*N70</f>
        <v>96</v>
      </c>
      <c r="R70" s="3">
        <v>0.8</v>
      </c>
    </row>
    <row r="71" spans="13:18" x14ac:dyDescent="0.25">
      <c r="M71" s="3" t="s">
        <v>54</v>
      </c>
      <c r="N71" s="3">
        <v>18</v>
      </c>
      <c r="O71" s="3">
        <v>254.5</v>
      </c>
      <c r="P71" s="3">
        <v>1.996</v>
      </c>
      <c r="Q71" s="3">
        <f>6*N71</f>
        <v>108</v>
      </c>
      <c r="R71" s="3">
        <v>0.8</v>
      </c>
    </row>
    <row r="72" spans="13:18" x14ac:dyDescent="0.25">
      <c r="M72" s="3" t="s">
        <v>55</v>
      </c>
      <c r="N72" s="3">
        <v>20</v>
      </c>
      <c r="O72" s="3">
        <v>314.2</v>
      </c>
      <c r="P72" s="3">
        <v>2.4649999999999999</v>
      </c>
      <c r="Q72" s="3">
        <f>6*N72</f>
        <v>120</v>
      </c>
      <c r="R72" s="3">
        <v>0.8</v>
      </c>
    </row>
    <row r="73" spans="13:18" x14ac:dyDescent="0.25">
      <c r="M73" s="3" t="s">
        <v>56</v>
      </c>
      <c r="N73" s="3">
        <v>22</v>
      </c>
      <c r="O73" s="3">
        <v>380.1</v>
      </c>
      <c r="P73" s="3">
        <v>2.9820000000000002</v>
      </c>
      <c r="Q73" s="3">
        <f>6*N73</f>
        <v>132</v>
      </c>
      <c r="R73" s="3">
        <v>1</v>
      </c>
    </row>
    <row r="74" spans="13:18" x14ac:dyDescent="0.25">
      <c r="M74" s="3" t="s">
        <v>57</v>
      </c>
      <c r="N74" s="3">
        <v>25</v>
      </c>
      <c r="O74" s="3">
        <v>490.9</v>
      </c>
      <c r="P74" s="3">
        <v>3.9729999999999999</v>
      </c>
      <c r="Q74" s="3">
        <f>6*N74</f>
        <v>150</v>
      </c>
      <c r="R74" s="3">
        <v>1</v>
      </c>
    </row>
    <row r="75" spans="13:18" x14ac:dyDescent="0.25">
      <c r="M75" s="3" t="s">
        <v>58</v>
      </c>
      <c r="N75" s="3">
        <v>28</v>
      </c>
      <c r="O75" s="3">
        <v>616</v>
      </c>
      <c r="P75" s="3">
        <v>4.8550000000000004</v>
      </c>
      <c r="Q75" s="3">
        <f>6*N75</f>
        <v>168</v>
      </c>
      <c r="R75" s="3">
        <v>1</v>
      </c>
    </row>
    <row r="76" spans="13:18" x14ac:dyDescent="0.25">
      <c r="M76" s="3" t="s">
        <v>59</v>
      </c>
      <c r="N76" s="3">
        <v>30</v>
      </c>
      <c r="O76" s="3">
        <v>706.9</v>
      </c>
      <c r="P76" s="3">
        <v>5.5439999999999996</v>
      </c>
      <c r="Q76" s="3">
        <f>6*N76</f>
        <v>180</v>
      </c>
      <c r="R76" s="3">
        <v>1</v>
      </c>
    </row>
    <row r="77" spans="13:18" x14ac:dyDescent="0.25">
      <c r="M77" s="3" t="s">
        <v>60</v>
      </c>
      <c r="N77" s="3">
        <v>32</v>
      </c>
      <c r="O77" s="3">
        <v>804.2</v>
      </c>
      <c r="P77" s="3">
        <v>6.3090000000000002</v>
      </c>
      <c r="Q77" s="3">
        <f>6*N77</f>
        <v>192</v>
      </c>
      <c r="R77" s="3">
        <v>1</v>
      </c>
    </row>
    <row r="78" spans="13:18" x14ac:dyDescent="0.25">
      <c r="M78" s="3" t="s">
        <v>61</v>
      </c>
      <c r="N78" s="3">
        <v>36</v>
      </c>
      <c r="O78" s="3">
        <v>1017</v>
      </c>
      <c r="P78" s="3">
        <v>7.907</v>
      </c>
      <c r="Q78" s="3">
        <f>6*N78</f>
        <v>216</v>
      </c>
      <c r="R78" s="3">
        <v>1</v>
      </c>
    </row>
  </sheetData>
  <dataValidations count="2">
    <dataValidation type="list" allowBlank="1" showInputMessage="1" showErrorMessage="1" sqref="T4">
      <formula1>$T$2:$T$3</formula1>
    </dataValidation>
    <dataValidation type="list" allowBlank="1" showInputMessage="1" showErrorMessage="1" sqref="Z4">
      <formula1>$AC$2:$AC$5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4:H23"/>
  <sheetViews>
    <sheetView topLeftCell="A10" workbookViewId="0">
      <selection activeCell="C27" sqref="C27:H38"/>
    </sheetView>
  </sheetViews>
  <sheetFormatPr baseColWidth="10" defaultRowHeight="15" x14ac:dyDescent="0.25"/>
  <cols>
    <col min="3" max="3" width="11.7109375" bestFit="1" customWidth="1"/>
    <col min="4" max="4" width="14.42578125" bestFit="1" customWidth="1"/>
    <col min="5" max="5" width="11.140625" bestFit="1" customWidth="1"/>
    <col min="6" max="6" width="15.140625" bestFit="1" customWidth="1"/>
    <col min="7" max="7" width="12" bestFit="1" customWidth="1"/>
    <col min="8" max="8" width="4" bestFit="1" customWidth="1"/>
  </cols>
  <sheetData>
    <row r="14" spans="3:8" x14ac:dyDescent="0.25">
      <c r="C14" t="s">
        <v>2</v>
      </c>
      <c r="D14" t="s">
        <v>3</v>
      </c>
      <c r="E14" t="s">
        <v>26</v>
      </c>
      <c r="F14" t="s">
        <v>12</v>
      </c>
      <c r="G14" t="s">
        <v>10</v>
      </c>
      <c r="H14" t="s">
        <v>38</v>
      </c>
    </row>
    <row r="15" spans="3:8" x14ac:dyDescent="0.25">
      <c r="C15" t="s">
        <v>39</v>
      </c>
      <c r="D15">
        <v>9.5</v>
      </c>
      <c r="E15">
        <v>71</v>
      </c>
      <c r="F15">
        <v>0.56000000000000005</v>
      </c>
      <c r="G15">
        <v>57</v>
      </c>
      <c r="H15">
        <v>0.8</v>
      </c>
    </row>
    <row r="16" spans="3:8" x14ac:dyDescent="0.25">
      <c r="C16" t="s">
        <v>40</v>
      </c>
      <c r="D16">
        <v>12.7</v>
      </c>
      <c r="E16">
        <v>129</v>
      </c>
      <c r="F16">
        <v>0.99399999999999999</v>
      </c>
      <c r="G16">
        <v>76.2</v>
      </c>
      <c r="H16">
        <v>0.8</v>
      </c>
    </row>
    <row r="17" spans="3:8" x14ac:dyDescent="0.25">
      <c r="C17" t="s">
        <v>41</v>
      </c>
      <c r="D17">
        <v>15.9</v>
      </c>
      <c r="E17">
        <v>199</v>
      </c>
      <c r="F17">
        <v>1.552</v>
      </c>
      <c r="G17">
        <v>95.4</v>
      </c>
      <c r="H17">
        <v>0.8</v>
      </c>
    </row>
    <row r="18" spans="3:8" x14ac:dyDescent="0.25">
      <c r="C18" t="s">
        <v>42</v>
      </c>
      <c r="D18">
        <v>19.100000000000001</v>
      </c>
      <c r="E18">
        <v>284</v>
      </c>
      <c r="F18">
        <v>2.2349999999999999</v>
      </c>
      <c r="G18">
        <v>114.6</v>
      </c>
      <c r="H18">
        <v>0.8</v>
      </c>
    </row>
    <row r="19" spans="3:8" x14ac:dyDescent="0.25">
      <c r="C19" t="s">
        <v>43</v>
      </c>
      <c r="D19">
        <v>22.2</v>
      </c>
      <c r="E19">
        <v>387</v>
      </c>
      <c r="F19">
        <v>3.0419999999999998</v>
      </c>
      <c r="G19">
        <v>133.19999999999999</v>
      </c>
      <c r="H19">
        <v>1</v>
      </c>
    </row>
    <row r="20" spans="3:8" x14ac:dyDescent="0.25">
      <c r="C20" t="s">
        <v>44</v>
      </c>
      <c r="D20">
        <v>25.4</v>
      </c>
      <c r="E20">
        <v>510</v>
      </c>
      <c r="F20">
        <v>3.9729999999999999</v>
      </c>
      <c r="G20">
        <v>152.4</v>
      </c>
      <c r="H20">
        <v>1</v>
      </c>
    </row>
    <row r="21" spans="3:8" x14ac:dyDescent="0.25">
      <c r="C21" t="s">
        <v>45</v>
      </c>
      <c r="D21">
        <v>28.7</v>
      </c>
      <c r="E21">
        <v>645</v>
      </c>
      <c r="F21">
        <v>5.0599999999999996</v>
      </c>
      <c r="G21">
        <v>172.2</v>
      </c>
      <c r="H21">
        <v>1</v>
      </c>
    </row>
    <row r="22" spans="3:8" x14ac:dyDescent="0.25">
      <c r="C22" t="s">
        <v>46</v>
      </c>
      <c r="D22">
        <v>32.299999999999997</v>
      </c>
      <c r="E22">
        <v>819</v>
      </c>
      <c r="F22">
        <v>6.4039999999999999</v>
      </c>
      <c r="G22">
        <v>193.8</v>
      </c>
      <c r="H22">
        <v>1</v>
      </c>
    </row>
    <row r="23" spans="3:8" x14ac:dyDescent="0.25">
      <c r="C23" t="s">
        <v>47</v>
      </c>
      <c r="D23">
        <v>35.799999999999997</v>
      </c>
      <c r="E23">
        <v>1006</v>
      </c>
      <c r="F23">
        <v>7.907</v>
      </c>
      <c r="G23">
        <v>214.8</v>
      </c>
      <c r="H2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Galeano Gallego</dc:creator>
  <cp:lastModifiedBy>Juan Camilo Galeano Gallego</cp:lastModifiedBy>
  <dcterms:created xsi:type="dcterms:W3CDTF">2024-11-25T16:14:48Z</dcterms:created>
  <dcterms:modified xsi:type="dcterms:W3CDTF">2025-05-05T21:16:36Z</dcterms:modified>
</cp:coreProperties>
</file>