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ntuac-my.sharepoint.com/personal/n1126256_my_ntu_ac_uk/Documents/Research Methods/"/>
    </mc:Choice>
  </mc:AlternateContent>
  <xr:revisionPtr revIDLastSave="1350" documentId="8_{4073C437-2EC4-0E43-B732-EC7B74AE745D}" xr6:coauthVersionLast="47" xr6:coauthVersionMax="47" xr10:uidLastSave="{EA131B6F-9C35-B34B-8CA0-93239399D672}"/>
  <bookViews>
    <workbookView xWindow="0" yWindow="0" windowWidth="28800" windowHeight="18000" activeTab="2" xr2:uid="{6262F9E3-6D6F-FE48-998B-0CC1A02A1880}"/>
  </bookViews>
  <sheets>
    <sheet name="Financial Services " sheetId="1" r:id="rId1"/>
    <sheet name="Oil" sheetId="2" r:id="rId2"/>
    <sheet name="Combined Finance Stats" sheetId="3" r:id="rId3"/>
    <sheet name="Combined Oil Stat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2" l="1"/>
  <c r="X54" i="2"/>
  <c r="X53" i="2"/>
  <c r="X52" i="2"/>
  <c r="X51" i="2"/>
  <c r="X50" i="2"/>
  <c r="X49" i="2"/>
  <c r="W49" i="2"/>
  <c r="V49" i="2"/>
  <c r="U49" i="2"/>
  <c r="T49" i="2"/>
  <c r="S49" i="2"/>
  <c r="X48" i="2"/>
  <c r="X47" i="2"/>
  <c r="X43" i="2"/>
  <c r="X42" i="2"/>
  <c r="X41" i="2"/>
  <c r="X40" i="2"/>
  <c r="X39" i="2"/>
  <c r="W38" i="2"/>
  <c r="V38" i="2"/>
  <c r="X38" i="2" s="1"/>
  <c r="U38" i="2"/>
  <c r="T38" i="2"/>
  <c r="S38" i="2"/>
  <c r="X37" i="2"/>
  <c r="X36" i="2"/>
  <c r="X32" i="2"/>
  <c r="X31" i="2"/>
  <c r="X30" i="2"/>
  <c r="X29" i="2"/>
  <c r="X28" i="2"/>
  <c r="W27" i="2"/>
  <c r="V27" i="2"/>
  <c r="X27" i="2" s="1"/>
  <c r="U27" i="2"/>
  <c r="T27" i="2"/>
  <c r="S27" i="2"/>
  <c r="X26" i="2"/>
  <c r="X25" i="2"/>
  <c r="X21" i="2"/>
  <c r="X20" i="2"/>
  <c r="X19" i="2"/>
  <c r="X18" i="2"/>
  <c r="X17" i="2"/>
  <c r="X16" i="2"/>
  <c r="W16" i="2"/>
  <c r="V16" i="2"/>
  <c r="U16" i="2"/>
  <c r="T16" i="2"/>
  <c r="S16" i="2"/>
  <c r="X15" i="2"/>
  <c r="X14" i="2"/>
  <c r="X10" i="2"/>
  <c r="X9" i="2"/>
  <c r="X8" i="2"/>
  <c r="X7" i="2"/>
  <c r="X6" i="2"/>
  <c r="X5" i="2"/>
  <c r="W5" i="2"/>
  <c r="V5" i="2"/>
  <c r="U5" i="2"/>
  <c r="T5" i="2"/>
  <c r="S5" i="2"/>
  <c r="X4" i="2"/>
  <c r="X3" i="2"/>
  <c r="Y54" i="1"/>
  <c r="Y53" i="1"/>
  <c r="Y52" i="1"/>
  <c r="Y51" i="1"/>
  <c r="Y50" i="1"/>
  <c r="Y49" i="1"/>
  <c r="X49" i="1"/>
  <c r="W49" i="1"/>
  <c r="V49" i="1"/>
  <c r="U49" i="1"/>
  <c r="T49" i="1"/>
  <c r="Y48" i="1"/>
  <c r="Y47" i="1"/>
  <c r="Y43" i="1"/>
  <c r="Y42" i="1"/>
  <c r="Y41" i="1"/>
  <c r="Y40" i="1"/>
  <c r="Y39" i="1"/>
  <c r="Y38" i="1"/>
  <c r="X38" i="1"/>
  <c r="W38" i="1"/>
  <c r="V38" i="1"/>
  <c r="U38" i="1"/>
  <c r="T38" i="1"/>
  <c r="Y37" i="1"/>
  <c r="Y36" i="1"/>
  <c r="Y32" i="1"/>
  <c r="Y31" i="1"/>
  <c r="Y30" i="1"/>
  <c r="Y29" i="1"/>
  <c r="Y28" i="1"/>
  <c r="X27" i="1"/>
  <c r="W27" i="1"/>
  <c r="V27" i="1"/>
  <c r="U27" i="1"/>
  <c r="T27" i="1"/>
  <c r="Y26" i="1"/>
  <c r="Y25" i="1"/>
  <c r="Y21" i="1"/>
  <c r="Y20" i="1"/>
  <c r="Y19" i="1"/>
  <c r="Y18" i="1"/>
  <c r="Y17" i="1"/>
  <c r="X16" i="1"/>
  <c r="W16" i="1"/>
  <c r="V16" i="1"/>
  <c r="U16" i="1"/>
  <c r="T16" i="1"/>
  <c r="Y15" i="1"/>
  <c r="Y14" i="1"/>
  <c r="Y10" i="1"/>
  <c r="Y9" i="1"/>
  <c r="Y8" i="1"/>
  <c r="Y7" i="1"/>
  <c r="Y6" i="1"/>
  <c r="X5" i="1"/>
  <c r="W5" i="1"/>
  <c r="V5" i="1"/>
  <c r="U5" i="1"/>
  <c r="T5" i="1"/>
  <c r="Y4" i="1"/>
  <c r="Y3" i="1"/>
  <c r="F35" i="2"/>
  <c r="E35" i="2"/>
  <c r="D35" i="2"/>
  <c r="C35" i="2"/>
  <c r="B35" i="2"/>
  <c r="F26" i="2"/>
  <c r="E26" i="2"/>
  <c r="D26" i="2"/>
  <c r="C26" i="2"/>
  <c r="B26" i="2"/>
  <c r="E23" i="4"/>
  <c r="E22" i="4"/>
  <c r="E21" i="4"/>
  <c r="E20" i="4"/>
  <c r="E17" i="4"/>
  <c r="E16" i="4"/>
  <c r="E15" i="4"/>
  <c r="E14" i="4"/>
  <c r="E11" i="4"/>
  <c r="E10" i="4"/>
  <c r="E9" i="4"/>
  <c r="E8" i="4"/>
  <c r="B6" i="3"/>
  <c r="B6" i="4"/>
  <c r="E23" i="3"/>
  <c r="E22" i="3"/>
  <c r="E21" i="3"/>
  <c r="E20" i="3"/>
  <c r="E17" i="3"/>
  <c r="E16" i="3"/>
  <c r="E15" i="3"/>
  <c r="E14" i="3"/>
  <c r="E11" i="3"/>
  <c r="E10" i="3"/>
  <c r="E9" i="3"/>
  <c r="E8" i="3"/>
  <c r="D3" i="2"/>
  <c r="D4" i="2"/>
  <c r="D8" i="2"/>
  <c r="D6" i="2"/>
  <c r="D7" i="2"/>
  <c r="C44" i="2"/>
  <c r="D44" i="2"/>
  <c r="E44" i="2"/>
  <c r="F44" i="2"/>
  <c r="B44" i="2"/>
  <c r="C17" i="2"/>
  <c r="D17" i="2"/>
  <c r="E17" i="2"/>
  <c r="F17" i="2"/>
  <c r="B17" i="2"/>
  <c r="C8" i="2"/>
  <c r="E8" i="2"/>
  <c r="F8" i="2"/>
  <c r="B8" i="2"/>
  <c r="D31" i="2"/>
  <c r="D43" i="2"/>
  <c r="D42" i="2"/>
  <c r="D41" i="2"/>
  <c r="D40" i="2"/>
  <c r="D39" i="2"/>
  <c r="D34" i="2"/>
  <c r="D33" i="2"/>
  <c r="D32" i="2"/>
  <c r="D30" i="2"/>
  <c r="D25" i="2"/>
  <c r="D24" i="2"/>
  <c r="D23" i="2"/>
  <c r="D22" i="2"/>
  <c r="D21" i="2"/>
  <c r="D16" i="2"/>
  <c r="D15" i="2"/>
  <c r="D14" i="2"/>
  <c r="D13" i="2"/>
  <c r="D12" i="2"/>
  <c r="C42" i="1"/>
  <c r="E42" i="1"/>
  <c r="F42" i="1"/>
  <c r="B42" i="1"/>
  <c r="C33" i="1"/>
  <c r="E33" i="1"/>
  <c r="F33" i="1"/>
  <c r="B33" i="1"/>
  <c r="C25" i="1"/>
  <c r="E25" i="1"/>
  <c r="F25" i="1"/>
  <c r="B25" i="1"/>
  <c r="C17" i="1"/>
  <c r="E17" i="1"/>
  <c r="F17" i="1"/>
  <c r="B17" i="1"/>
  <c r="C8" i="1"/>
  <c r="E8" i="1"/>
  <c r="F8" i="1"/>
  <c r="B8" i="1"/>
  <c r="D4" i="1"/>
  <c r="D5" i="1"/>
  <c r="D6" i="1"/>
  <c r="D7" i="1"/>
  <c r="D13" i="1"/>
  <c r="D3" i="1"/>
  <c r="D8" i="1" s="1"/>
  <c r="D15" i="1"/>
  <c r="D12" i="1"/>
  <c r="D17" i="1" s="1"/>
  <c r="D41" i="1"/>
  <c r="D40" i="1"/>
  <c r="D39" i="1"/>
  <c r="D38" i="1"/>
  <c r="D37" i="1"/>
  <c r="D42" i="1" s="1"/>
  <c r="D32" i="1"/>
  <c r="D31" i="1"/>
  <c r="D30" i="1"/>
  <c r="D33" i="1" s="1"/>
  <c r="D29" i="1"/>
  <c r="D28" i="1"/>
  <c r="D24" i="1"/>
  <c r="D23" i="1"/>
  <c r="D22" i="1"/>
  <c r="D21" i="1"/>
  <c r="D20" i="1"/>
  <c r="D25" i="1" s="1"/>
  <c r="D16" i="1"/>
  <c r="D14" i="1"/>
  <c r="I42" i="1"/>
  <c r="H42" i="1"/>
  <c r="G42" i="1"/>
  <c r="I33" i="1"/>
  <c r="H33" i="1"/>
  <c r="G33" i="1"/>
  <c r="I25" i="1"/>
  <c r="H25" i="1"/>
  <c r="G25" i="1"/>
  <c r="I17" i="1"/>
  <c r="H17" i="1"/>
  <c r="G17" i="1"/>
  <c r="I8" i="1"/>
  <c r="H8" i="1"/>
  <c r="G8" i="1"/>
  <c r="I44" i="2"/>
  <c r="H44" i="2"/>
  <c r="G44" i="2"/>
  <c r="I35" i="2"/>
  <c r="H35" i="2"/>
  <c r="G35" i="2"/>
  <c r="I26" i="2"/>
  <c r="H26" i="2"/>
  <c r="G26" i="2"/>
  <c r="I17" i="2"/>
  <c r="H17" i="2"/>
  <c r="G17" i="2"/>
  <c r="I8" i="2"/>
  <c r="H8" i="2"/>
  <c r="G8" i="2"/>
  <c r="Y16" i="1" l="1"/>
  <c r="Y5" i="1"/>
  <c r="Y27" i="1"/>
</calcChain>
</file>

<file path=xl/sharedStrings.xml><?xml version="1.0" encoding="utf-8"?>
<sst xmlns="http://schemas.openxmlformats.org/spreadsheetml/2006/main" count="288" uniqueCount="46">
  <si>
    <t>Year</t>
  </si>
  <si>
    <t xml:space="preserve">Board Size </t>
  </si>
  <si>
    <t xml:space="preserve">Board Independence </t>
  </si>
  <si>
    <t>Board Tenure</t>
  </si>
  <si>
    <t>JPMorgan Chase &amp; Co</t>
  </si>
  <si>
    <t>Bank of America Corp</t>
  </si>
  <si>
    <t>ESG Score Overall</t>
  </si>
  <si>
    <t>Goldman Sachs Group Inc</t>
  </si>
  <si>
    <t>Exxon Mobile Corp</t>
  </si>
  <si>
    <t>Chevron Corp</t>
  </si>
  <si>
    <t>Marathon Petroleum Corp</t>
  </si>
  <si>
    <t>Valero Energy Corp</t>
  </si>
  <si>
    <t>BP PLC</t>
  </si>
  <si>
    <t>Morgan Stanley</t>
  </si>
  <si>
    <t xml:space="preserve">Average </t>
  </si>
  <si>
    <t>Independent Members</t>
  </si>
  <si>
    <t>Board Independence</t>
  </si>
  <si>
    <t>Board Size</t>
  </si>
  <si>
    <t>Citi Group</t>
  </si>
  <si>
    <t># of Females</t>
  </si>
  <si>
    <t>Combined ESG Score</t>
  </si>
  <si>
    <t>Financial Sector</t>
  </si>
  <si>
    <t xml:space="preserve">Dependent Variables </t>
  </si>
  <si>
    <t>R-Squares</t>
  </si>
  <si>
    <t xml:space="preserve">F-Statistic </t>
  </si>
  <si>
    <t>Prob(F-Stat)</t>
  </si>
  <si>
    <t>Governance Score</t>
  </si>
  <si>
    <t>ESG Overall Score</t>
  </si>
  <si>
    <t>ESG Combined Score</t>
  </si>
  <si>
    <t>Oil Sector</t>
  </si>
  <si>
    <t>Coef</t>
  </si>
  <si>
    <t>Std  Error</t>
  </si>
  <si>
    <t>P-Value</t>
  </si>
  <si>
    <t xml:space="preserve">Governance Score/Independent Variables </t>
  </si>
  <si>
    <t xml:space="preserve">Independent Members </t>
  </si>
  <si>
    <t xml:space="preserve">Number of Females </t>
  </si>
  <si>
    <t xml:space="preserve">ESG Overall Score/Independent Variables </t>
  </si>
  <si>
    <t xml:space="preserve">ESG Combined Score/Independent Variables </t>
  </si>
  <si>
    <t>Significant</t>
  </si>
  <si>
    <t>Average</t>
  </si>
  <si>
    <t xml:space="preserve">Citi Group </t>
  </si>
  <si>
    <t xml:space="preserve">Goldman Sachs Grop Inc. </t>
  </si>
  <si>
    <t>Mogran Stanley</t>
  </si>
  <si>
    <t>Exxom Mobile Corp</t>
  </si>
  <si>
    <t xml:space="preserve">Chevron </t>
  </si>
  <si>
    <t xml:space="preserve">BP PLC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</si>
</sst>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6"/>
      <name val="Yu Gothic"/>
      <family val="2"/>
      <charset val="128"/>
    </font>
    <font>
      <sz val="12"/>
      <color theme="1"/>
      <name val="Calibri"/>
      <family val="2"/>
      <scheme val="minor"/>
    </font>
    <font>
      <b/>
      <sz val="12"/>
      <color rgb="FF305496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15" applyNumberFormat="0" applyFill="0" applyAlignment="0" applyProtection="0"/>
  </cellStyleXfs>
  <cellXfs count="55">
    <xf numFmtId="0" fontId="0" fillId="0" borderId="0" xfId="0"/>
    <xf numFmtId="0" fontId="0" fillId="0" borderId="1" xfId="0" applyBorder="1"/>
    <xf numFmtId="0" fontId="3" fillId="0" borderId="2" xfId="0" applyFont="1" applyBorder="1"/>
    <xf numFmtId="10" fontId="0" fillId="0" borderId="0" xfId="1" applyNumberFormat="1" applyFont="1"/>
    <xf numFmtId="1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5" fillId="0" borderId="5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4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14" xfId="0" applyFont="1" applyBorder="1"/>
    <xf numFmtId="0" fontId="0" fillId="0" borderId="0" xfId="0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16" xfId="0" applyFont="1" applyBorder="1"/>
    <xf numFmtId="0" fontId="8" fillId="2" borderId="0" xfId="0" applyFont="1" applyFill="1"/>
    <xf numFmtId="0" fontId="8" fillId="0" borderId="0" xfId="0" applyFont="1"/>
    <xf numFmtId="0" fontId="5" fillId="0" borderId="15" xfId="2"/>
    <xf numFmtId="0" fontId="5" fillId="0" borderId="15" xfId="2" applyFill="1"/>
    <xf numFmtId="0" fontId="5" fillId="0" borderId="13" xfId="0" applyFont="1" applyBorder="1" applyAlignment="1">
      <alignment wrapText="1"/>
    </xf>
    <xf numFmtId="0" fontId="5" fillId="0" borderId="17" xfId="2" applyBorder="1"/>
    <xf numFmtId="0" fontId="0" fillId="0" borderId="0" xfId="0" applyBorder="1"/>
    <xf numFmtId="0" fontId="0" fillId="0" borderId="17" xfId="0" applyBorder="1"/>
    <xf numFmtId="10" fontId="5" fillId="0" borderId="15" xfId="1" applyNumberFormat="1" applyFont="1" applyBorder="1"/>
    <xf numFmtId="10" fontId="8" fillId="2" borderId="0" xfId="1" applyNumberFormat="1" applyFont="1" applyFill="1"/>
    <xf numFmtId="10" fontId="8" fillId="0" borderId="0" xfId="1" applyNumberFormat="1" applyFont="1"/>
    <xf numFmtId="10" fontId="7" fillId="0" borderId="16" xfId="0" applyNumberFormat="1" applyFont="1" applyBorder="1"/>
    <xf numFmtId="1" fontId="8" fillId="2" borderId="0" xfId="1" applyNumberFormat="1" applyFont="1" applyFill="1"/>
    <xf numFmtId="0" fontId="7" fillId="0" borderId="18" xfId="0" applyFont="1" applyBorder="1"/>
    <xf numFmtId="10" fontId="7" fillId="0" borderId="16" xfId="1" applyNumberFormat="1" applyFont="1" applyBorder="1"/>
    <xf numFmtId="0" fontId="0" fillId="0" borderId="4" xfId="0" applyBorder="1"/>
    <xf numFmtId="0" fontId="5" fillId="0" borderId="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3" xfId="0" applyFont="1" applyBorder="1"/>
    <xf numFmtId="0" fontId="0" fillId="0" borderId="5" xfId="0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5" xfId="0" applyFont="1" applyFill="1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10" fontId="5" fillId="0" borderId="15" xfId="2" applyNumberFormat="1"/>
  </cellXfs>
  <cellStyles count="3">
    <cellStyle name="Normal" xfId="0" builtinId="0"/>
    <cellStyle name="Percent" xfId="1" builtinId="5"/>
    <cellStyle name="Total" xfId="2" builtinId="25"/>
  </cellStyles>
  <dxfs count="28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14" formatCode="0.00%"/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 outline="0">
        <left/>
        <right style="thin">
          <color indexed="64"/>
        </right>
        <top/>
        <bottom/>
      </border>
    </dxf>
    <dxf>
      <numFmt numFmtId="14" formatCode="0.00%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border diagonalUp="0" diagonalDown="0" outline="0">
        <left/>
        <right style="thin">
          <color indexed="64"/>
        </right>
        <top/>
        <bottom/>
      </border>
    </dxf>
    <dxf>
      <border outline="0">
        <right style="thin">
          <color indexed="64"/>
        </right>
      </border>
    </dxf>
    <dxf>
      <numFmt numFmtId="14" formatCode="0.00%"/>
    </dxf>
    <dxf>
      <border outline="0">
        <right style="thin">
          <color indexed="64"/>
        </right>
      </border>
    </dxf>
    <dxf>
      <border diagonalUp="0" diagonalDown="0" outline="0">
        <left/>
        <right style="thin">
          <color indexed="64"/>
        </right>
        <top/>
        <bottom/>
      </border>
    </dxf>
    <dxf>
      <border outline="0">
        <right style="thin">
          <color indexed="64"/>
        </right>
      </border>
    </dxf>
    <dxf>
      <numFmt numFmtId="14" formatCode="0.00%"/>
    </dxf>
    <dxf>
      <numFmt numFmtId="14" formatCode="0.00%"/>
    </dxf>
    <dxf>
      <border outline="0">
        <right style="thin">
          <color indexed="64"/>
        </right>
      </border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JP Morgan 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Services '!$B$2</c:f>
              <c:strCache>
                <c:ptCount val="1"/>
                <c:pt idx="0">
                  <c:v>Board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'!$B$3:$B$7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9-0142-BF06-57BCDB10E31A}"/>
            </c:ext>
          </c:extLst>
        </c:ser>
        <c:ser>
          <c:idx val="1"/>
          <c:order val="1"/>
          <c:tx>
            <c:strRef>
              <c:f>'Financial Services '!$C$2</c:f>
              <c:strCache>
                <c:ptCount val="1"/>
                <c:pt idx="0">
                  <c:v>Independent Members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'!$C$3:$C$7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9-0142-BF06-57BCDB10E31A}"/>
            </c:ext>
          </c:extLst>
        </c:ser>
        <c:ser>
          <c:idx val="2"/>
          <c:order val="2"/>
          <c:tx>
            <c:strRef>
              <c:f>'Financial Services '!$D$2</c:f>
              <c:strCache>
                <c:ptCount val="1"/>
                <c:pt idx="0">
                  <c:v>Board Independence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'!$D$3:$D$7</c:f>
              <c:numCache>
                <c:formatCode>0.00%</c:formatCode>
                <c:ptCount val="5"/>
                <c:pt idx="0">
                  <c:v>0.81818181818181823</c:v>
                </c:pt>
                <c:pt idx="1">
                  <c:v>0.90909090909090906</c:v>
                </c:pt>
                <c:pt idx="2">
                  <c:v>0.90909090909090906</c:v>
                </c:pt>
                <c:pt idx="3">
                  <c:v>0.91666666666666663</c:v>
                </c:pt>
                <c:pt idx="4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9-0142-BF06-57BCDB10E31A}"/>
            </c:ext>
          </c:extLst>
        </c:ser>
        <c:ser>
          <c:idx val="3"/>
          <c:order val="3"/>
          <c:tx>
            <c:strRef>
              <c:f>'Financial Services '!$E$2</c:f>
              <c:strCache>
                <c:ptCount val="1"/>
                <c:pt idx="0">
                  <c:v># of Females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'!$E$3:$E$7</c:f>
              <c:numCache>
                <c:formatCode>General</c:formatCode>
                <c:ptCount val="5"/>
                <c:pt idx="0" formatCode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9-0142-BF06-57BCDB10E31A}"/>
            </c:ext>
          </c:extLst>
        </c:ser>
        <c:ser>
          <c:idx val="4"/>
          <c:order val="4"/>
          <c:tx>
            <c:strRef>
              <c:f>'Financial Services '!$G$2</c:f>
              <c:strCache>
                <c:ptCount val="1"/>
                <c:pt idx="0">
                  <c:v>Combined ESG Score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'!$G$3:$G$7</c:f>
              <c:numCache>
                <c:formatCode>General</c:formatCode>
                <c:ptCount val="5"/>
                <c:pt idx="0">
                  <c:v>46.73</c:v>
                </c:pt>
                <c:pt idx="1">
                  <c:v>42.8</c:v>
                </c:pt>
                <c:pt idx="2">
                  <c:v>42.72</c:v>
                </c:pt>
                <c:pt idx="3">
                  <c:v>49.16</c:v>
                </c:pt>
                <c:pt idx="4">
                  <c:v>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19-0142-BF06-57BCDB10E31A}"/>
            </c:ext>
          </c:extLst>
        </c:ser>
        <c:ser>
          <c:idx val="5"/>
          <c:order val="5"/>
          <c:tx>
            <c:strRef>
              <c:f>'Financial Services '!$H$2</c:f>
              <c:strCache>
                <c:ptCount val="1"/>
                <c:pt idx="0">
                  <c:v>Governance Score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'!$H$3:$H$7</c:f>
              <c:numCache>
                <c:formatCode>General</c:formatCode>
                <c:ptCount val="5"/>
                <c:pt idx="0">
                  <c:v>84.81</c:v>
                </c:pt>
                <c:pt idx="1">
                  <c:v>75.7</c:v>
                </c:pt>
                <c:pt idx="2">
                  <c:v>81.72</c:v>
                </c:pt>
                <c:pt idx="3">
                  <c:v>84.51</c:v>
                </c:pt>
                <c:pt idx="4">
                  <c:v>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19-0142-BF06-57BCDB10E31A}"/>
            </c:ext>
          </c:extLst>
        </c:ser>
        <c:ser>
          <c:idx val="6"/>
          <c:order val="6"/>
          <c:tx>
            <c:strRef>
              <c:f>'Financial Services '!$I$2</c:f>
              <c:strCache>
                <c:ptCount val="1"/>
                <c:pt idx="0">
                  <c:v>ESG Score Overall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'!$I$3:$I$7</c:f>
              <c:numCache>
                <c:formatCode>General</c:formatCode>
                <c:ptCount val="5"/>
                <c:pt idx="0">
                  <c:v>84.56</c:v>
                </c:pt>
                <c:pt idx="1">
                  <c:v>78.459999999999994</c:v>
                </c:pt>
                <c:pt idx="2">
                  <c:v>82.99</c:v>
                </c:pt>
                <c:pt idx="3">
                  <c:v>84.73</c:v>
                </c:pt>
                <c:pt idx="4">
                  <c:v>83.17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19-0142-BF06-57BCDB10E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0124831"/>
        <c:axId val="340743391"/>
      </c:barChart>
      <c:catAx>
        <c:axId val="3401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43391"/>
        <c:crosses val="autoZero"/>
        <c:auto val="1"/>
        <c:lblAlgn val="ctr"/>
        <c:lblOffset val="100"/>
        <c:noMultiLvlLbl val="0"/>
      </c:catAx>
      <c:valAx>
        <c:axId val="3407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BP PLC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Oil!$B$38</c:f>
              <c:strCache>
                <c:ptCount val="1"/>
                <c:pt idx="0">
                  <c:v>Board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Oil!$A$39:$A$43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Oil!$B$39:$B$43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A-284A-9BB3-56EB7D4A8D85}"/>
            </c:ext>
          </c:extLst>
        </c:ser>
        <c:ser>
          <c:idx val="1"/>
          <c:order val="1"/>
          <c:tx>
            <c:strRef>
              <c:f>Oil!$C$38</c:f>
              <c:strCache>
                <c:ptCount val="1"/>
                <c:pt idx="0">
                  <c:v>Independent Members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Oil!$A$39:$A$43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Oil!$C$39:$C$43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A-284A-9BB3-56EB7D4A8D85}"/>
            </c:ext>
          </c:extLst>
        </c:ser>
        <c:ser>
          <c:idx val="2"/>
          <c:order val="2"/>
          <c:tx>
            <c:strRef>
              <c:f>Oil!$D$38</c:f>
              <c:strCache>
                <c:ptCount val="1"/>
                <c:pt idx="0">
                  <c:v>Board Independence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Oil!$A$39:$A$43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Oil!$D$39:$D$43</c:f>
              <c:numCache>
                <c:formatCode>0.00%</c:formatCode>
                <c:ptCount val="5"/>
                <c:pt idx="0">
                  <c:v>0.91666666666666663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DA-284A-9BB3-56EB7D4A8D85}"/>
            </c:ext>
          </c:extLst>
        </c:ser>
        <c:ser>
          <c:idx val="3"/>
          <c:order val="3"/>
          <c:tx>
            <c:strRef>
              <c:f>Oil!$E$38</c:f>
              <c:strCache>
                <c:ptCount val="1"/>
                <c:pt idx="0">
                  <c:v># of Females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Oil!$A$39:$A$43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Oil!$E$39:$E$43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DA-284A-9BB3-56EB7D4A8D85}"/>
            </c:ext>
          </c:extLst>
        </c:ser>
        <c:ser>
          <c:idx val="4"/>
          <c:order val="4"/>
          <c:tx>
            <c:strRef>
              <c:f>Oil!$G$38</c:f>
              <c:strCache>
                <c:ptCount val="1"/>
                <c:pt idx="0">
                  <c:v>Combined ESG Score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Oil!$A$39:$A$43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Oil!$G$39:$G$43</c:f>
              <c:numCache>
                <c:formatCode>General</c:formatCode>
                <c:ptCount val="5"/>
                <c:pt idx="0">
                  <c:v>87.47</c:v>
                </c:pt>
                <c:pt idx="1">
                  <c:v>56.36</c:v>
                </c:pt>
                <c:pt idx="2">
                  <c:v>61.43</c:v>
                </c:pt>
                <c:pt idx="3">
                  <c:v>45.33</c:v>
                </c:pt>
                <c:pt idx="4">
                  <c:v>49.63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DA-284A-9BB3-56EB7D4A8D85}"/>
            </c:ext>
          </c:extLst>
        </c:ser>
        <c:ser>
          <c:idx val="5"/>
          <c:order val="5"/>
          <c:tx>
            <c:strRef>
              <c:f>Oil!$H$38</c:f>
              <c:strCache>
                <c:ptCount val="1"/>
                <c:pt idx="0">
                  <c:v>Governance Score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Oil!$A$39:$A$43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Oil!$H$39:$H$43</c:f>
              <c:numCache>
                <c:formatCode>General</c:formatCode>
                <c:ptCount val="5"/>
                <c:pt idx="0">
                  <c:v>78.650000000000006</c:v>
                </c:pt>
                <c:pt idx="1">
                  <c:v>94.19</c:v>
                </c:pt>
                <c:pt idx="2">
                  <c:v>92.53</c:v>
                </c:pt>
                <c:pt idx="3">
                  <c:v>92.36</c:v>
                </c:pt>
                <c:pt idx="4">
                  <c:v>93.57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DA-284A-9BB3-56EB7D4A8D85}"/>
            </c:ext>
          </c:extLst>
        </c:ser>
        <c:ser>
          <c:idx val="6"/>
          <c:order val="6"/>
          <c:tx>
            <c:strRef>
              <c:f>Oil!$I$38</c:f>
              <c:strCache>
                <c:ptCount val="1"/>
                <c:pt idx="0">
                  <c:v>ESG Score Overall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Oil!$A$39:$A$43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Oil!$I$39:$I$43</c:f>
              <c:numCache>
                <c:formatCode>General</c:formatCode>
                <c:ptCount val="5"/>
                <c:pt idx="0">
                  <c:v>87.47</c:v>
                </c:pt>
                <c:pt idx="1">
                  <c:v>90.49</c:v>
                </c:pt>
                <c:pt idx="2">
                  <c:v>87.68</c:v>
                </c:pt>
                <c:pt idx="3">
                  <c:v>86.76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DA-284A-9BB3-56EB7D4A8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0124831"/>
        <c:axId val="340743391"/>
      </c:barChart>
      <c:catAx>
        <c:axId val="3401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43391"/>
        <c:crosses val="autoZero"/>
        <c:auto val="1"/>
        <c:lblAlgn val="ctr"/>
        <c:lblOffset val="100"/>
        <c:noMultiLvlLbl val="0"/>
      </c:catAx>
      <c:valAx>
        <c:axId val="3407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City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Services '!$B$19</c:f>
              <c:strCache>
                <c:ptCount val="1"/>
                <c:pt idx="0">
                  <c:v>Board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'!$A$20:$A$24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'!$B$20:$B$24</c:f>
              <c:numCache>
                <c:formatCode>General</c:formatCode>
                <c:ptCount val="5"/>
                <c:pt idx="0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7-8E4A-9207-A7BF4269A202}"/>
            </c:ext>
          </c:extLst>
        </c:ser>
        <c:ser>
          <c:idx val="1"/>
          <c:order val="1"/>
          <c:tx>
            <c:strRef>
              <c:f>'Financial Services '!$C$19</c:f>
              <c:strCache>
                <c:ptCount val="1"/>
                <c:pt idx="0">
                  <c:v>Independent Members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'!$A$20:$A$24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'!$C$20:$C$24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7-8E4A-9207-A7BF4269A202}"/>
            </c:ext>
          </c:extLst>
        </c:ser>
        <c:ser>
          <c:idx val="2"/>
          <c:order val="2"/>
          <c:tx>
            <c:strRef>
              <c:f>'Financial Services '!$D$19</c:f>
              <c:strCache>
                <c:ptCount val="1"/>
                <c:pt idx="0">
                  <c:v>Board Independence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'!$A$20:$A$24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'!$D$20:$D$24</c:f>
              <c:numCache>
                <c:formatCode>0.00%</c:formatCode>
                <c:ptCount val="5"/>
                <c:pt idx="0">
                  <c:v>0.6470588235294118</c:v>
                </c:pt>
                <c:pt idx="1">
                  <c:v>0.6470588235294118</c:v>
                </c:pt>
                <c:pt idx="2">
                  <c:v>0.8</c:v>
                </c:pt>
                <c:pt idx="3">
                  <c:v>0.8</c:v>
                </c:pt>
                <c:pt idx="4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7-8E4A-9207-A7BF4269A202}"/>
            </c:ext>
          </c:extLst>
        </c:ser>
        <c:ser>
          <c:idx val="3"/>
          <c:order val="3"/>
          <c:tx>
            <c:strRef>
              <c:f>'Financial Services '!$E$19</c:f>
              <c:strCache>
                <c:ptCount val="1"/>
                <c:pt idx="0">
                  <c:v># of Females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'!$A$20:$A$24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'!$E$20:$E$24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A7-8E4A-9207-A7BF4269A202}"/>
            </c:ext>
          </c:extLst>
        </c:ser>
        <c:ser>
          <c:idx val="4"/>
          <c:order val="4"/>
          <c:tx>
            <c:strRef>
              <c:f>'Financial Services '!$G$19</c:f>
              <c:strCache>
                <c:ptCount val="1"/>
                <c:pt idx="0">
                  <c:v>Combined ESG Score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'!$A$20:$A$24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'!$G$20:$G$24</c:f>
              <c:numCache>
                <c:formatCode>General</c:formatCode>
                <c:ptCount val="5"/>
                <c:pt idx="0">
                  <c:v>46.91</c:v>
                </c:pt>
                <c:pt idx="1">
                  <c:v>47.83</c:v>
                </c:pt>
                <c:pt idx="2">
                  <c:v>45.32</c:v>
                </c:pt>
                <c:pt idx="3">
                  <c:v>51.92</c:v>
                </c:pt>
                <c:pt idx="4">
                  <c:v>44.58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A7-8E4A-9207-A7BF4269A202}"/>
            </c:ext>
          </c:extLst>
        </c:ser>
        <c:ser>
          <c:idx val="5"/>
          <c:order val="5"/>
          <c:tx>
            <c:strRef>
              <c:f>'Financial Services '!$H$19</c:f>
              <c:strCache>
                <c:ptCount val="1"/>
                <c:pt idx="0">
                  <c:v>Governance Score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'!$A$20:$A$24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'!$H$20:$H$24</c:f>
              <c:numCache>
                <c:formatCode>General</c:formatCode>
                <c:ptCount val="5"/>
                <c:pt idx="0">
                  <c:v>86.09</c:v>
                </c:pt>
                <c:pt idx="1">
                  <c:v>82.13</c:v>
                </c:pt>
                <c:pt idx="2">
                  <c:v>85.39</c:v>
                </c:pt>
                <c:pt idx="3">
                  <c:v>92.19</c:v>
                </c:pt>
                <c:pt idx="4">
                  <c:v>86.12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A7-8E4A-9207-A7BF4269A202}"/>
            </c:ext>
          </c:extLst>
        </c:ser>
        <c:ser>
          <c:idx val="6"/>
          <c:order val="6"/>
          <c:tx>
            <c:strRef>
              <c:f>'Financial Services '!$I$19</c:f>
              <c:strCache>
                <c:ptCount val="1"/>
                <c:pt idx="0">
                  <c:v>ESG Score Overall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'!$A$20:$A$24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'!$I$20:$I$24</c:f>
              <c:numCache>
                <c:formatCode>General</c:formatCode>
                <c:ptCount val="5"/>
                <c:pt idx="0">
                  <c:v>84.92</c:v>
                </c:pt>
                <c:pt idx="1">
                  <c:v>81.97</c:v>
                </c:pt>
                <c:pt idx="2">
                  <c:v>86.48</c:v>
                </c:pt>
                <c:pt idx="3">
                  <c:v>84.11</c:v>
                </c:pt>
                <c:pt idx="4">
                  <c:v>85.22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A7-8E4A-9207-A7BF4269A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0124831"/>
        <c:axId val="340743391"/>
      </c:barChart>
      <c:catAx>
        <c:axId val="3401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43391"/>
        <c:crosses val="autoZero"/>
        <c:auto val="1"/>
        <c:lblAlgn val="ctr"/>
        <c:lblOffset val="100"/>
        <c:noMultiLvlLbl val="0"/>
      </c:catAx>
      <c:valAx>
        <c:axId val="3407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Goldman Sachs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Services '!$B$27</c:f>
              <c:strCache>
                <c:ptCount val="1"/>
                <c:pt idx="0">
                  <c:v>Board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'!$A$28:$A$32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'!$B$28:$B$32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B-A349-9C5C-BD324FAC0CFC}"/>
            </c:ext>
          </c:extLst>
        </c:ser>
        <c:ser>
          <c:idx val="1"/>
          <c:order val="1"/>
          <c:tx>
            <c:strRef>
              <c:f>'Financial Services '!$C$27</c:f>
              <c:strCache>
                <c:ptCount val="1"/>
                <c:pt idx="0">
                  <c:v>Independent Members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'!$A$28:$A$32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'!$C$28:$C$32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B-A349-9C5C-BD324FAC0CFC}"/>
            </c:ext>
          </c:extLst>
        </c:ser>
        <c:ser>
          <c:idx val="2"/>
          <c:order val="2"/>
          <c:tx>
            <c:strRef>
              <c:f>'Financial Services '!$D$27</c:f>
              <c:strCache>
                <c:ptCount val="1"/>
                <c:pt idx="0">
                  <c:v>Board Independence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'!$A$28:$A$32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'!$D$28:$D$32</c:f>
              <c:numCache>
                <c:formatCode>0.00%</c:formatCode>
                <c:ptCount val="5"/>
                <c:pt idx="0">
                  <c:v>0.90909090909090906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0.84615384615384615</c:v>
                </c:pt>
                <c:pt idx="4">
                  <c:v>0.84615384615384615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DB-A349-9C5C-BD324FAC0CFC}"/>
            </c:ext>
          </c:extLst>
        </c:ser>
        <c:ser>
          <c:idx val="3"/>
          <c:order val="3"/>
          <c:tx>
            <c:strRef>
              <c:f>'Financial Services '!$E$27</c:f>
              <c:strCache>
                <c:ptCount val="1"/>
                <c:pt idx="0">
                  <c:v># of Females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'!$A$28:$A$32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'!$E$28:$E$32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DB-A349-9C5C-BD324FAC0CFC}"/>
            </c:ext>
          </c:extLst>
        </c:ser>
        <c:ser>
          <c:idx val="4"/>
          <c:order val="4"/>
          <c:tx>
            <c:strRef>
              <c:f>'Financial Services '!$G$27</c:f>
              <c:strCache>
                <c:ptCount val="1"/>
                <c:pt idx="0">
                  <c:v>Combined ESG Score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'!$A$28:$A$32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'!$G$28:$G$32</c:f>
              <c:numCache>
                <c:formatCode>General</c:formatCode>
                <c:ptCount val="5"/>
                <c:pt idx="0">
                  <c:v>44.56</c:v>
                </c:pt>
                <c:pt idx="1">
                  <c:v>35.71</c:v>
                </c:pt>
                <c:pt idx="2">
                  <c:v>44.65</c:v>
                </c:pt>
                <c:pt idx="3">
                  <c:v>46.77</c:v>
                </c:pt>
                <c:pt idx="4">
                  <c:v>42.98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DB-A349-9C5C-BD324FAC0CFC}"/>
            </c:ext>
          </c:extLst>
        </c:ser>
        <c:ser>
          <c:idx val="5"/>
          <c:order val="5"/>
          <c:tx>
            <c:strRef>
              <c:f>'Financial Services '!$H$27</c:f>
              <c:strCache>
                <c:ptCount val="1"/>
                <c:pt idx="0">
                  <c:v>Governance Score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'!$A$28:$A$32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'!$H$28:$H$32</c:f>
              <c:numCache>
                <c:formatCode>General</c:formatCode>
                <c:ptCount val="5"/>
                <c:pt idx="0">
                  <c:v>48.04</c:v>
                </c:pt>
                <c:pt idx="1">
                  <c:v>51.98</c:v>
                </c:pt>
                <c:pt idx="2">
                  <c:v>82.99</c:v>
                </c:pt>
                <c:pt idx="3">
                  <c:v>90.22</c:v>
                </c:pt>
                <c:pt idx="4">
                  <c:v>85.62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DB-A349-9C5C-BD324FAC0CFC}"/>
            </c:ext>
          </c:extLst>
        </c:ser>
        <c:ser>
          <c:idx val="6"/>
          <c:order val="6"/>
          <c:tx>
            <c:strRef>
              <c:f>'Financial Services '!$I$27</c:f>
              <c:strCache>
                <c:ptCount val="1"/>
                <c:pt idx="0">
                  <c:v>ESG Score Overall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'!$A$28:$A$32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'!$I$28:$I$32</c:f>
              <c:numCache>
                <c:formatCode>General</c:formatCode>
                <c:ptCount val="5"/>
                <c:pt idx="0">
                  <c:v>66.42</c:v>
                </c:pt>
                <c:pt idx="1">
                  <c:v>69.56</c:v>
                </c:pt>
                <c:pt idx="2">
                  <c:v>82.36</c:v>
                </c:pt>
                <c:pt idx="3">
                  <c:v>87.13</c:v>
                </c:pt>
                <c:pt idx="4">
                  <c:v>84.65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DB-A349-9C5C-BD324FAC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0124831"/>
        <c:axId val="340743391"/>
      </c:barChart>
      <c:catAx>
        <c:axId val="3401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43391"/>
        <c:crosses val="autoZero"/>
        <c:auto val="1"/>
        <c:lblAlgn val="ctr"/>
        <c:lblOffset val="100"/>
        <c:noMultiLvlLbl val="0"/>
      </c:catAx>
      <c:valAx>
        <c:axId val="3407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Morgan Stanley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Services '!$B$36</c:f>
              <c:strCache>
                <c:ptCount val="1"/>
                <c:pt idx="0">
                  <c:v>Board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'!$A$37:$A$41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'!$B$37:$B$41</c:f>
              <c:numCache>
                <c:formatCode>General</c:formatCode>
                <c:ptCount val="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5-874B-80E1-1733A15E5636}"/>
            </c:ext>
          </c:extLst>
        </c:ser>
        <c:ser>
          <c:idx val="1"/>
          <c:order val="1"/>
          <c:tx>
            <c:strRef>
              <c:f>'Financial Services '!$C$36</c:f>
              <c:strCache>
                <c:ptCount val="1"/>
                <c:pt idx="0">
                  <c:v>Independent Members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'!$A$37:$A$41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'!$C$37:$C$41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5-874B-80E1-1733A15E5636}"/>
            </c:ext>
          </c:extLst>
        </c:ser>
        <c:ser>
          <c:idx val="2"/>
          <c:order val="2"/>
          <c:tx>
            <c:strRef>
              <c:f>'Financial Services '!$D$36</c:f>
              <c:strCache>
                <c:ptCount val="1"/>
                <c:pt idx="0">
                  <c:v>Board Independence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'!$A$37:$A$41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'!$D$37:$D$41</c:f>
              <c:numCache>
                <c:formatCode>0.00%</c:formatCode>
                <c:ptCount val="5"/>
                <c:pt idx="0">
                  <c:v>0.76923076923076927</c:v>
                </c:pt>
                <c:pt idx="1">
                  <c:v>0.76923076923076927</c:v>
                </c:pt>
                <c:pt idx="2">
                  <c:v>0.84615384615384615</c:v>
                </c:pt>
                <c:pt idx="3">
                  <c:v>0.84615384615384615</c:v>
                </c:pt>
                <c:pt idx="4">
                  <c:v>0.84615384615384615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5-874B-80E1-1733A15E5636}"/>
            </c:ext>
          </c:extLst>
        </c:ser>
        <c:ser>
          <c:idx val="3"/>
          <c:order val="3"/>
          <c:tx>
            <c:strRef>
              <c:f>'Financial Services '!$E$36</c:f>
              <c:strCache>
                <c:ptCount val="1"/>
                <c:pt idx="0">
                  <c:v># of Females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'!$A$37:$A$41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'!$E$37:$E$41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25-874B-80E1-1733A15E5636}"/>
            </c:ext>
          </c:extLst>
        </c:ser>
        <c:ser>
          <c:idx val="4"/>
          <c:order val="4"/>
          <c:tx>
            <c:strRef>
              <c:f>'Financial Services '!$G$36</c:f>
              <c:strCache>
                <c:ptCount val="1"/>
                <c:pt idx="0">
                  <c:v>Combined ESG Score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'!$A$37:$A$41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'!$G$37:$G$41</c:f>
              <c:numCache>
                <c:formatCode>General</c:formatCode>
                <c:ptCount val="5"/>
                <c:pt idx="0">
                  <c:v>50.16</c:v>
                </c:pt>
                <c:pt idx="1">
                  <c:v>37.630000000000003</c:v>
                </c:pt>
                <c:pt idx="2">
                  <c:v>39.43</c:v>
                </c:pt>
                <c:pt idx="3">
                  <c:v>35.4</c:v>
                </c:pt>
                <c:pt idx="4">
                  <c:v>31.65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25-874B-80E1-1733A15E5636}"/>
            </c:ext>
          </c:extLst>
        </c:ser>
        <c:ser>
          <c:idx val="5"/>
          <c:order val="5"/>
          <c:tx>
            <c:strRef>
              <c:f>'Financial Services '!$H$36</c:f>
              <c:strCache>
                <c:ptCount val="1"/>
                <c:pt idx="0">
                  <c:v>Governance Score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'!$A$37:$A$41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'!$H$37:$H$41</c:f>
              <c:numCache>
                <c:formatCode>General</c:formatCode>
                <c:ptCount val="5"/>
                <c:pt idx="0">
                  <c:v>68.260000000000005</c:v>
                </c:pt>
                <c:pt idx="1">
                  <c:v>58.11</c:v>
                </c:pt>
                <c:pt idx="2">
                  <c:v>55.78</c:v>
                </c:pt>
                <c:pt idx="3">
                  <c:v>46.15</c:v>
                </c:pt>
                <c:pt idx="4">
                  <c:v>47.62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25-874B-80E1-1733A15E5636}"/>
            </c:ext>
          </c:extLst>
        </c:ser>
        <c:ser>
          <c:idx val="6"/>
          <c:order val="6"/>
          <c:tx>
            <c:strRef>
              <c:f>'Financial Services '!$I$36</c:f>
              <c:strCache>
                <c:ptCount val="1"/>
                <c:pt idx="0">
                  <c:v>ESG Score Overall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'!$A$37:$A$41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'!$I$37:$I$41</c:f>
              <c:numCache>
                <c:formatCode>General</c:formatCode>
                <c:ptCount val="5"/>
                <c:pt idx="0">
                  <c:v>73.25</c:v>
                </c:pt>
                <c:pt idx="1">
                  <c:v>68.45</c:v>
                </c:pt>
                <c:pt idx="2">
                  <c:v>65.900000000000006</c:v>
                </c:pt>
                <c:pt idx="3">
                  <c:v>61.07</c:v>
                </c:pt>
                <c:pt idx="4">
                  <c:v>62.02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25-874B-80E1-1733A15E5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0124831"/>
        <c:axId val="340743391"/>
      </c:barChart>
      <c:catAx>
        <c:axId val="3401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43391"/>
        <c:crosses val="autoZero"/>
        <c:auto val="1"/>
        <c:lblAlgn val="ctr"/>
        <c:lblOffset val="100"/>
        <c:noMultiLvlLbl val="0"/>
      </c:catAx>
      <c:valAx>
        <c:axId val="3407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Bank Of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'Financial Services '!$B$11</c:f>
              <c:strCache>
                <c:ptCount val="1"/>
                <c:pt idx="0">
                  <c:v>Board Size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'!$A$12:$A$16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'!$B$12:$B$16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B-1449-BCE7-5F7E0F29F115}"/>
            </c:ext>
          </c:extLst>
        </c:ser>
        <c:ser>
          <c:idx val="2"/>
          <c:order val="1"/>
          <c:tx>
            <c:strRef>
              <c:f>'Financial Services '!$C$11</c:f>
              <c:strCache>
                <c:ptCount val="1"/>
                <c:pt idx="0">
                  <c:v>Independent Members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'!$A$12:$A$16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'!$C$12:$C$16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B-1449-BCE7-5F7E0F29F115}"/>
            </c:ext>
          </c:extLst>
        </c:ser>
        <c:ser>
          <c:idx val="3"/>
          <c:order val="2"/>
          <c:tx>
            <c:strRef>
              <c:f>'Financial Services '!$D$11</c:f>
              <c:strCache>
                <c:ptCount val="1"/>
                <c:pt idx="0">
                  <c:v>Board Independence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'!$A$12:$A$16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'!$D$12:$D$16</c:f>
              <c:numCache>
                <c:formatCode>0.00%</c:formatCode>
                <c:ptCount val="5"/>
                <c:pt idx="0">
                  <c:v>0.76923076923076927</c:v>
                </c:pt>
                <c:pt idx="1">
                  <c:v>0.7857142857142857</c:v>
                </c:pt>
                <c:pt idx="2">
                  <c:v>0.8571428571428571</c:v>
                </c:pt>
                <c:pt idx="3">
                  <c:v>0.92307692307692313</c:v>
                </c:pt>
                <c:pt idx="4">
                  <c:v>0.9285714285714286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DB-1449-BCE7-5F7E0F29F115}"/>
            </c:ext>
          </c:extLst>
        </c:ser>
        <c:ser>
          <c:idx val="4"/>
          <c:order val="3"/>
          <c:tx>
            <c:strRef>
              <c:f>'Financial Services '!$E$11</c:f>
              <c:strCache>
                <c:ptCount val="1"/>
                <c:pt idx="0">
                  <c:v># of Females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'!$A$12:$A$16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'!$E$12:$E$16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DB-1449-BCE7-5F7E0F29F115}"/>
            </c:ext>
          </c:extLst>
        </c:ser>
        <c:ser>
          <c:idx val="5"/>
          <c:order val="4"/>
          <c:tx>
            <c:strRef>
              <c:f>'Financial Services '!$G$11</c:f>
              <c:strCache>
                <c:ptCount val="1"/>
                <c:pt idx="0">
                  <c:v>Combined ESG Score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'!$A$12:$A$16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'!$G$12:$G$16</c:f>
              <c:numCache>
                <c:formatCode>General</c:formatCode>
                <c:ptCount val="5"/>
                <c:pt idx="0">
                  <c:v>43.35</c:v>
                </c:pt>
                <c:pt idx="1">
                  <c:v>43.66</c:v>
                </c:pt>
                <c:pt idx="2">
                  <c:v>46.44</c:v>
                </c:pt>
                <c:pt idx="3">
                  <c:v>45.98</c:v>
                </c:pt>
                <c:pt idx="4">
                  <c:v>47.89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DB-1449-BCE7-5F7E0F29F115}"/>
            </c:ext>
          </c:extLst>
        </c:ser>
        <c:ser>
          <c:idx val="6"/>
          <c:order val="5"/>
          <c:tx>
            <c:strRef>
              <c:f>'Financial Services '!$H$11</c:f>
              <c:strCache>
                <c:ptCount val="1"/>
                <c:pt idx="0">
                  <c:v>Governance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'!$A$12:$A$16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'!$H$12:$H$16</c:f>
              <c:numCache>
                <c:formatCode>General</c:formatCode>
                <c:ptCount val="5"/>
                <c:pt idx="0">
                  <c:v>46.08</c:v>
                </c:pt>
                <c:pt idx="1">
                  <c:v>54.98</c:v>
                </c:pt>
                <c:pt idx="2">
                  <c:v>66.430000000000007</c:v>
                </c:pt>
                <c:pt idx="3">
                  <c:v>66.37</c:v>
                </c:pt>
                <c:pt idx="4">
                  <c:v>55.27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DB-1449-BCE7-5F7E0F29F115}"/>
            </c:ext>
          </c:extLst>
        </c:ser>
        <c:ser>
          <c:idx val="7"/>
          <c:order val="6"/>
          <c:tx>
            <c:strRef>
              <c:f>'Financial Services '!$I$11</c:f>
              <c:strCache>
                <c:ptCount val="1"/>
                <c:pt idx="0">
                  <c:v>ESG Score Overall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Services '!$A$12:$A$16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'Financial Services '!$I$12:$I$16</c:f>
              <c:numCache>
                <c:formatCode>General</c:formatCode>
                <c:ptCount val="5"/>
                <c:pt idx="0">
                  <c:v>75.38</c:v>
                </c:pt>
                <c:pt idx="1">
                  <c:v>75.42</c:v>
                </c:pt>
                <c:pt idx="2">
                  <c:v>80.63</c:v>
                </c:pt>
                <c:pt idx="3">
                  <c:v>81.42</c:v>
                </c:pt>
                <c:pt idx="4">
                  <c:v>76.22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DB-1449-BCE7-5F7E0F29F11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0124831"/>
        <c:axId val="340743391"/>
      </c:barChart>
      <c:catAx>
        <c:axId val="3401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43391"/>
        <c:crosses val="autoZero"/>
        <c:auto val="1"/>
        <c:lblAlgn val="ctr"/>
        <c:lblOffset val="100"/>
        <c:noMultiLvlLbl val="0"/>
      </c:catAx>
      <c:valAx>
        <c:axId val="3407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Exxon Mobile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Oil!$B$2</c:f>
              <c:strCache>
                <c:ptCount val="1"/>
                <c:pt idx="0">
                  <c:v>Board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Oil!$B$3:$B$7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3-F942-9EAE-E1B9B0177AB9}"/>
            </c:ext>
          </c:extLst>
        </c:ser>
        <c:ser>
          <c:idx val="1"/>
          <c:order val="1"/>
          <c:tx>
            <c:strRef>
              <c:f>Oil!$C$2</c:f>
              <c:strCache>
                <c:ptCount val="1"/>
                <c:pt idx="0">
                  <c:v>Independent Members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Oil!$C$3:$C$7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3-F942-9EAE-E1B9B0177AB9}"/>
            </c:ext>
          </c:extLst>
        </c:ser>
        <c:ser>
          <c:idx val="2"/>
          <c:order val="2"/>
          <c:tx>
            <c:strRef>
              <c:f>Oil!$D$2</c:f>
              <c:strCache>
                <c:ptCount val="1"/>
                <c:pt idx="0">
                  <c:v>Board Independence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Oil!$D$3:$D$7</c:f>
              <c:numCache>
                <c:formatCode>0.00%</c:formatCode>
                <c:ptCount val="5"/>
                <c:pt idx="0">
                  <c:v>0.83333333333333337</c:v>
                </c:pt>
                <c:pt idx="1">
                  <c:v>0.83333333333333337</c:v>
                </c:pt>
                <c:pt idx="2">
                  <c:v>0.75</c:v>
                </c:pt>
                <c:pt idx="3">
                  <c:v>0.81818181818181823</c:v>
                </c:pt>
                <c:pt idx="4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3-F942-9EAE-E1B9B0177AB9}"/>
            </c:ext>
          </c:extLst>
        </c:ser>
        <c:ser>
          <c:idx val="3"/>
          <c:order val="3"/>
          <c:tx>
            <c:strRef>
              <c:f>Oil!$E$2</c:f>
              <c:strCache>
                <c:ptCount val="1"/>
                <c:pt idx="0">
                  <c:v># of Females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Oil!$E$3:$E$7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3-F942-9EAE-E1B9B0177AB9}"/>
            </c:ext>
          </c:extLst>
        </c:ser>
        <c:ser>
          <c:idx val="4"/>
          <c:order val="4"/>
          <c:tx>
            <c:strRef>
              <c:f>Oil!$G$2</c:f>
              <c:strCache>
                <c:ptCount val="1"/>
                <c:pt idx="0">
                  <c:v>Combined ESG Score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Oil!$G$3:$G$7</c:f>
              <c:numCache>
                <c:formatCode>General</c:formatCode>
                <c:ptCount val="5"/>
                <c:pt idx="0">
                  <c:v>41.61</c:v>
                </c:pt>
                <c:pt idx="1">
                  <c:v>42.51</c:v>
                </c:pt>
                <c:pt idx="2">
                  <c:v>38.369999999999997</c:v>
                </c:pt>
                <c:pt idx="3">
                  <c:v>35.4</c:v>
                </c:pt>
                <c:pt idx="4">
                  <c:v>38.96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E3-F942-9EAE-E1B9B0177AB9}"/>
            </c:ext>
          </c:extLst>
        </c:ser>
        <c:ser>
          <c:idx val="5"/>
          <c:order val="5"/>
          <c:tx>
            <c:strRef>
              <c:f>Oil!$H$2</c:f>
              <c:strCache>
                <c:ptCount val="1"/>
                <c:pt idx="0">
                  <c:v>Governance Score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Oil!$H$3:$H$7</c:f>
              <c:numCache>
                <c:formatCode>General</c:formatCode>
                <c:ptCount val="5"/>
                <c:pt idx="0">
                  <c:v>50.88</c:v>
                </c:pt>
                <c:pt idx="1">
                  <c:v>49.84</c:v>
                </c:pt>
                <c:pt idx="2">
                  <c:v>45.18</c:v>
                </c:pt>
                <c:pt idx="3">
                  <c:v>44.87</c:v>
                </c:pt>
                <c:pt idx="4">
                  <c:v>48.05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E3-F942-9EAE-E1B9B0177AB9}"/>
            </c:ext>
          </c:extLst>
        </c:ser>
        <c:ser>
          <c:idx val="6"/>
          <c:order val="6"/>
          <c:tx>
            <c:strRef>
              <c:f>Oil!$I$2</c:f>
              <c:strCache>
                <c:ptCount val="1"/>
                <c:pt idx="0">
                  <c:v>ESG Score Overall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Oil!$I$3:$I$7</c:f>
              <c:numCache>
                <c:formatCode>General</c:formatCode>
                <c:ptCount val="5"/>
                <c:pt idx="0">
                  <c:v>77.17</c:v>
                </c:pt>
                <c:pt idx="1">
                  <c:v>75.010000000000005</c:v>
                </c:pt>
                <c:pt idx="2">
                  <c:v>72.12</c:v>
                </c:pt>
                <c:pt idx="3">
                  <c:v>70.03</c:v>
                </c:pt>
                <c:pt idx="4">
                  <c:v>68.66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E3-F942-9EAE-E1B9B017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0124831"/>
        <c:axId val="340743391"/>
      </c:barChart>
      <c:catAx>
        <c:axId val="3401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43391"/>
        <c:crosses val="autoZero"/>
        <c:auto val="1"/>
        <c:lblAlgn val="ctr"/>
        <c:lblOffset val="100"/>
        <c:noMultiLvlLbl val="0"/>
      </c:catAx>
      <c:valAx>
        <c:axId val="3407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Chevron Corp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Oil!$B$11</c:f>
              <c:strCache>
                <c:ptCount val="1"/>
                <c:pt idx="0">
                  <c:v>Board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Oil!$A$12:$A$16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Oil!$B$12:$B$16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0-7A4C-81A5-8447CD9D36F9}"/>
            </c:ext>
          </c:extLst>
        </c:ser>
        <c:ser>
          <c:idx val="1"/>
          <c:order val="1"/>
          <c:tx>
            <c:strRef>
              <c:f>Oil!$C$11</c:f>
              <c:strCache>
                <c:ptCount val="1"/>
                <c:pt idx="0">
                  <c:v>Independent Members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Oil!$A$12:$A$16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Oil!$C$12:$C$16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0-7A4C-81A5-8447CD9D36F9}"/>
            </c:ext>
          </c:extLst>
        </c:ser>
        <c:ser>
          <c:idx val="2"/>
          <c:order val="2"/>
          <c:tx>
            <c:strRef>
              <c:f>Oil!$D$11</c:f>
              <c:strCache>
                <c:ptCount val="1"/>
                <c:pt idx="0">
                  <c:v>Board Independence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Oil!$A$12:$A$16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Oil!$D$12:$D$16</c:f>
              <c:numCache>
                <c:formatCode>0.00%</c:formatCode>
                <c:ptCount val="5"/>
                <c:pt idx="0">
                  <c:v>0.83333333333333337</c:v>
                </c:pt>
                <c:pt idx="1">
                  <c:v>0.83333333333333337</c:v>
                </c:pt>
                <c:pt idx="2">
                  <c:v>0.84615384615384615</c:v>
                </c:pt>
                <c:pt idx="3">
                  <c:v>0.84615384615384615</c:v>
                </c:pt>
                <c:pt idx="4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0-7A4C-81A5-8447CD9D36F9}"/>
            </c:ext>
          </c:extLst>
        </c:ser>
        <c:ser>
          <c:idx val="3"/>
          <c:order val="3"/>
          <c:tx>
            <c:strRef>
              <c:f>Oil!$E$11</c:f>
              <c:strCache>
                <c:ptCount val="1"/>
                <c:pt idx="0">
                  <c:v># of Females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Oil!$A$12:$A$16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Oil!$E$12:$E$16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80-7A4C-81A5-8447CD9D36F9}"/>
            </c:ext>
          </c:extLst>
        </c:ser>
        <c:ser>
          <c:idx val="4"/>
          <c:order val="4"/>
          <c:tx>
            <c:strRef>
              <c:f>Oil!$G$11</c:f>
              <c:strCache>
                <c:ptCount val="1"/>
                <c:pt idx="0">
                  <c:v>Combined ESG Score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Oil!$A$12:$A$16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Oil!$G$12:$G$16</c:f>
              <c:numCache>
                <c:formatCode>General</c:formatCode>
                <c:ptCount val="5"/>
                <c:pt idx="0">
                  <c:v>69.81</c:v>
                </c:pt>
                <c:pt idx="1">
                  <c:v>49.57</c:v>
                </c:pt>
                <c:pt idx="2">
                  <c:v>63.76</c:v>
                </c:pt>
                <c:pt idx="3">
                  <c:v>64.489999999999995</c:v>
                </c:pt>
                <c:pt idx="4">
                  <c:v>49.13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80-7A4C-81A5-8447CD9D36F9}"/>
            </c:ext>
          </c:extLst>
        </c:ser>
        <c:ser>
          <c:idx val="5"/>
          <c:order val="5"/>
          <c:tx>
            <c:strRef>
              <c:f>Oil!$H$11</c:f>
              <c:strCache>
                <c:ptCount val="1"/>
                <c:pt idx="0">
                  <c:v>Governance Score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Oil!$A$12:$A$16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Oil!$H$12:$H$16</c:f>
              <c:numCache>
                <c:formatCode>General</c:formatCode>
                <c:ptCount val="5"/>
                <c:pt idx="0">
                  <c:v>88.67</c:v>
                </c:pt>
                <c:pt idx="1">
                  <c:v>77.209999999999994</c:v>
                </c:pt>
                <c:pt idx="2">
                  <c:v>59.38</c:v>
                </c:pt>
                <c:pt idx="3">
                  <c:v>85.17</c:v>
                </c:pt>
                <c:pt idx="4">
                  <c:v>96.97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80-7A4C-81A5-8447CD9D36F9}"/>
            </c:ext>
          </c:extLst>
        </c:ser>
        <c:ser>
          <c:idx val="6"/>
          <c:order val="6"/>
          <c:tx>
            <c:strRef>
              <c:f>Oil!$I$11</c:f>
              <c:strCache>
                <c:ptCount val="1"/>
                <c:pt idx="0">
                  <c:v>ESG Score Overall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Oil!$A$12:$A$16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Oil!$I$12:$I$16</c:f>
              <c:numCache>
                <c:formatCode>General</c:formatCode>
                <c:ptCount val="5"/>
                <c:pt idx="0">
                  <c:v>88.11</c:v>
                </c:pt>
                <c:pt idx="1">
                  <c:v>84.7</c:v>
                </c:pt>
                <c:pt idx="2">
                  <c:v>78.459999999999994</c:v>
                </c:pt>
                <c:pt idx="3">
                  <c:v>83.67</c:v>
                </c:pt>
                <c:pt idx="4">
                  <c:v>86.23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80-7A4C-81A5-8447CD9D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0124831"/>
        <c:axId val="340743391"/>
      </c:barChart>
      <c:catAx>
        <c:axId val="3401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43391"/>
        <c:crosses val="autoZero"/>
        <c:auto val="1"/>
        <c:lblAlgn val="ctr"/>
        <c:lblOffset val="100"/>
        <c:noMultiLvlLbl val="0"/>
      </c:catAx>
      <c:valAx>
        <c:axId val="3407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Marathon Petroleum Corp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Oil!$B$20</c:f>
              <c:strCache>
                <c:ptCount val="1"/>
                <c:pt idx="0">
                  <c:v>Board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Oil!$A$21:$A$25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Oil!$B$21:$B$25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B-DF4D-9A72-29D45B1171AF}"/>
            </c:ext>
          </c:extLst>
        </c:ser>
        <c:ser>
          <c:idx val="1"/>
          <c:order val="1"/>
          <c:tx>
            <c:strRef>
              <c:f>Oil!$C$20</c:f>
              <c:strCache>
                <c:ptCount val="1"/>
                <c:pt idx="0">
                  <c:v>Independent Members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Oil!$A$21:$A$25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Oil!$C$21:$C$25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B-DF4D-9A72-29D45B1171AF}"/>
            </c:ext>
          </c:extLst>
        </c:ser>
        <c:ser>
          <c:idx val="2"/>
          <c:order val="2"/>
          <c:tx>
            <c:strRef>
              <c:f>Oil!$D$20</c:f>
              <c:strCache>
                <c:ptCount val="1"/>
                <c:pt idx="0">
                  <c:v>Board Independence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Oil!$A$21:$A$25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Oil!$D$21:$D$25</c:f>
              <c:numCache>
                <c:formatCode>0.00%</c:formatCode>
                <c:ptCount val="5"/>
                <c:pt idx="0">
                  <c:v>0.54545454545454541</c:v>
                </c:pt>
                <c:pt idx="1">
                  <c:v>0.63636363636363635</c:v>
                </c:pt>
                <c:pt idx="2">
                  <c:v>0.72727272727272729</c:v>
                </c:pt>
                <c:pt idx="3">
                  <c:v>0.72727272727272729</c:v>
                </c:pt>
                <c:pt idx="4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B-DF4D-9A72-29D45B1171AF}"/>
            </c:ext>
          </c:extLst>
        </c:ser>
        <c:ser>
          <c:idx val="3"/>
          <c:order val="3"/>
          <c:tx>
            <c:strRef>
              <c:f>Oil!$E$20</c:f>
              <c:strCache>
                <c:ptCount val="1"/>
                <c:pt idx="0">
                  <c:v># of Females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Oil!$A$21:$A$25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Oil!$E$21:$E$25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AB-DF4D-9A72-29D45B1171AF}"/>
            </c:ext>
          </c:extLst>
        </c:ser>
        <c:ser>
          <c:idx val="4"/>
          <c:order val="4"/>
          <c:tx>
            <c:strRef>
              <c:f>Oil!$G$20</c:f>
              <c:strCache>
                <c:ptCount val="1"/>
                <c:pt idx="0">
                  <c:v>Combined ESG Score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Oil!$A$21:$A$25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Oil!$G$21:$G$25</c:f>
              <c:numCache>
                <c:formatCode>General</c:formatCode>
                <c:ptCount val="5"/>
                <c:pt idx="0">
                  <c:v>60.16</c:v>
                </c:pt>
                <c:pt idx="1">
                  <c:v>62.7</c:v>
                </c:pt>
                <c:pt idx="2">
                  <c:v>67.650000000000006</c:v>
                </c:pt>
                <c:pt idx="3">
                  <c:v>53.57</c:v>
                </c:pt>
                <c:pt idx="4">
                  <c:v>56.31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AB-DF4D-9A72-29D45B1171AF}"/>
            </c:ext>
          </c:extLst>
        </c:ser>
        <c:ser>
          <c:idx val="5"/>
          <c:order val="5"/>
          <c:tx>
            <c:strRef>
              <c:f>Oil!$H$20</c:f>
              <c:strCache>
                <c:ptCount val="1"/>
                <c:pt idx="0">
                  <c:v>Governance Score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Oil!$A$21:$A$25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Oil!$H$21:$H$25</c:f>
              <c:numCache>
                <c:formatCode>General</c:formatCode>
                <c:ptCount val="5"/>
                <c:pt idx="0">
                  <c:v>71.7</c:v>
                </c:pt>
                <c:pt idx="1">
                  <c:v>73.42</c:v>
                </c:pt>
                <c:pt idx="2">
                  <c:v>61.7</c:v>
                </c:pt>
                <c:pt idx="3">
                  <c:v>50.83</c:v>
                </c:pt>
                <c:pt idx="4">
                  <c:v>81.69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AB-DF4D-9A72-29D45B1171AF}"/>
            </c:ext>
          </c:extLst>
        </c:ser>
        <c:ser>
          <c:idx val="6"/>
          <c:order val="6"/>
          <c:tx>
            <c:strRef>
              <c:f>Oil!$I$20</c:f>
              <c:strCache>
                <c:ptCount val="1"/>
                <c:pt idx="0">
                  <c:v>ESG Score Overall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Oil!$A$21:$A$25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Oil!$I$21:$I$25</c:f>
              <c:numCache>
                <c:formatCode>General</c:formatCode>
                <c:ptCount val="5"/>
                <c:pt idx="0">
                  <c:v>60.16</c:v>
                </c:pt>
                <c:pt idx="1">
                  <c:v>62.7</c:v>
                </c:pt>
                <c:pt idx="2">
                  <c:v>67.650000000000006</c:v>
                </c:pt>
                <c:pt idx="3">
                  <c:v>69.63</c:v>
                </c:pt>
                <c:pt idx="4">
                  <c:v>79.28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AB-DF4D-9A72-29D45B117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0124831"/>
        <c:axId val="340743391"/>
      </c:barChart>
      <c:catAx>
        <c:axId val="3401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43391"/>
        <c:crosses val="autoZero"/>
        <c:auto val="1"/>
        <c:lblAlgn val="ctr"/>
        <c:lblOffset val="100"/>
        <c:noMultiLvlLbl val="0"/>
      </c:catAx>
      <c:valAx>
        <c:axId val="3407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Valero Energy Corp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Oil!$B$29</c:f>
              <c:strCache>
                <c:ptCount val="1"/>
                <c:pt idx="0">
                  <c:v>Board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Oil!$A$30:$A$34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Oil!$B$30:$B$34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0-894B-8A3A-F2E2C60F230D}"/>
            </c:ext>
          </c:extLst>
        </c:ser>
        <c:ser>
          <c:idx val="1"/>
          <c:order val="1"/>
          <c:tx>
            <c:strRef>
              <c:f>Oil!$C$29</c:f>
              <c:strCache>
                <c:ptCount val="1"/>
                <c:pt idx="0">
                  <c:v>Independent Members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Oil!$A$30:$A$34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Oil!$C$30:$C$34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0-894B-8A3A-F2E2C60F230D}"/>
            </c:ext>
          </c:extLst>
        </c:ser>
        <c:ser>
          <c:idx val="2"/>
          <c:order val="2"/>
          <c:tx>
            <c:strRef>
              <c:f>Oil!$D$29</c:f>
              <c:strCache>
                <c:ptCount val="1"/>
                <c:pt idx="0">
                  <c:v>Board Independence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Oil!$A$30:$A$34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Oil!$D$30:$D$34</c:f>
              <c:numCache>
                <c:formatCode>0.00%</c:formatCode>
                <c:ptCount val="5"/>
                <c:pt idx="0">
                  <c:v>0.81818181818181823</c:v>
                </c:pt>
                <c:pt idx="1">
                  <c:v>0.81818181818181823</c:v>
                </c:pt>
                <c:pt idx="2">
                  <c:v>0.81818181818181823</c:v>
                </c:pt>
                <c:pt idx="3">
                  <c:v>0.81818181818181823</c:v>
                </c:pt>
                <c:pt idx="4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0-894B-8A3A-F2E2C60F230D}"/>
            </c:ext>
          </c:extLst>
        </c:ser>
        <c:ser>
          <c:idx val="3"/>
          <c:order val="3"/>
          <c:tx>
            <c:strRef>
              <c:f>Oil!$E$29</c:f>
              <c:strCache>
                <c:ptCount val="1"/>
                <c:pt idx="0">
                  <c:v># of Females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Oil!$A$30:$A$34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Oil!$E$30:$E$34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A0-894B-8A3A-F2E2C60F230D}"/>
            </c:ext>
          </c:extLst>
        </c:ser>
        <c:ser>
          <c:idx val="4"/>
          <c:order val="4"/>
          <c:tx>
            <c:strRef>
              <c:f>Oil!$G$29</c:f>
              <c:strCache>
                <c:ptCount val="1"/>
                <c:pt idx="0">
                  <c:v>Combined ESG Score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Oil!$A$30:$A$34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Oil!$G$30:$G$34</c:f>
              <c:numCache>
                <c:formatCode>General</c:formatCode>
                <c:ptCount val="5"/>
                <c:pt idx="0">
                  <c:v>53.06</c:v>
                </c:pt>
                <c:pt idx="1">
                  <c:v>52.72</c:v>
                </c:pt>
                <c:pt idx="2">
                  <c:v>52.83</c:v>
                </c:pt>
                <c:pt idx="3">
                  <c:v>48.04</c:v>
                </c:pt>
                <c:pt idx="4">
                  <c:v>58.53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A0-894B-8A3A-F2E2C60F230D}"/>
            </c:ext>
          </c:extLst>
        </c:ser>
        <c:ser>
          <c:idx val="5"/>
          <c:order val="5"/>
          <c:tx>
            <c:strRef>
              <c:f>Oil!$H$29</c:f>
              <c:strCache>
                <c:ptCount val="1"/>
                <c:pt idx="0">
                  <c:v>Governance Score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Oil!$A$30:$A$34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Oil!$H$30:$H$34</c:f>
              <c:numCache>
                <c:formatCode>General</c:formatCode>
                <c:ptCount val="5"/>
                <c:pt idx="0">
                  <c:v>84.23</c:v>
                </c:pt>
                <c:pt idx="1">
                  <c:v>83.81</c:v>
                </c:pt>
                <c:pt idx="2">
                  <c:v>85.49</c:v>
                </c:pt>
                <c:pt idx="3">
                  <c:v>79.67</c:v>
                </c:pt>
                <c:pt idx="4">
                  <c:v>77.930000000000007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A0-894B-8A3A-F2E2C60F230D}"/>
            </c:ext>
          </c:extLst>
        </c:ser>
        <c:ser>
          <c:idx val="6"/>
          <c:order val="6"/>
          <c:tx>
            <c:strRef>
              <c:f>Oil!$I$29</c:f>
              <c:strCache>
                <c:ptCount val="1"/>
                <c:pt idx="0">
                  <c:v>ESG Score Overall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Oil!$A$30:$A$34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Oil!$I$30:$I$34</c:f>
              <c:numCache>
                <c:formatCode>General</c:formatCode>
                <c:ptCount val="5"/>
                <c:pt idx="0">
                  <c:v>53.06</c:v>
                </c:pt>
                <c:pt idx="1">
                  <c:v>52.72</c:v>
                </c:pt>
                <c:pt idx="2">
                  <c:v>52.83</c:v>
                </c:pt>
                <c:pt idx="3">
                  <c:v>68.739999999999995</c:v>
                </c:pt>
                <c:pt idx="4">
                  <c:v>68.91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A0-894B-8A3A-F2E2C60F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0124831"/>
        <c:axId val="340743391"/>
      </c:barChart>
      <c:catAx>
        <c:axId val="3401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43391"/>
        <c:crosses val="autoZero"/>
        <c:auto val="1"/>
        <c:lblAlgn val="ctr"/>
        <c:lblOffset val="100"/>
        <c:noMultiLvlLbl val="0"/>
      </c:catAx>
      <c:valAx>
        <c:axId val="3407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318420</xdr:colOff>
      <xdr:row>0</xdr:row>
      <xdr:rowOff>0</xdr:rowOff>
    </xdr:from>
    <xdr:to>
      <xdr:col>15</xdr:col>
      <xdr:colOff>749116</xdr:colOff>
      <xdr:row>13</xdr:row>
      <xdr:rowOff>111171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9BC3FD-FB55-5433-4D5B-B9A7C09EF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111125</xdr:colOff>
      <xdr:row>29</xdr:row>
      <xdr:rowOff>95250</xdr:rowOff>
    </xdr:from>
    <xdr:to>
      <xdr:col>15</xdr:col>
      <xdr:colOff>541821</xdr:colOff>
      <xdr:row>43</xdr:row>
      <xdr:rowOff>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E62168-B011-4845-8B22-694A1276A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3</xdr:col>
      <xdr:colOff>494196</xdr:colOff>
      <xdr:row>58</xdr:row>
      <xdr:rowOff>111171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87537F-7B80-E24E-ABA1-13248F5D2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46</xdr:row>
      <xdr:rowOff>0</xdr:rowOff>
    </xdr:from>
    <xdr:to>
      <xdr:col>6</xdr:col>
      <xdr:colOff>97321</xdr:colOff>
      <xdr:row>59</xdr:row>
      <xdr:rowOff>111171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5F0E39-63D6-4547-917B-9095D6C95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322540</xdr:colOff>
      <xdr:row>14</xdr:row>
      <xdr:rowOff>60477</xdr:rowOff>
    </xdr:from>
    <xdr:to>
      <xdr:col>15</xdr:col>
      <xdr:colOff>753235</xdr:colOff>
      <xdr:row>27</xdr:row>
      <xdr:rowOff>171648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70ED63-8014-B045-B16A-DCB63FC1E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135466</xdr:rowOff>
    </xdr:from>
    <xdr:to>
      <xdr:col>14</xdr:col>
      <xdr:colOff>815930</xdr:colOff>
      <xdr:row>14</xdr:row>
      <xdr:rowOff>84712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81D2E0-E5C0-C949-897E-F2F37E302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389466</xdr:colOff>
      <xdr:row>14</xdr:row>
      <xdr:rowOff>152400</xdr:rowOff>
    </xdr:from>
    <xdr:to>
      <xdr:col>14</xdr:col>
      <xdr:colOff>798996</xdr:colOff>
      <xdr:row>28</xdr:row>
      <xdr:rowOff>101646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3C99AD-AFD8-6F40-A01B-38904CD66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372533</xdr:colOff>
      <xdr:row>29</xdr:row>
      <xdr:rowOff>67733</xdr:rowOff>
    </xdr:from>
    <xdr:to>
      <xdr:col>14</xdr:col>
      <xdr:colOff>782063</xdr:colOff>
      <xdr:row>43</xdr:row>
      <xdr:rowOff>16979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3191F6-9335-4043-99F6-01F4B8068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3</xdr:col>
      <xdr:colOff>1120730</xdr:colOff>
      <xdr:row>58</xdr:row>
      <xdr:rowOff>152446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96B1BE-DB9A-FC42-B827-373DD3645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46</xdr:row>
      <xdr:rowOff>0</xdr:rowOff>
    </xdr:from>
    <xdr:to>
      <xdr:col>7</xdr:col>
      <xdr:colOff>1306996</xdr:colOff>
      <xdr:row>59</xdr:row>
      <xdr:rowOff>152446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746030-4FA7-CE4A-A8BE-D09E1B7F4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D92AD1-00E8-B846-ADAB-B96DFD30F0AA}" name="Table2" displayName="Table2" ref="A2:I8" totalsRowCount="1">
  <autoFilter ref="A2:I7" xr:uid="{4AD92AD1-00E8-B846-ADAB-B96DFD30F0AA}"/>
  <tableColumns count="9">
    <tableColumn id="1" xr3:uid="{243BB95A-E5A2-AE44-B3A1-D48237ABDB3D}" name="Year" totalsRowLabel="Average "/>
    <tableColumn id="2" xr3:uid="{15528FCA-5C39-D84B-9157-BD3C1545F2A4}" name="Board Size" totalsRowFunction="average"/>
    <tableColumn id="11" xr3:uid="{264EAE56-C8E1-074B-9D8C-80CCC9F6C7E3}" name="Independent Members" totalsRowFunction="average"/>
    <tableColumn id="3" xr3:uid="{1EC1EB01-9147-B848-8999-1C5C30AF5779}" name="Board Independence" totalsRowFunction="average" dataDxfId="27" totalsRowDxfId="26" dataCellStyle="Percent">
      <calculatedColumnFormula>Table2[[#This Row],[Independent Members]]/Table2[[#This Row],[Board Size]]</calculatedColumnFormula>
    </tableColumn>
    <tableColumn id="4" xr3:uid="{E4CF6C10-7C39-FF4B-AC1D-E5FEFEF49E80}" name="# of Females" totalsRowFunction="average"/>
    <tableColumn id="5" xr3:uid="{A6EB5035-15CB-CB4C-B71A-00704195DDC5}" name="Board Tenure" totalsRowFunction="average"/>
    <tableColumn id="6" xr3:uid="{8864F266-C984-E641-9682-B2DD6A7DA934}" name="Combined ESG Score" totalsRowFunction="custom" dataDxfId="25">
      <totalsRowFormula>AVERAGE(G3:G7)</totalsRowFormula>
    </tableColumn>
    <tableColumn id="8" xr3:uid="{E20279DC-2FFA-C14A-B7F2-87DA94727513}" name="Governance Score" totalsRowFunction="custom">
      <totalsRowFormula>AVERAGE(H3:H7)</totalsRowFormula>
    </tableColumn>
    <tableColumn id="9" xr3:uid="{C4223ED8-2D3F-AF4F-AE9F-A26F13D61C92}" name="ESG Score Overall" totalsRowFunction="custom">
      <totalsRowFormula>AVERAGE(I3:I7)</totalsRow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CB3472A-5DE8-344B-B27E-0DAC436A1CF2}" name="Table2712" displayName="Table2712" ref="A38:I44" totalsRowCount="1">
  <autoFilter ref="A38:I43" xr:uid="{8CB3472A-5DE8-344B-B27E-0DAC436A1CF2}"/>
  <tableColumns count="9">
    <tableColumn id="1" xr3:uid="{DB3F05B8-7F83-9B4A-9634-010128A63BEB}" name="Year" totalsRowLabel="Average "/>
    <tableColumn id="2" xr3:uid="{1E58220E-2C98-5046-9D86-C1A9FD6B0816}" name="Board Size" totalsRowFunction="average"/>
    <tableColumn id="9" xr3:uid="{67F4B3BF-660B-7244-93B9-339F98FDD1F6}" name="Independent Members" totalsRowFunction="average"/>
    <tableColumn id="3" xr3:uid="{6D8BD2E0-AFC7-AF43-AD8D-2B2B3F9F5593}" name="Board Independence" totalsRowFunction="average" dataDxfId="7" totalsRowDxfId="10" dataCellStyle="Percent">
      <calculatedColumnFormula>C39/B39</calculatedColumnFormula>
    </tableColumn>
    <tableColumn id="4" xr3:uid="{34498501-7E65-1C48-B183-359CBB60637F}" name="# of Females" totalsRowFunction="average"/>
    <tableColumn id="5" xr3:uid="{FA36A18D-B89E-2148-99E0-541680C5D053}" name="Board Tenure" totalsRowFunction="average"/>
    <tableColumn id="6" xr3:uid="{01B5D718-BA20-DE41-A667-F76E93C4C231}" name="Combined ESG Score" totalsRowFunction="custom">
      <totalsRowFormula>AVERAGE(G39:G43)</totalsRowFormula>
    </tableColumn>
    <tableColumn id="7" xr3:uid="{EE7C1377-064F-F54A-822A-573CAE6A2643}" name="Governance Score" totalsRowFunction="custom" dataDxfId="9" totalsRowDxfId="8">
      <totalsRowFormula>AVERAGE(H39:H43)</totalsRowFormula>
    </tableColumn>
    <tableColumn id="8" xr3:uid="{BF30ACCF-8B23-EC49-9B15-8C56369165A5}" name="ESG Score Overall" totalsRowFunction="custom">
      <totalsRowFormula>AVERAGE(I39:I43)</totalsRow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6F9EE8-7829-A24B-8AD9-6DE14DE7BB91}" name="Table24" displayName="Table24" ref="A11:I17" totalsRowCount="1">
  <autoFilter ref="A11:I16" xr:uid="{736F9EE8-7829-A24B-8AD9-6DE14DE7BB91}"/>
  <tableColumns count="9">
    <tableColumn id="1" xr3:uid="{20C6FF89-FD23-1943-9805-39B38E6C1BE7}" name="Year" totalsRowLabel="Average "/>
    <tableColumn id="2" xr3:uid="{89F8E846-A765-9C4F-85FC-A454E91337D3}" name="Board Size" totalsRowFunction="average"/>
    <tableColumn id="3" xr3:uid="{1295A010-46B2-CC4A-82B9-3870E5BCDC83}" name="Independent Members" totalsRowFunction="average"/>
    <tableColumn id="9" xr3:uid="{3CE797CF-C400-4A45-90DE-6062E27DE47C}" name="Board Independence" totalsRowFunction="average" dataDxfId="24" totalsRowDxfId="23" dataCellStyle="Percent">
      <calculatedColumnFormula>C12/B12</calculatedColumnFormula>
    </tableColumn>
    <tableColumn id="4" xr3:uid="{6B6E4139-174F-D641-84A0-83B9302A5CA9}" name="# of Females" totalsRowFunction="average"/>
    <tableColumn id="5" xr3:uid="{08FC15C8-90CD-8B49-95E5-F3A8B1A6B6C0}" name="Board Tenure" totalsRowFunction="average"/>
    <tableColumn id="6" xr3:uid="{C8320C9F-6416-EE4D-B8F5-82A727EE4E99}" name="Combined ESG Score" totalsRowFunction="custom">
      <totalsRowFormula>AVERAGE(G12:G16)</totalsRowFormula>
    </tableColumn>
    <tableColumn id="7" xr3:uid="{F377309F-9910-C648-AEB4-E7219BF76C73}" name="Governance Score" totalsRowFunction="custom">
      <totalsRowFormula>AVERAGE(H12:H16)</totalsRowFormula>
    </tableColumn>
    <tableColumn id="8" xr3:uid="{89487E26-E61D-6D42-BEAF-2D5E1206B26C}" name="ESG Score Overall" totalsRowFunction="custom">
      <totalsRowFormula>AVERAGE(I12:I16)</totalsRow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4485F5-EA2F-9749-AF94-A173620B2924}" name="Table25" displayName="Table25" ref="A19:I25" totalsRowCount="1">
  <autoFilter ref="A19:I24" xr:uid="{C04485F5-EA2F-9749-AF94-A173620B2924}"/>
  <tableColumns count="9">
    <tableColumn id="1" xr3:uid="{F640D25A-7594-974F-B404-682EAA3782FA}" name="Year" totalsRowLabel="Average "/>
    <tableColumn id="2" xr3:uid="{DFF76245-FCEF-0B40-962D-31E8C236B41F}" name="Board Size" totalsRowFunction="average"/>
    <tableColumn id="3" xr3:uid="{53F8D605-E9CB-3140-8566-BC878143116C}" name="Independent Members" totalsRowFunction="average"/>
    <tableColumn id="9" xr3:uid="{8E67B5A4-5E4B-F54F-97FB-ED7347803219}" name="Board Independence" totalsRowFunction="average" dataDxfId="22" totalsRowDxfId="21" dataCellStyle="Percent">
      <calculatedColumnFormula>C20/B20</calculatedColumnFormula>
    </tableColumn>
    <tableColumn id="4" xr3:uid="{3CD32B49-C9C1-4745-9E67-7FBF09B90DD0}" name="# of Females" totalsRowFunction="average"/>
    <tableColumn id="5" xr3:uid="{A4FC25E9-8FA4-5C49-8486-6B191932F5CA}" name="Board Tenure" totalsRowFunction="average"/>
    <tableColumn id="6" xr3:uid="{408859CD-28B7-AE4E-82F5-F8A18F58E6E8}" name="Combined ESG Score" totalsRowFunction="custom">
      <totalsRowFormula>AVERAGE(G20:G24)</totalsRowFormula>
    </tableColumn>
    <tableColumn id="7" xr3:uid="{E8050131-D0E4-2D4A-A498-5C57FA6ACD8D}" name="Governance Score" totalsRowFunction="custom">
      <totalsRowFormula>AVERAGE(H20:H24)</totalsRowFormula>
    </tableColumn>
    <tableColumn id="8" xr3:uid="{410DF93E-2EBE-B740-B153-FCE80FA84D51}" name="ESG Score Overall" totalsRowFunction="custom">
      <totalsRowFormula>AVERAGE(I20:I24)</totalsRow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FD4AA0-B513-CB47-9223-3CF4521C0B1C}" name="Table26" displayName="Table26" ref="A27:I33" totalsRowCount="1">
  <autoFilter ref="A27:I32" xr:uid="{ADFD4AA0-B513-CB47-9223-3CF4521C0B1C}"/>
  <tableColumns count="9">
    <tableColumn id="1" xr3:uid="{92ECB515-679B-9A45-8D70-F6FE4CC4E65A}" name="Year" totalsRowLabel="Average "/>
    <tableColumn id="2" xr3:uid="{C4339223-077E-7F4D-80CE-75152C7B7022}" name="Board Size" totalsRowFunction="average"/>
    <tableColumn id="3" xr3:uid="{CEBC220E-746A-884A-8008-E49FB0E726AF}" name="Independent Members" totalsRowFunction="average"/>
    <tableColumn id="9" xr3:uid="{2A54115D-A0EE-EF44-8C98-A8F1D9BB4D2B}" name="Board Independence" totalsRowFunction="average" dataDxfId="20" totalsRowDxfId="19" dataCellStyle="Percent">
      <calculatedColumnFormula>C28/B28</calculatedColumnFormula>
    </tableColumn>
    <tableColumn id="4" xr3:uid="{1CAD9597-6033-6E41-A120-0258E1A4C3C4}" name="# of Females" totalsRowFunction="average"/>
    <tableColumn id="5" xr3:uid="{4FB499A7-C78F-A14D-AC3B-2DB8D2D1C6AB}" name="Board Tenure" totalsRowFunction="average"/>
    <tableColumn id="6" xr3:uid="{75BC841C-A1EF-B649-83C9-091EA05057C4}" name="Combined ESG Score" totalsRowFunction="custom">
      <totalsRowFormula>AVERAGE(G28:G32)</totalsRowFormula>
    </tableColumn>
    <tableColumn id="7" xr3:uid="{64BE8A81-B168-D241-8E1E-C7B826CAC386}" name="Governance Score" totalsRowFunction="custom">
      <totalsRowFormula>AVERAGE(H28:H32)</totalsRowFormula>
    </tableColumn>
    <tableColumn id="8" xr3:uid="{EC541BFA-E766-9A4D-BAB4-BF68F03313B5}" name="ESG Score Overall" totalsRowFunction="custom">
      <totalsRowFormula>AVERAGE(I28:I32)</totalsRow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E2159B-D209-6241-A814-4DCBEA16289A}" name="Table27" displayName="Table27" ref="A36:I42" totalsRowCount="1">
  <autoFilter ref="A36:I41" xr:uid="{71E2159B-D209-6241-A814-4DCBEA16289A}"/>
  <tableColumns count="9">
    <tableColumn id="1" xr3:uid="{8519EEBB-FEEC-E244-BE2A-2CE1BAB5AD82}" name="Year" totalsRowLabel="Average "/>
    <tableColumn id="2" xr3:uid="{3D026B38-BD30-0C41-88EC-E93ACC56EC35}" name="Board Size" totalsRowFunction="average"/>
    <tableColumn id="3" xr3:uid="{E42F9279-0A95-444D-9947-E924A60E3D02}" name="Independent Members" totalsRowFunction="average"/>
    <tableColumn id="9" xr3:uid="{D1D2450F-46E1-B246-B169-35FDC83AC36E}" name="Board Independence" totalsRowFunction="average" totalsRowDxfId="18">
      <calculatedColumnFormula>C37/B37</calculatedColumnFormula>
    </tableColumn>
    <tableColumn id="4" xr3:uid="{5ED4139C-8F53-8147-B6FE-6AA663AC4286}" name="# of Females" totalsRowFunction="average"/>
    <tableColumn id="5" xr3:uid="{286EC140-BF53-294A-A8CE-9FA1695FA3A2}" name="Board Tenure" totalsRowFunction="average"/>
    <tableColumn id="6" xr3:uid="{5F07182F-5B4B-464A-A326-0056D581E278}" name="Combined ESG Score" totalsRowFunction="custom">
      <totalsRowFormula>AVERAGE(G37:G41)</totalsRowFormula>
    </tableColumn>
    <tableColumn id="7" xr3:uid="{229217C6-97FB-FB43-9A2A-58F4B5961661}" name="Governance Score" totalsRowFunction="custom">
      <totalsRowFormula>AVERAGE(H37:H41)</totalsRowFormula>
    </tableColumn>
    <tableColumn id="8" xr3:uid="{5E23CD13-B235-AE46-9BAD-C27B222D4273}" name="ESG Score Overall" totalsRowFunction="custom">
      <totalsRowFormula>AVERAGE(I37:I41)</totalsRow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D5AAF9-6F0A-9A47-95DD-AF05BE0D9062}" name="Table28" displayName="Table28" ref="A2:I8" totalsRowCount="1">
  <autoFilter ref="A2:I7" xr:uid="{C9D5AAF9-6F0A-9A47-95DD-AF05BE0D9062}"/>
  <tableColumns count="9">
    <tableColumn id="1" xr3:uid="{21722281-FBC2-A54F-8DB0-DF12C12C9E99}" name="Year" totalsRowLabel="Average "/>
    <tableColumn id="2" xr3:uid="{61C05FB2-44D5-4240-9059-D72DFF9CC580}" name="Board Size" totalsRowFunction="average"/>
    <tableColumn id="9" xr3:uid="{431EAF2F-779A-D441-B072-9B5384A039CF}" name="Independent Members" totalsRowFunction="average"/>
    <tableColumn id="3" xr3:uid="{C8C49765-4464-A84D-AD76-6E6129849CEF}" name="Board Independence" totalsRowFunction="average" dataDxfId="17" totalsRowDxfId="0" dataCellStyle="Percent">
      <calculatedColumnFormula>C3/B3</calculatedColumnFormula>
    </tableColumn>
    <tableColumn id="4" xr3:uid="{1CE1B96C-0BB6-D44E-B117-0BB0CB85921E}" name="# of Females" totalsRowFunction="average"/>
    <tableColumn id="5" xr3:uid="{36F7B957-8BD1-094B-885D-066360E01C9F}" name="Board Tenure" totalsRowFunction="average"/>
    <tableColumn id="6" xr3:uid="{7726311A-5B53-D64A-AC1F-FBF517F8A738}" name="Combined ESG Score" totalsRowFunction="custom">
      <totalsRowFormula>AVERAGE(G3:G7)</totalsRowFormula>
    </tableColumn>
    <tableColumn id="7" xr3:uid="{E4CBB8A8-4D60-E140-A411-079CB91867BF}" name="Governance Score" totalsRowFunction="custom" dataDxfId="16">
      <totalsRowFormula>AVERAGE(H3:H7)</totalsRowFormula>
    </tableColumn>
    <tableColumn id="8" xr3:uid="{76C699A3-7D4D-854A-950F-C203AA6C3F40}" name="ESG Score Overall" totalsRowFunction="custom">
      <totalsRowFormula>AVERAGE(I3:I7)</totalsRow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60F7C29-62A0-0945-B5B7-3E8BF736E617}" name="Table249" displayName="Table249" ref="A11:I17" totalsRowCount="1">
  <autoFilter ref="A11:I16" xr:uid="{A60F7C29-62A0-0945-B5B7-3E8BF736E617}"/>
  <tableColumns count="9">
    <tableColumn id="1" xr3:uid="{74199E10-BFFE-E14C-9755-1573DE767D28}" name="Year" totalsRowLabel="Average "/>
    <tableColumn id="2" xr3:uid="{68A11EFE-82C4-9D45-95EC-FA21190AB41D}" name="Board Size" totalsRowFunction="average"/>
    <tableColumn id="9" xr3:uid="{E47E6700-BC0A-CC4D-B6AB-90542FB0E55D}" name="Independent Members" totalsRowFunction="average"/>
    <tableColumn id="3" xr3:uid="{3BBD587A-344B-1348-9B80-D2714A55B5AA}" name="Board Independence" totalsRowFunction="average" dataDxfId="15" totalsRowDxfId="14" dataCellStyle="Percent">
      <calculatedColumnFormula>C12/B12</calculatedColumnFormula>
    </tableColumn>
    <tableColumn id="4" xr3:uid="{A947B376-ECF3-894D-B638-AF1DAED422BB}" name="# of Females" totalsRowFunction="average"/>
    <tableColumn id="5" xr3:uid="{F683EDA4-5945-A440-B716-25EA52D269C1}" name="Board Tenure" totalsRowFunction="average"/>
    <tableColumn id="6" xr3:uid="{C4351F71-3875-5E4C-AF75-71ABAD630C1B}" name="Combined ESG Score" totalsRowFunction="custom">
      <totalsRowFormula>AVERAGE(G12:G16)</totalsRowFormula>
    </tableColumn>
    <tableColumn id="7" xr3:uid="{9DB6660C-EDBE-104E-9D55-92BEE5A86EA1}" name="Governance Score" totalsRowFunction="custom" dataDxfId="13" totalsRowDxfId="12">
      <totalsRowFormula>AVERAGE(H12:H16)</totalsRowFormula>
    </tableColumn>
    <tableColumn id="8" xr3:uid="{A4B9EBF1-2CBB-4F42-B5B0-DB3A13E16788}" name="ESG Score Overall" totalsRowFunction="custom">
      <totalsRowFormula>AVERAGE(I12:I16)</totalsRow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CA9F06B-4B1F-1B40-A765-7E0639796375}" name="Table2510" displayName="Table2510" ref="A20:I26" totalsRowCount="1">
  <autoFilter ref="A20:I25" xr:uid="{ECA9F06B-4B1F-1B40-A765-7E0639796375}"/>
  <tableColumns count="9">
    <tableColumn id="1" xr3:uid="{2FACA462-D654-3A4D-9115-17C493AEFE5B}" name="Year" totalsRowLabel="Average "/>
    <tableColumn id="2" xr3:uid="{4D4BDB4A-3785-454A-A855-A3992E558E62}" name="Board Size" totalsRowFunction="custom">
      <totalsRowFormula>AVERAGE(B21:B25)</totalsRowFormula>
    </tableColumn>
    <tableColumn id="9" xr3:uid="{3312DD52-FE9A-9D42-A049-1081746AECF0}" name="Independent Members" totalsRowFunction="custom">
      <totalsRowFormula>AVERAGE(C21:C25)</totalsRowFormula>
    </tableColumn>
    <tableColumn id="3" xr3:uid="{B8B6475F-2A19-5041-96FF-40F0BAE3E22B}" name="Board Independence" totalsRowFunction="custom" dataDxfId="5" totalsRowDxfId="2" dataCellStyle="Percent" totalsRowCellStyle="Percent">
      <calculatedColumnFormula>C21/B21</calculatedColumnFormula>
      <totalsRowFormula>AVERAGE(D21:D25)</totalsRowFormula>
    </tableColumn>
    <tableColumn id="4" xr3:uid="{12E64229-A78B-C745-9CCA-799AB6E64782}" name="# of Females" totalsRowFunction="custom">
      <totalsRowFormula>AVERAGE(E21:E25)</totalsRowFormula>
    </tableColumn>
    <tableColumn id="5" xr3:uid="{0881DC42-28CC-5C4A-9F14-9102BF308DF5}" name="Board Tenure" totalsRowFunction="custom">
      <totalsRowFormula>AVERAGE(F21:F25)</totalsRowFormula>
    </tableColumn>
    <tableColumn id="6" xr3:uid="{A9C4A4AB-C819-0E41-8BEF-CBC12BE5DADB}" name="Combined ESG Score" totalsRowFunction="custom">
      <totalsRowFormula>AVERAGE(G21:G25)</totalsRowFormula>
    </tableColumn>
    <tableColumn id="7" xr3:uid="{EAFD2420-C9D7-2749-B17D-36AB5601F89D}" name="Governance Score" totalsRowFunction="custom" dataDxfId="6" totalsRowDxfId="4">
      <totalsRowFormula>AVERAGE(H21:H25)</totalsRowFormula>
    </tableColumn>
    <tableColumn id="8" xr3:uid="{EB20D86F-D039-E649-B0E4-1B0D0FEBF8EC}" name="ESG Score Overall" totalsRowFunction="custom">
      <totalsRowFormula>AVERAGE(I21:I25)</totalsRow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4EF2262-06C5-974A-9EE6-624ECA3F90A5}" name="Table2611" displayName="Table2611" ref="A29:I35" totalsRowCount="1">
  <autoFilter ref="A29:I34" xr:uid="{24EF2262-06C5-974A-9EE6-624ECA3F90A5}"/>
  <tableColumns count="9">
    <tableColumn id="1" xr3:uid="{D9E49D06-79AB-6948-88E9-506F4AE5CEE0}" name="Year" totalsRowLabel="Average "/>
    <tableColumn id="2" xr3:uid="{B010B656-1CD3-1F4A-92E3-43BEC2294FA6}" name="Board Size" totalsRowFunction="custom">
      <totalsRowFormula>AVERAGE(B30:B34)</totalsRowFormula>
    </tableColumn>
    <tableColumn id="9" xr3:uid="{B8BAF7CB-50AA-AD48-B7B2-5A611A4383B7}" name="Independent Members" totalsRowFunction="custom">
      <totalsRowFormula>AVERAGE(C30:C34)</totalsRowFormula>
    </tableColumn>
    <tableColumn id="3" xr3:uid="{20992D9A-5ADC-8040-BF0E-3D06FB081A22}" name="Board Independence" totalsRowFunction="custom" dataDxfId="1" dataCellStyle="Percent">
      <calculatedColumnFormula>C30/B30</calculatedColumnFormula>
      <totalsRowFormula>AVERAGE(D30:D34)</totalsRowFormula>
    </tableColumn>
    <tableColumn id="4" xr3:uid="{46769140-5719-7048-B5B6-FF76D2A4563B}" name="# of Females" totalsRowFunction="custom">
      <totalsRowFormula>AVERAGE(E30:E34)</totalsRowFormula>
    </tableColumn>
    <tableColumn id="5" xr3:uid="{C0B6CA4E-610B-074C-AA84-B05946BBEC9F}" name="Board Tenure" totalsRowFunction="custom">
      <totalsRowFormula>AVERAGE(F30:F34)</totalsRowFormula>
    </tableColumn>
    <tableColumn id="6" xr3:uid="{FBF94AD1-3354-4344-8A21-9A5C612CADCB}" name="Combined ESG Score" totalsRowFunction="custom">
      <totalsRowFormula>AVERAGE(G30:G34)</totalsRowFormula>
    </tableColumn>
    <tableColumn id="7" xr3:uid="{FE167310-BDED-9B4F-89A7-B4176C62DACF}" name="Governance Score" totalsRowFunction="custom" dataDxfId="11" totalsRowDxfId="3">
      <totalsRowFormula>AVERAGE(H30:H34)</totalsRowFormula>
    </tableColumn>
    <tableColumn id="8" xr3:uid="{436C154F-631F-1C4B-AA8E-9047AB7262E1}" name="ESG Score Overall" totalsRowFunction="custom">
      <totalsRowFormula>AVERAGE(I30:I34)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3E38-D7B3-EA47-80E1-1AD82EF3B0F1}">
  <dimension ref="A1:Y54"/>
  <sheetViews>
    <sheetView zoomScale="80" zoomScaleNormal="80" workbookViewId="0">
      <selection activeCell="G3" sqref="G3"/>
    </sheetView>
  </sheetViews>
  <sheetFormatPr baseColWidth="10" defaultColWidth="10.83203125" defaultRowHeight="16" x14ac:dyDescent="0.2"/>
  <cols>
    <col min="2" max="2" width="20.1640625" bestFit="1" customWidth="1"/>
    <col min="3" max="3" width="22.33203125" bestFit="1" customWidth="1"/>
    <col min="4" max="4" width="23.6640625" bestFit="1" customWidth="1"/>
    <col min="5" max="5" width="31.5" customWidth="1"/>
    <col min="6" max="6" width="27" bestFit="1" customWidth="1"/>
    <col min="7" max="7" width="20.83203125" bestFit="1" customWidth="1"/>
    <col min="8" max="8" width="18.1640625" bestFit="1" customWidth="1"/>
    <col min="9" max="9" width="18.5" bestFit="1" customWidth="1"/>
    <col min="19" max="19" width="21.6640625" bestFit="1" customWidth="1"/>
  </cols>
  <sheetData>
    <row r="1" spans="1:25" x14ac:dyDescent="0.2">
      <c r="A1" s="23" t="s">
        <v>4</v>
      </c>
      <c r="B1" s="23"/>
      <c r="C1" s="23"/>
      <c r="D1" s="23"/>
      <c r="E1" s="23"/>
      <c r="F1" s="23"/>
      <c r="S1" s="23" t="s">
        <v>4</v>
      </c>
      <c r="T1" s="23"/>
      <c r="U1" s="23"/>
      <c r="V1" s="23"/>
      <c r="W1" s="23"/>
      <c r="X1" s="23"/>
      <c r="Y1" s="23"/>
    </row>
    <row r="2" spans="1:25" x14ac:dyDescent="0.2">
      <c r="A2" t="s">
        <v>0</v>
      </c>
      <c r="B2" t="s">
        <v>17</v>
      </c>
      <c r="C2" t="s">
        <v>15</v>
      </c>
      <c r="D2" t="s">
        <v>16</v>
      </c>
      <c r="E2" t="s">
        <v>19</v>
      </c>
      <c r="F2" t="s">
        <v>3</v>
      </c>
      <c r="G2" t="s">
        <v>20</v>
      </c>
      <c r="H2" t="s">
        <v>26</v>
      </c>
      <c r="I2" t="s">
        <v>6</v>
      </c>
      <c r="S2" s="25" t="s">
        <v>0</v>
      </c>
      <c r="T2" s="26">
        <v>2017</v>
      </c>
      <c r="U2" s="27">
        <v>2018</v>
      </c>
      <c r="V2" s="26">
        <v>2019</v>
      </c>
      <c r="W2" s="27">
        <v>2020</v>
      </c>
      <c r="X2" s="26">
        <v>2021</v>
      </c>
      <c r="Y2" s="25" t="s">
        <v>14</v>
      </c>
    </row>
    <row r="3" spans="1:25" x14ac:dyDescent="0.2">
      <c r="A3">
        <v>2017</v>
      </c>
      <c r="B3">
        <v>11</v>
      </c>
      <c r="C3">
        <v>9</v>
      </c>
      <c r="D3" s="3">
        <f>Table2[[#This Row],[Independent Members]]/Table2[[#This Row],[Board Size]]</f>
        <v>0.81818181818181823</v>
      </c>
      <c r="E3" s="4">
        <v>3</v>
      </c>
      <c r="F3">
        <v>6.9</v>
      </c>
      <c r="G3">
        <v>46.73</v>
      </c>
      <c r="H3">
        <v>84.81</v>
      </c>
      <c r="I3">
        <v>84.56</v>
      </c>
      <c r="S3" s="25" t="s">
        <v>17</v>
      </c>
      <c r="T3" s="26">
        <v>11</v>
      </c>
      <c r="U3" s="27">
        <v>11</v>
      </c>
      <c r="V3" s="26">
        <v>11</v>
      </c>
      <c r="W3" s="27">
        <v>12</v>
      </c>
      <c r="X3" s="26">
        <v>12</v>
      </c>
      <c r="Y3" s="25">
        <f>SUBTOTAL(101,Table2[Board Size])</f>
        <v>11.4</v>
      </c>
    </row>
    <row r="4" spans="1:25" x14ac:dyDescent="0.2">
      <c r="A4">
        <v>2018</v>
      </c>
      <c r="B4">
        <v>11</v>
      </c>
      <c r="C4">
        <v>10</v>
      </c>
      <c r="D4" s="3">
        <f>Table2[[#This Row],[Independent Members]]/Table2[[#This Row],[Board Size]]</f>
        <v>0.90909090909090906</v>
      </c>
      <c r="E4">
        <v>4</v>
      </c>
      <c r="F4">
        <v>7.6</v>
      </c>
      <c r="G4">
        <v>42.8</v>
      </c>
      <c r="H4">
        <v>75.7</v>
      </c>
      <c r="I4">
        <v>78.459999999999994</v>
      </c>
      <c r="S4" s="25" t="s">
        <v>15</v>
      </c>
      <c r="T4" s="26">
        <v>9</v>
      </c>
      <c r="U4" s="27">
        <v>10</v>
      </c>
      <c r="V4" s="26">
        <v>10</v>
      </c>
      <c r="W4" s="27">
        <v>11</v>
      </c>
      <c r="X4" s="26">
        <v>11</v>
      </c>
      <c r="Y4" s="25">
        <f>SUBTOTAL(101,Table2[Independent Members])</f>
        <v>10.199999999999999</v>
      </c>
    </row>
    <row r="5" spans="1:25" x14ac:dyDescent="0.2">
      <c r="A5">
        <v>2019</v>
      </c>
      <c r="B5">
        <v>11</v>
      </c>
      <c r="C5">
        <v>10</v>
      </c>
      <c r="D5" s="3">
        <f>Table2[[#This Row],[Independent Members]]/Table2[[#This Row],[Board Size]]</f>
        <v>0.90909090909090906</v>
      </c>
      <c r="E5">
        <v>4</v>
      </c>
      <c r="F5">
        <v>8.3000000000000007</v>
      </c>
      <c r="G5">
        <v>42.72</v>
      </c>
      <c r="H5">
        <v>81.72</v>
      </c>
      <c r="I5">
        <v>82.99</v>
      </c>
      <c r="S5" s="25" t="s">
        <v>16</v>
      </c>
      <c r="T5" s="35">
        <f>Table2[[#This Row],[Independent Members]]/Table2[[#This Row],[Board Size]]</f>
        <v>0.90909090909090906</v>
      </c>
      <c r="U5" s="36">
        <f>Table2[[#This Row],[Independent Members]]/Table2[[#This Row],[Board Size]]</f>
        <v>0.90909090909090906</v>
      </c>
      <c r="V5" s="35">
        <f>Table2[[#This Row],[Independent Members]]/Table2[[#This Row],[Board Size]]</f>
        <v>0.90909090909090906</v>
      </c>
      <c r="W5" s="36">
        <f>Table2[[#This Row],[Independent Members]]/Table2[[#This Row],[Board Size]]</f>
        <v>0.90909090909090906</v>
      </c>
      <c r="X5" s="35">
        <f>Table2[[#This Row],[Independent Members]]/Table2[[#This Row],[Board Size]]</f>
        <v>0.90909090909090906</v>
      </c>
      <c r="Y5" s="37">
        <f>SUBTOTAL(101,Table2[Board Independence])</f>
        <v>0.89393939393939392</v>
      </c>
    </row>
    <row r="6" spans="1:25" x14ac:dyDescent="0.2">
      <c r="A6">
        <v>2020</v>
      </c>
      <c r="B6">
        <v>12</v>
      </c>
      <c r="C6">
        <v>11</v>
      </c>
      <c r="D6" s="3">
        <f>Table2[[#This Row],[Independent Members]]/Table2[[#This Row],[Board Size]]</f>
        <v>0.91666666666666663</v>
      </c>
      <c r="E6">
        <v>4</v>
      </c>
      <c r="F6">
        <v>9.1</v>
      </c>
      <c r="G6">
        <v>49.16</v>
      </c>
      <c r="H6">
        <v>84.51</v>
      </c>
      <c r="I6">
        <v>84.73</v>
      </c>
      <c r="S6" s="25" t="s">
        <v>19</v>
      </c>
      <c r="T6" s="38">
        <v>3</v>
      </c>
      <c r="U6" s="27">
        <v>4</v>
      </c>
      <c r="V6" s="26">
        <v>4</v>
      </c>
      <c r="W6" s="27">
        <v>4</v>
      </c>
      <c r="X6" s="26">
        <v>5</v>
      </c>
      <c r="Y6" s="25">
        <f>SUBTOTAL(101,Table2['# of Females])</f>
        <v>4</v>
      </c>
    </row>
    <row r="7" spans="1:25" x14ac:dyDescent="0.2">
      <c r="A7">
        <v>2021</v>
      </c>
      <c r="B7">
        <v>12</v>
      </c>
      <c r="C7">
        <v>11</v>
      </c>
      <c r="D7" s="3">
        <f>Table2[[#This Row],[Independent Members]]/Table2[[#This Row],[Board Size]]</f>
        <v>0.91666666666666663</v>
      </c>
      <c r="E7">
        <v>5</v>
      </c>
      <c r="F7">
        <v>9.6999999999999993</v>
      </c>
      <c r="G7">
        <v>45.93</v>
      </c>
      <c r="H7">
        <v>81.16</v>
      </c>
      <c r="I7">
        <v>83.17</v>
      </c>
      <c r="S7" s="25" t="s">
        <v>3</v>
      </c>
      <c r="T7" s="26">
        <v>6.9</v>
      </c>
      <c r="U7" s="27">
        <v>7.6</v>
      </c>
      <c r="V7" s="26">
        <v>8.3000000000000007</v>
      </c>
      <c r="W7" s="27">
        <v>9.1</v>
      </c>
      <c r="X7" s="26">
        <v>9.6999999999999993</v>
      </c>
      <c r="Y7" s="25">
        <f>SUBTOTAL(101,Table2[Board Tenure])</f>
        <v>8.3199999999999985</v>
      </c>
    </row>
    <row r="8" spans="1:25" x14ac:dyDescent="0.2">
      <c r="A8" t="s">
        <v>14</v>
      </c>
      <c r="B8">
        <f>SUBTOTAL(101,Table2[Board Size])</f>
        <v>11.4</v>
      </c>
      <c r="C8">
        <f>SUBTOTAL(101,Table2[Independent Members])</f>
        <v>10.199999999999999</v>
      </c>
      <c r="D8" s="5">
        <f>SUBTOTAL(101,Table2[Board Independence])</f>
        <v>0.89393939393939392</v>
      </c>
      <c r="E8">
        <f>SUBTOTAL(101,Table2['# of Females])</f>
        <v>4</v>
      </c>
      <c r="F8">
        <f>SUBTOTAL(101,Table2[Board Tenure])</f>
        <v>8.3199999999999985</v>
      </c>
      <c r="G8">
        <f>AVERAGE(G3:G7)</f>
        <v>45.468000000000004</v>
      </c>
      <c r="H8">
        <f t="shared" ref="H8:I8" si="0">AVERAGE(H3:H7)</f>
        <v>81.58</v>
      </c>
      <c r="I8">
        <f t="shared" si="0"/>
        <v>82.782000000000011</v>
      </c>
      <c r="S8" s="25" t="s">
        <v>20</v>
      </c>
      <c r="T8" s="26">
        <v>46.73</v>
      </c>
      <c r="U8" s="27">
        <v>42.8</v>
      </c>
      <c r="V8" s="26">
        <v>42.72</v>
      </c>
      <c r="W8" s="27">
        <v>49.16</v>
      </c>
      <c r="X8" s="26">
        <v>45.93</v>
      </c>
      <c r="Y8" s="25">
        <f>AVERAGE(T8:X8)</f>
        <v>45.468000000000004</v>
      </c>
    </row>
    <row r="9" spans="1:25" x14ac:dyDescent="0.2">
      <c r="S9" s="25" t="s">
        <v>26</v>
      </c>
      <c r="T9" s="26">
        <v>84.81</v>
      </c>
      <c r="U9" s="27">
        <v>75.7</v>
      </c>
      <c r="V9" s="26">
        <v>81.72</v>
      </c>
      <c r="W9" s="27">
        <v>84.51</v>
      </c>
      <c r="X9" s="26">
        <v>81.16</v>
      </c>
      <c r="Y9" s="25">
        <f>AVERAGE(T9:X9)</f>
        <v>81.58</v>
      </c>
    </row>
    <row r="10" spans="1:25" x14ac:dyDescent="0.2">
      <c r="A10" s="23" t="s">
        <v>5</v>
      </c>
      <c r="B10" s="23"/>
      <c r="C10" s="23"/>
      <c r="D10" s="23"/>
      <c r="E10" s="23"/>
      <c r="F10" s="23"/>
      <c r="S10" s="25" t="s">
        <v>6</v>
      </c>
      <c r="T10" s="26">
        <v>84.56</v>
      </c>
      <c r="U10" s="27">
        <v>78.459999999999994</v>
      </c>
      <c r="V10" s="26">
        <v>82.99</v>
      </c>
      <c r="W10" s="27">
        <v>84.73</v>
      </c>
      <c r="X10" s="26">
        <v>83.17</v>
      </c>
      <c r="Y10" s="25">
        <f>AVERAGE(T10:X10)</f>
        <v>82.782000000000011</v>
      </c>
    </row>
    <row r="11" spans="1:25" x14ac:dyDescent="0.2">
      <c r="A11" t="s">
        <v>0</v>
      </c>
      <c r="B11" t="s">
        <v>17</v>
      </c>
      <c r="C11" t="s">
        <v>15</v>
      </c>
      <c r="D11" t="s">
        <v>16</v>
      </c>
      <c r="E11" t="s">
        <v>19</v>
      </c>
      <c r="F11" t="s">
        <v>3</v>
      </c>
      <c r="G11" t="s">
        <v>20</v>
      </c>
      <c r="H11" t="s">
        <v>26</v>
      </c>
      <c r="I11" t="s">
        <v>6</v>
      </c>
    </row>
    <row r="12" spans="1:25" x14ac:dyDescent="0.2">
      <c r="A12">
        <v>2017</v>
      </c>
      <c r="B12">
        <v>13</v>
      </c>
      <c r="C12">
        <v>10</v>
      </c>
      <c r="D12" s="3">
        <f>C12/B12</f>
        <v>0.76923076923076927</v>
      </c>
      <c r="E12">
        <v>4</v>
      </c>
      <c r="F12">
        <v>7.9</v>
      </c>
      <c r="G12">
        <v>43.35</v>
      </c>
      <c r="H12">
        <v>46.08</v>
      </c>
      <c r="I12">
        <v>75.38</v>
      </c>
      <c r="S12" s="23" t="s">
        <v>5</v>
      </c>
      <c r="T12" s="23"/>
      <c r="U12" s="23"/>
      <c r="V12" s="23"/>
      <c r="W12" s="23"/>
      <c r="X12" s="23"/>
      <c r="Y12" s="23"/>
    </row>
    <row r="13" spans="1:25" x14ac:dyDescent="0.2">
      <c r="A13">
        <v>2018</v>
      </c>
      <c r="B13">
        <v>14</v>
      </c>
      <c r="C13">
        <v>11</v>
      </c>
      <c r="D13" s="3">
        <f>C13/B13</f>
        <v>0.7857142857142857</v>
      </c>
      <c r="E13">
        <v>5</v>
      </c>
      <c r="F13">
        <v>8.3000000000000007</v>
      </c>
      <c r="G13">
        <v>43.66</v>
      </c>
      <c r="H13">
        <v>54.98</v>
      </c>
      <c r="I13">
        <v>75.42</v>
      </c>
      <c r="S13" s="25" t="s">
        <v>0</v>
      </c>
      <c r="T13" s="26">
        <v>2017</v>
      </c>
      <c r="U13" s="27">
        <v>2018</v>
      </c>
      <c r="V13" s="26">
        <v>2019</v>
      </c>
      <c r="W13" s="27">
        <v>2020</v>
      </c>
      <c r="X13" s="26">
        <v>2021</v>
      </c>
      <c r="Y13" s="25" t="s">
        <v>14</v>
      </c>
    </row>
    <row r="14" spans="1:25" x14ac:dyDescent="0.2">
      <c r="A14">
        <v>2019</v>
      </c>
      <c r="B14">
        <v>14</v>
      </c>
      <c r="C14">
        <v>12</v>
      </c>
      <c r="D14" s="3">
        <f>C14/B14</f>
        <v>0.8571428571428571</v>
      </c>
      <c r="E14">
        <v>5</v>
      </c>
      <c r="F14">
        <v>8.8000000000000007</v>
      </c>
      <c r="G14">
        <v>46.44</v>
      </c>
      <c r="H14">
        <v>66.430000000000007</v>
      </c>
      <c r="I14">
        <v>80.63</v>
      </c>
      <c r="S14" s="25" t="s">
        <v>17</v>
      </c>
      <c r="T14" s="26">
        <v>13</v>
      </c>
      <c r="U14" s="27">
        <v>14</v>
      </c>
      <c r="V14" s="26">
        <v>14</v>
      </c>
      <c r="W14" s="27">
        <v>13</v>
      </c>
      <c r="X14" s="26">
        <v>14</v>
      </c>
      <c r="Y14" s="25">
        <f>SUBTOTAL(101,Table24[Board Size])</f>
        <v>13.6</v>
      </c>
    </row>
    <row r="15" spans="1:25" x14ac:dyDescent="0.2">
      <c r="A15">
        <v>2020</v>
      </c>
      <c r="B15">
        <v>13</v>
      </c>
      <c r="C15">
        <v>12</v>
      </c>
      <c r="D15" s="3">
        <f>C15/B15</f>
        <v>0.92307692307692313</v>
      </c>
      <c r="E15">
        <v>5</v>
      </c>
      <c r="F15">
        <v>9.1999999999999993</v>
      </c>
      <c r="G15">
        <v>45.98</v>
      </c>
      <c r="H15">
        <v>66.37</v>
      </c>
      <c r="I15">
        <v>81.42</v>
      </c>
      <c r="S15" s="25" t="s">
        <v>15</v>
      </c>
      <c r="T15" s="26">
        <v>10</v>
      </c>
      <c r="U15" s="27">
        <v>11</v>
      </c>
      <c r="V15" s="26">
        <v>12</v>
      </c>
      <c r="W15" s="27">
        <v>12</v>
      </c>
      <c r="X15" s="26">
        <v>13</v>
      </c>
      <c r="Y15" s="25">
        <f>SUBTOTAL(101,Table24[Independent Members])</f>
        <v>11.6</v>
      </c>
    </row>
    <row r="16" spans="1:25" x14ac:dyDescent="0.2">
      <c r="A16">
        <v>2021</v>
      </c>
      <c r="B16">
        <v>14</v>
      </c>
      <c r="C16">
        <v>13</v>
      </c>
      <c r="D16" s="3">
        <f>C16/B16</f>
        <v>0.9285714285714286</v>
      </c>
      <c r="E16">
        <v>6</v>
      </c>
      <c r="F16">
        <v>9.6</v>
      </c>
      <c r="G16">
        <v>47.89</v>
      </c>
      <c r="H16">
        <v>55.27</v>
      </c>
      <c r="I16">
        <v>76.22</v>
      </c>
      <c r="S16" s="25" t="s">
        <v>16</v>
      </c>
      <c r="T16" s="35">
        <f>T15/T14</f>
        <v>0.76923076923076927</v>
      </c>
      <c r="U16" s="36">
        <f>U15/U14</f>
        <v>0.7857142857142857</v>
      </c>
      <c r="V16" s="35">
        <f>V15/V14</f>
        <v>0.8571428571428571</v>
      </c>
      <c r="W16" s="36">
        <f>W15/W14</f>
        <v>0.92307692307692313</v>
      </c>
      <c r="X16" s="35">
        <f>X15/X14</f>
        <v>0.9285714285714286</v>
      </c>
      <c r="Y16" s="37">
        <f>SUBTOTAL(101,Table24[Board Independence])</f>
        <v>0.85274725274725272</v>
      </c>
    </row>
    <row r="17" spans="1:25" x14ac:dyDescent="0.2">
      <c r="A17" t="s">
        <v>14</v>
      </c>
      <c r="B17">
        <f>SUBTOTAL(101,Table24[Board Size])</f>
        <v>13.6</v>
      </c>
      <c r="C17">
        <f>SUBTOTAL(101,Table24[Independent Members])</f>
        <v>11.6</v>
      </c>
      <c r="D17" s="5">
        <f>SUBTOTAL(101,Table24[Board Independence])</f>
        <v>0.85274725274725272</v>
      </c>
      <c r="E17">
        <f>SUBTOTAL(101,Table24['# of Females])</f>
        <v>5</v>
      </c>
      <c r="F17">
        <f>SUBTOTAL(101,Table24[Board Tenure])</f>
        <v>8.7600000000000016</v>
      </c>
      <c r="G17">
        <f>AVERAGE(G12:G16)</f>
        <v>45.463999999999999</v>
      </c>
      <c r="H17">
        <f t="shared" ref="H17" si="1">AVERAGE(H12:H16)</f>
        <v>57.826000000000001</v>
      </c>
      <c r="I17">
        <f t="shared" ref="I17" si="2">AVERAGE(I12:I16)</f>
        <v>77.814000000000007</v>
      </c>
      <c r="S17" s="25" t="s">
        <v>19</v>
      </c>
      <c r="T17" s="26">
        <v>4</v>
      </c>
      <c r="U17" s="27">
        <v>5</v>
      </c>
      <c r="V17" s="26">
        <v>5</v>
      </c>
      <c r="W17" s="27">
        <v>5</v>
      </c>
      <c r="X17" s="26">
        <v>6</v>
      </c>
      <c r="Y17" s="25">
        <f>SUBTOTAL(101,Table24['# of Females])</f>
        <v>5</v>
      </c>
    </row>
    <row r="18" spans="1:25" x14ac:dyDescent="0.2">
      <c r="A18" s="23" t="s">
        <v>18</v>
      </c>
      <c r="B18" s="23"/>
      <c r="C18" s="23"/>
      <c r="D18" s="23"/>
      <c r="E18" s="23"/>
      <c r="F18" s="23"/>
      <c r="S18" s="25" t="s">
        <v>3</v>
      </c>
      <c r="T18" s="26">
        <v>7.9</v>
      </c>
      <c r="U18" s="27">
        <v>8.3000000000000007</v>
      </c>
      <c r="V18" s="26">
        <v>8.8000000000000007</v>
      </c>
      <c r="W18" s="27">
        <v>9.1999999999999993</v>
      </c>
      <c r="X18" s="26">
        <v>9.6</v>
      </c>
      <c r="Y18" s="25">
        <f>SUBTOTAL(101,Table24[Board Tenure])</f>
        <v>8.7600000000000016</v>
      </c>
    </row>
    <row r="19" spans="1:25" x14ac:dyDescent="0.2">
      <c r="A19" t="s">
        <v>0</v>
      </c>
      <c r="B19" t="s">
        <v>17</v>
      </c>
      <c r="C19" t="s">
        <v>15</v>
      </c>
      <c r="D19" t="s">
        <v>16</v>
      </c>
      <c r="E19" t="s">
        <v>19</v>
      </c>
      <c r="F19" t="s">
        <v>3</v>
      </c>
      <c r="G19" t="s">
        <v>20</v>
      </c>
      <c r="H19" t="s">
        <v>26</v>
      </c>
      <c r="I19" t="s">
        <v>6</v>
      </c>
      <c r="S19" s="25" t="s">
        <v>20</v>
      </c>
      <c r="T19" s="26">
        <v>43.35</v>
      </c>
      <c r="U19" s="27">
        <v>43.66</v>
      </c>
      <c r="V19" s="26">
        <v>46.44</v>
      </c>
      <c r="W19" s="27">
        <v>45.98</v>
      </c>
      <c r="X19" s="26">
        <v>47.89</v>
      </c>
      <c r="Y19" s="25">
        <f>AVERAGE(T19:X19)</f>
        <v>45.463999999999999</v>
      </c>
    </row>
    <row r="20" spans="1:25" x14ac:dyDescent="0.2">
      <c r="A20">
        <v>2017</v>
      </c>
      <c r="B20">
        <v>17</v>
      </c>
      <c r="C20">
        <v>11</v>
      </c>
      <c r="D20" s="3">
        <f>C20/B20</f>
        <v>0.6470588235294118</v>
      </c>
      <c r="E20">
        <v>3</v>
      </c>
      <c r="F20">
        <v>7.3</v>
      </c>
      <c r="G20">
        <v>46.91</v>
      </c>
      <c r="H20">
        <v>86.09</v>
      </c>
      <c r="I20">
        <v>84.92</v>
      </c>
      <c r="S20" s="25" t="s">
        <v>26</v>
      </c>
      <c r="T20" s="26">
        <v>46.08</v>
      </c>
      <c r="U20" s="27">
        <v>54.98</v>
      </c>
      <c r="V20" s="26">
        <v>66.430000000000007</v>
      </c>
      <c r="W20" s="27">
        <v>66.37</v>
      </c>
      <c r="X20" s="26">
        <v>55.27</v>
      </c>
      <c r="Y20" s="25">
        <f>AVERAGE(T20:X20)</f>
        <v>57.826000000000001</v>
      </c>
    </row>
    <row r="21" spans="1:25" x14ac:dyDescent="0.2">
      <c r="A21">
        <v>2018</v>
      </c>
      <c r="B21">
        <v>17</v>
      </c>
      <c r="C21">
        <v>11</v>
      </c>
      <c r="D21" s="3">
        <f>C21/B21</f>
        <v>0.6470588235294118</v>
      </c>
      <c r="E21">
        <v>3</v>
      </c>
      <c r="F21">
        <v>7.6</v>
      </c>
      <c r="G21">
        <v>47.83</v>
      </c>
      <c r="H21">
        <v>82.13</v>
      </c>
      <c r="I21">
        <v>81.97</v>
      </c>
      <c r="S21" s="25" t="s">
        <v>6</v>
      </c>
      <c r="T21" s="26">
        <v>75.38</v>
      </c>
      <c r="U21" s="27">
        <v>75.42</v>
      </c>
      <c r="V21" s="26">
        <v>80.63</v>
      </c>
      <c r="W21" s="27">
        <v>81.42</v>
      </c>
      <c r="X21" s="26">
        <v>76.22</v>
      </c>
      <c r="Y21" s="25">
        <f>AVERAGE(T21:X21)</f>
        <v>77.814000000000007</v>
      </c>
    </row>
    <row r="22" spans="1:25" x14ac:dyDescent="0.2">
      <c r="A22">
        <v>2019</v>
      </c>
      <c r="B22">
        <v>15</v>
      </c>
      <c r="C22">
        <v>12</v>
      </c>
      <c r="D22" s="3">
        <f>C22/B22</f>
        <v>0.8</v>
      </c>
      <c r="E22">
        <v>4</v>
      </c>
      <c r="F22">
        <v>7.8</v>
      </c>
      <c r="G22">
        <v>45.32</v>
      </c>
      <c r="H22">
        <v>85.39</v>
      </c>
      <c r="I22">
        <v>86.48</v>
      </c>
    </row>
    <row r="23" spans="1:25" x14ac:dyDescent="0.2">
      <c r="A23">
        <v>2020</v>
      </c>
      <c r="B23">
        <v>15</v>
      </c>
      <c r="C23">
        <v>12</v>
      </c>
      <c r="D23" s="3">
        <f>C23/B23</f>
        <v>0.8</v>
      </c>
      <c r="E23">
        <v>4</v>
      </c>
      <c r="F23">
        <v>8.4</v>
      </c>
      <c r="G23">
        <v>51.92</v>
      </c>
      <c r="H23">
        <v>92.19</v>
      </c>
      <c r="I23">
        <v>84.11</v>
      </c>
      <c r="S23" s="23" t="s">
        <v>40</v>
      </c>
      <c r="T23" s="23"/>
      <c r="U23" s="23"/>
      <c r="V23" s="23"/>
      <c r="W23" s="23"/>
      <c r="X23" s="23"/>
      <c r="Y23" s="23"/>
    </row>
    <row r="24" spans="1:25" x14ac:dyDescent="0.2">
      <c r="A24">
        <v>2021</v>
      </c>
      <c r="B24">
        <v>14</v>
      </c>
      <c r="C24">
        <v>12</v>
      </c>
      <c r="D24" s="3">
        <f>C24/B24</f>
        <v>0.8571428571428571</v>
      </c>
      <c r="E24">
        <v>3</v>
      </c>
      <c r="F24">
        <v>8.9</v>
      </c>
      <c r="G24">
        <v>44.58</v>
      </c>
      <c r="H24">
        <v>86.12</v>
      </c>
      <c r="I24">
        <v>85.22</v>
      </c>
      <c r="S24" s="25" t="s">
        <v>0</v>
      </c>
      <c r="T24" s="26">
        <v>2017</v>
      </c>
      <c r="U24" s="27">
        <v>2018</v>
      </c>
      <c r="V24" s="26">
        <v>2019</v>
      </c>
      <c r="W24" s="27">
        <v>2020</v>
      </c>
      <c r="X24" s="26">
        <v>2021</v>
      </c>
      <c r="Y24" s="25" t="s">
        <v>14</v>
      </c>
    </row>
    <row r="25" spans="1:25" x14ac:dyDescent="0.2">
      <c r="A25" t="s">
        <v>14</v>
      </c>
      <c r="B25">
        <f>SUBTOTAL(101,Table25[Board Size])</f>
        <v>15.6</v>
      </c>
      <c r="C25">
        <f>SUBTOTAL(101,Table25[Independent Members])</f>
        <v>11.6</v>
      </c>
      <c r="D25" s="5">
        <f>SUBTOTAL(101,Table25[Board Independence])</f>
        <v>0.75025210084033622</v>
      </c>
      <c r="E25">
        <f>SUBTOTAL(101,Table25['# of Females])</f>
        <v>3.4</v>
      </c>
      <c r="F25">
        <f>SUBTOTAL(101,Table25[Board Tenure])</f>
        <v>8</v>
      </c>
      <c r="G25">
        <f>AVERAGE(G20:G24)</f>
        <v>47.311999999999998</v>
      </c>
      <c r="H25">
        <f t="shared" ref="H25" si="3">AVERAGE(H20:H24)</f>
        <v>86.384</v>
      </c>
      <c r="I25">
        <f t="shared" ref="I25" si="4">AVERAGE(I20:I24)</f>
        <v>84.54</v>
      </c>
      <c r="S25" s="25" t="s">
        <v>17</v>
      </c>
      <c r="T25" s="26">
        <v>17</v>
      </c>
      <c r="U25" s="27">
        <v>17</v>
      </c>
      <c r="V25" s="26">
        <v>15</v>
      </c>
      <c r="W25" s="27">
        <v>15</v>
      </c>
      <c r="X25" s="26">
        <v>14</v>
      </c>
      <c r="Y25" s="25">
        <f>SUBTOTAL(101,Table25[Board Size])</f>
        <v>15.6</v>
      </c>
    </row>
    <row r="26" spans="1:25" x14ac:dyDescent="0.2">
      <c r="A26" s="23" t="s">
        <v>7</v>
      </c>
      <c r="B26" s="23"/>
      <c r="C26" s="23"/>
      <c r="D26" s="23"/>
      <c r="E26" s="23"/>
      <c r="F26" s="23"/>
      <c r="S26" s="25" t="s">
        <v>15</v>
      </c>
      <c r="T26" s="26">
        <v>11</v>
      </c>
      <c r="U26" s="27">
        <v>11</v>
      </c>
      <c r="V26" s="26">
        <v>12</v>
      </c>
      <c r="W26" s="27">
        <v>12</v>
      </c>
      <c r="X26" s="26">
        <v>12</v>
      </c>
      <c r="Y26" s="25">
        <f>SUBTOTAL(101,Table25[Independent Members])</f>
        <v>11.6</v>
      </c>
    </row>
    <row r="27" spans="1:25" x14ac:dyDescent="0.2">
      <c r="A27" t="s">
        <v>0</v>
      </c>
      <c r="B27" t="s">
        <v>17</v>
      </c>
      <c r="C27" t="s">
        <v>15</v>
      </c>
      <c r="D27" t="s">
        <v>16</v>
      </c>
      <c r="E27" t="s">
        <v>19</v>
      </c>
      <c r="F27" t="s">
        <v>3</v>
      </c>
      <c r="G27" t="s">
        <v>20</v>
      </c>
      <c r="H27" t="s">
        <v>26</v>
      </c>
      <c r="I27" t="s">
        <v>6</v>
      </c>
      <c r="S27" s="25" t="s">
        <v>16</v>
      </c>
      <c r="T27" s="35">
        <f>T26/T25</f>
        <v>0.6470588235294118</v>
      </c>
      <c r="U27" s="36">
        <f>U26/U25</f>
        <v>0.6470588235294118</v>
      </c>
      <c r="V27" s="35">
        <f>V26/V25</f>
        <v>0.8</v>
      </c>
      <c r="W27" s="36">
        <f>W26/W25</f>
        <v>0.8</v>
      </c>
      <c r="X27" s="35">
        <f>X26/X25</f>
        <v>0.8571428571428571</v>
      </c>
      <c r="Y27" s="37">
        <f>SUBTOTAL(101,Table25[Board Independence])</f>
        <v>0.75025210084033622</v>
      </c>
    </row>
    <row r="28" spans="1:25" x14ac:dyDescent="0.2">
      <c r="A28">
        <v>2017</v>
      </c>
      <c r="B28">
        <v>11</v>
      </c>
      <c r="C28">
        <v>10</v>
      </c>
      <c r="D28" s="3">
        <f>C28/B28</f>
        <v>0.90909090909090906</v>
      </c>
      <c r="E28">
        <v>2</v>
      </c>
      <c r="F28">
        <v>7.1</v>
      </c>
      <c r="G28">
        <v>44.56</v>
      </c>
      <c r="H28">
        <v>48.04</v>
      </c>
      <c r="I28">
        <v>66.42</v>
      </c>
      <c r="S28" s="25" t="s">
        <v>19</v>
      </c>
      <c r="T28" s="26">
        <v>3</v>
      </c>
      <c r="U28" s="27">
        <v>3</v>
      </c>
      <c r="V28" s="26">
        <v>4</v>
      </c>
      <c r="W28" s="27">
        <v>4</v>
      </c>
      <c r="X28" s="26">
        <v>3</v>
      </c>
      <c r="Y28" s="25">
        <f>SUBTOTAL(101,Table25['# of Females])</f>
        <v>3.4</v>
      </c>
    </row>
    <row r="29" spans="1:25" x14ac:dyDescent="0.2">
      <c r="A29">
        <v>2018</v>
      </c>
      <c r="B29">
        <v>12</v>
      </c>
      <c r="C29">
        <v>10</v>
      </c>
      <c r="D29" s="3">
        <f>C29/B29</f>
        <v>0.83333333333333337</v>
      </c>
      <c r="E29">
        <v>2</v>
      </c>
      <c r="F29">
        <v>7.8</v>
      </c>
      <c r="G29">
        <v>35.71</v>
      </c>
      <c r="H29">
        <v>51.98</v>
      </c>
      <c r="I29">
        <v>69.56</v>
      </c>
      <c r="S29" s="25" t="s">
        <v>3</v>
      </c>
      <c r="T29" s="26">
        <v>7.3</v>
      </c>
      <c r="U29" s="27">
        <v>7.6</v>
      </c>
      <c r="V29" s="26">
        <v>7.8</v>
      </c>
      <c r="W29" s="27">
        <v>8.4</v>
      </c>
      <c r="X29" s="26">
        <v>8.9</v>
      </c>
      <c r="Y29" s="25">
        <f>SUBTOTAL(101,Table25[Board Tenure])</f>
        <v>8</v>
      </c>
    </row>
    <row r="30" spans="1:25" x14ac:dyDescent="0.2">
      <c r="A30">
        <v>2019</v>
      </c>
      <c r="B30">
        <v>12</v>
      </c>
      <c r="C30">
        <v>10</v>
      </c>
      <c r="D30" s="3">
        <f>C30/B30</f>
        <v>0.83333333333333337</v>
      </c>
      <c r="E30">
        <v>3</v>
      </c>
      <c r="F30">
        <v>8.6</v>
      </c>
      <c r="G30">
        <v>44.65</v>
      </c>
      <c r="H30">
        <v>82.99</v>
      </c>
      <c r="I30">
        <v>82.36</v>
      </c>
      <c r="S30" s="25" t="s">
        <v>20</v>
      </c>
      <c r="T30" s="26">
        <v>46.91</v>
      </c>
      <c r="U30" s="27">
        <v>47.83</v>
      </c>
      <c r="V30" s="26">
        <v>45.32</v>
      </c>
      <c r="W30" s="27">
        <v>51.92</v>
      </c>
      <c r="X30" s="26">
        <v>44.58</v>
      </c>
      <c r="Y30" s="25">
        <f>AVERAGE(T30:X30)</f>
        <v>47.311999999999998</v>
      </c>
    </row>
    <row r="31" spans="1:25" x14ac:dyDescent="0.2">
      <c r="A31">
        <v>2020</v>
      </c>
      <c r="B31">
        <v>13</v>
      </c>
      <c r="C31">
        <v>11</v>
      </c>
      <c r="D31" s="3">
        <f>C31/B31</f>
        <v>0.84615384615384615</v>
      </c>
      <c r="E31">
        <v>3</v>
      </c>
      <c r="F31">
        <v>9.4</v>
      </c>
      <c r="G31">
        <v>46.77</v>
      </c>
      <c r="H31">
        <v>90.22</v>
      </c>
      <c r="I31">
        <v>87.13</v>
      </c>
      <c r="S31" s="25" t="s">
        <v>26</v>
      </c>
      <c r="T31" s="26">
        <v>86.09</v>
      </c>
      <c r="U31" s="27">
        <v>82.13</v>
      </c>
      <c r="V31" s="26">
        <v>85.39</v>
      </c>
      <c r="W31" s="27">
        <v>92.19</v>
      </c>
      <c r="X31" s="26">
        <v>86.12</v>
      </c>
      <c r="Y31" s="25">
        <f>AVERAGE(T31:X31)</f>
        <v>86.384</v>
      </c>
    </row>
    <row r="32" spans="1:25" x14ac:dyDescent="0.2">
      <c r="A32">
        <v>2021</v>
      </c>
      <c r="B32">
        <v>13</v>
      </c>
      <c r="C32">
        <v>11</v>
      </c>
      <c r="D32" s="3">
        <f>C32/B32</f>
        <v>0.84615384615384615</v>
      </c>
      <c r="E32">
        <v>3</v>
      </c>
      <c r="F32">
        <v>10.1</v>
      </c>
      <c r="G32">
        <v>42.98</v>
      </c>
      <c r="H32">
        <v>85.62</v>
      </c>
      <c r="I32">
        <v>84.65</v>
      </c>
      <c r="S32" s="25" t="s">
        <v>6</v>
      </c>
      <c r="T32" s="26">
        <v>84.92</v>
      </c>
      <c r="U32" s="27">
        <v>81.97</v>
      </c>
      <c r="V32" s="26">
        <v>86.48</v>
      </c>
      <c r="W32" s="27">
        <v>84.11</v>
      </c>
      <c r="X32" s="26">
        <v>85.22</v>
      </c>
      <c r="Y32" s="25">
        <f>AVERAGE(T32:X32)</f>
        <v>84.54</v>
      </c>
    </row>
    <row r="33" spans="1:25" x14ac:dyDescent="0.2">
      <c r="A33" t="s">
        <v>14</v>
      </c>
      <c r="B33">
        <f>SUBTOTAL(101,Table26[Board Size])</f>
        <v>12.2</v>
      </c>
      <c r="C33">
        <f>SUBTOTAL(101,Table26[Independent Members])</f>
        <v>10.4</v>
      </c>
      <c r="D33" s="5">
        <f>SUBTOTAL(101,Table26[Board Independence])</f>
        <v>0.85361305361305351</v>
      </c>
      <c r="E33">
        <f>SUBTOTAL(101,Table26['# of Females])</f>
        <v>2.6</v>
      </c>
      <c r="F33">
        <f>SUBTOTAL(101,Table26[Board Tenure])</f>
        <v>8.6</v>
      </c>
      <c r="G33">
        <f>AVERAGE(G28:G32)</f>
        <v>42.934000000000005</v>
      </c>
      <c r="H33">
        <f t="shared" ref="H33" si="5">AVERAGE(H28:H32)</f>
        <v>71.77000000000001</v>
      </c>
      <c r="I33">
        <f t="shared" ref="I33" si="6">AVERAGE(I28:I32)</f>
        <v>78.024000000000001</v>
      </c>
    </row>
    <row r="34" spans="1:25" x14ac:dyDescent="0.2">
      <c r="S34" s="23" t="s">
        <v>41</v>
      </c>
      <c r="T34" s="23"/>
      <c r="U34" s="23"/>
      <c r="V34" s="23"/>
      <c r="W34" s="23"/>
      <c r="X34" s="23"/>
      <c r="Y34" s="23"/>
    </row>
    <row r="35" spans="1:25" x14ac:dyDescent="0.2">
      <c r="A35" s="23" t="s">
        <v>13</v>
      </c>
      <c r="B35" s="23"/>
      <c r="C35" s="23"/>
      <c r="D35" s="23"/>
      <c r="E35" s="23"/>
      <c r="F35" s="23"/>
      <c r="S35" s="25" t="s">
        <v>0</v>
      </c>
      <c r="T35" s="26">
        <v>2017</v>
      </c>
      <c r="U35" s="27">
        <v>2018</v>
      </c>
      <c r="V35" s="26">
        <v>2019</v>
      </c>
      <c r="W35" s="27">
        <v>2020</v>
      </c>
      <c r="X35" s="26">
        <v>2021</v>
      </c>
      <c r="Y35" s="25" t="s">
        <v>14</v>
      </c>
    </row>
    <row r="36" spans="1:25" x14ac:dyDescent="0.2">
      <c r="A36" t="s">
        <v>0</v>
      </c>
      <c r="B36" t="s">
        <v>17</v>
      </c>
      <c r="C36" t="s">
        <v>15</v>
      </c>
      <c r="D36" t="s">
        <v>16</v>
      </c>
      <c r="E36" t="s">
        <v>19</v>
      </c>
      <c r="F36" t="s">
        <v>3</v>
      </c>
      <c r="G36" t="s">
        <v>20</v>
      </c>
      <c r="H36" t="s">
        <v>26</v>
      </c>
      <c r="I36" t="s">
        <v>6</v>
      </c>
      <c r="S36" s="25" t="s">
        <v>17</v>
      </c>
      <c r="T36" s="26">
        <v>11</v>
      </c>
      <c r="U36" s="27">
        <v>12</v>
      </c>
      <c r="V36" s="26">
        <v>12</v>
      </c>
      <c r="W36" s="27">
        <v>13</v>
      </c>
      <c r="X36" s="26">
        <v>13</v>
      </c>
      <c r="Y36" s="25">
        <f>SUBTOTAL(101,Table26[Board Size])</f>
        <v>12.2</v>
      </c>
    </row>
    <row r="37" spans="1:25" x14ac:dyDescent="0.2">
      <c r="A37">
        <v>2017</v>
      </c>
      <c r="B37">
        <v>13</v>
      </c>
      <c r="C37">
        <v>10</v>
      </c>
      <c r="D37" s="3">
        <f>C37/B37</f>
        <v>0.76923076923076927</v>
      </c>
      <c r="E37">
        <v>2</v>
      </c>
      <c r="F37">
        <v>6.9</v>
      </c>
      <c r="G37">
        <v>50.16</v>
      </c>
      <c r="H37">
        <v>68.260000000000005</v>
      </c>
      <c r="I37">
        <v>73.25</v>
      </c>
      <c r="S37" s="25" t="s">
        <v>15</v>
      </c>
      <c r="T37" s="26">
        <v>10</v>
      </c>
      <c r="U37" s="27">
        <v>10</v>
      </c>
      <c r="V37" s="26">
        <v>10</v>
      </c>
      <c r="W37" s="27">
        <v>11</v>
      </c>
      <c r="X37" s="26">
        <v>11</v>
      </c>
      <c r="Y37" s="25">
        <f>SUBTOTAL(101,Table26[Independent Members])</f>
        <v>10.4</v>
      </c>
    </row>
    <row r="38" spans="1:25" x14ac:dyDescent="0.2">
      <c r="A38">
        <v>2018</v>
      </c>
      <c r="B38">
        <v>13</v>
      </c>
      <c r="C38">
        <v>10</v>
      </c>
      <c r="D38" s="3">
        <f>C38/B38</f>
        <v>0.76923076923076927</v>
      </c>
      <c r="E38">
        <v>3</v>
      </c>
      <c r="F38">
        <v>7.7</v>
      </c>
      <c r="G38">
        <v>37.630000000000003</v>
      </c>
      <c r="H38">
        <v>58.11</v>
      </c>
      <c r="I38">
        <v>68.45</v>
      </c>
      <c r="S38" s="25" t="s">
        <v>16</v>
      </c>
      <c r="T38" s="35">
        <f>T37/T36</f>
        <v>0.90909090909090906</v>
      </c>
      <c r="U38" s="36">
        <f>U37/U36</f>
        <v>0.83333333333333337</v>
      </c>
      <c r="V38" s="35">
        <f>V37/V36</f>
        <v>0.83333333333333337</v>
      </c>
      <c r="W38" s="36">
        <f>W37/W36</f>
        <v>0.84615384615384615</v>
      </c>
      <c r="X38" s="35">
        <f>X37/X36</f>
        <v>0.84615384615384615</v>
      </c>
      <c r="Y38" s="37">
        <f>SUBTOTAL(101,Table26[Board Independence])</f>
        <v>0.85361305361305351</v>
      </c>
    </row>
    <row r="39" spans="1:25" x14ac:dyDescent="0.2">
      <c r="A39">
        <v>2019</v>
      </c>
      <c r="B39">
        <v>13</v>
      </c>
      <c r="C39">
        <v>11</v>
      </c>
      <c r="D39" s="3">
        <f>C39/B39</f>
        <v>0.84615384615384615</v>
      </c>
      <c r="E39">
        <v>3</v>
      </c>
      <c r="F39">
        <v>8.5</v>
      </c>
      <c r="G39">
        <v>39.43</v>
      </c>
      <c r="H39">
        <v>55.78</v>
      </c>
      <c r="I39">
        <v>65.900000000000006</v>
      </c>
      <c r="S39" s="25" t="s">
        <v>19</v>
      </c>
      <c r="T39" s="26">
        <v>2</v>
      </c>
      <c r="U39" s="27">
        <v>2</v>
      </c>
      <c r="V39" s="26">
        <v>3</v>
      </c>
      <c r="W39" s="27">
        <v>3</v>
      </c>
      <c r="X39" s="26">
        <v>3</v>
      </c>
      <c r="Y39" s="25">
        <f>SUBTOTAL(101,Table26['# of Females])</f>
        <v>2.6</v>
      </c>
    </row>
    <row r="40" spans="1:25" x14ac:dyDescent="0.2">
      <c r="A40">
        <v>2020</v>
      </c>
      <c r="B40">
        <v>13</v>
      </c>
      <c r="C40">
        <v>11</v>
      </c>
      <c r="D40" s="3">
        <f>C40/B40</f>
        <v>0.84615384615384615</v>
      </c>
      <c r="E40">
        <v>4</v>
      </c>
      <c r="F40">
        <v>9.3000000000000007</v>
      </c>
      <c r="G40">
        <v>35.4</v>
      </c>
      <c r="H40">
        <v>46.15</v>
      </c>
      <c r="I40">
        <v>61.07</v>
      </c>
      <c r="S40" s="25" t="s">
        <v>3</v>
      </c>
      <c r="T40" s="26">
        <v>7.1</v>
      </c>
      <c r="U40" s="27">
        <v>7.8</v>
      </c>
      <c r="V40" s="26">
        <v>8.6</v>
      </c>
      <c r="W40" s="27">
        <v>9.4</v>
      </c>
      <c r="X40" s="26">
        <v>10.1</v>
      </c>
      <c r="Y40" s="25">
        <f>SUBTOTAL(101,Table26[Board Tenure])</f>
        <v>8.6</v>
      </c>
    </row>
    <row r="41" spans="1:25" x14ac:dyDescent="0.2">
      <c r="A41">
        <v>2021</v>
      </c>
      <c r="B41">
        <v>13</v>
      </c>
      <c r="C41">
        <v>11</v>
      </c>
      <c r="D41" s="3">
        <f>C41/B41</f>
        <v>0.84615384615384615</v>
      </c>
      <c r="E41">
        <v>4</v>
      </c>
      <c r="F41">
        <v>10.1</v>
      </c>
      <c r="G41">
        <v>31.65</v>
      </c>
      <c r="H41">
        <v>47.62</v>
      </c>
      <c r="I41">
        <v>62.02</v>
      </c>
      <c r="S41" s="25" t="s">
        <v>20</v>
      </c>
      <c r="T41" s="26">
        <v>44.56</v>
      </c>
      <c r="U41" s="27">
        <v>35.71</v>
      </c>
      <c r="V41" s="26">
        <v>44.65</v>
      </c>
      <c r="W41" s="27">
        <v>46.77</v>
      </c>
      <c r="X41" s="26">
        <v>42.98</v>
      </c>
      <c r="Y41" s="25">
        <f>AVERAGE(T41:X41)</f>
        <v>42.934000000000005</v>
      </c>
    </row>
    <row r="42" spans="1:25" x14ac:dyDescent="0.2">
      <c r="A42" t="s">
        <v>14</v>
      </c>
      <c r="B42">
        <f>SUBTOTAL(101,Table27[Board Size])</f>
        <v>13</v>
      </c>
      <c r="C42">
        <f>SUBTOTAL(101,Table27[Independent Members])</f>
        <v>10.6</v>
      </c>
      <c r="D42" s="5">
        <f>SUBTOTAL(101,Table27[Board Independence])</f>
        <v>0.81538461538461537</v>
      </c>
      <c r="E42">
        <f>SUBTOTAL(101,Table27['# of Females])</f>
        <v>3.2</v>
      </c>
      <c r="F42">
        <f>SUBTOTAL(101,Table27[Board Tenure])</f>
        <v>8.5000000000000018</v>
      </c>
      <c r="G42">
        <f>AVERAGE(G37:G41)</f>
        <v>38.853999999999999</v>
      </c>
      <c r="H42">
        <f t="shared" ref="H42" si="7">AVERAGE(H37:H41)</f>
        <v>55.184000000000005</v>
      </c>
      <c r="I42">
        <f t="shared" ref="I42" si="8">AVERAGE(I37:I41)</f>
        <v>66.138000000000005</v>
      </c>
      <c r="S42" s="25" t="s">
        <v>26</v>
      </c>
      <c r="T42" s="26">
        <v>48.04</v>
      </c>
      <c r="U42" s="27">
        <v>51.98</v>
      </c>
      <c r="V42" s="26">
        <v>82.99</v>
      </c>
      <c r="W42" s="27">
        <v>90.22</v>
      </c>
      <c r="X42" s="26">
        <v>85.62</v>
      </c>
      <c r="Y42" s="25">
        <f>AVERAGE(T42:X42)</f>
        <v>71.77000000000001</v>
      </c>
    </row>
    <row r="43" spans="1:25" x14ac:dyDescent="0.2">
      <c r="S43" s="25" t="s">
        <v>6</v>
      </c>
      <c r="T43" s="26">
        <v>66.42</v>
      </c>
      <c r="U43" s="27">
        <v>69.56</v>
      </c>
      <c r="V43" s="26">
        <v>82.36</v>
      </c>
      <c r="W43" s="27">
        <v>87.13</v>
      </c>
      <c r="X43" s="26">
        <v>84.65</v>
      </c>
      <c r="Y43" s="25">
        <f>AVERAGE(T43:X43)</f>
        <v>78.024000000000001</v>
      </c>
    </row>
    <row r="45" spans="1:25" x14ac:dyDescent="0.2">
      <c r="S45" s="23" t="s">
        <v>42</v>
      </c>
      <c r="T45" s="23"/>
      <c r="U45" s="23"/>
      <c r="V45" s="23"/>
      <c r="W45" s="23"/>
      <c r="X45" s="23"/>
      <c r="Y45" s="23"/>
    </row>
    <row r="46" spans="1:25" x14ac:dyDescent="0.2">
      <c r="S46" s="25" t="s">
        <v>0</v>
      </c>
      <c r="T46" s="26">
        <v>2017</v>
      </c>
      <c r="U46" s="27">
        <v>2018</v>
      </c>
      <c r="V46" s="26">
        <v>2019</v>
      </c>
      <c r="W46" s="27">
        <v>2020</v>
      </c>
      <c r="X46" s="26">
        <v>2021</v>
      </c>
      <c r="Y46" s="25" t="s">
        <v>14</v>
      </c>
    </row>
    <row r="47" spans="1:25" x14ac:dyDescent="0.2">
      <c r="S47" s="25" t="s">
        <v>17</v>
      </c>
      <c r="T47" s="26">
        <v>13</v>
      </c>
      <c r="U47" s="27">
        <v>13</v>
      </c>
      <c r="V47" s="26">
        <v>13</v>
      </c>
      <c r="W47" s="27">
        <v>13</v>
      </c>
      <c r="X47" s="26">
        <v>13</v>
      </c>
      <c r="Y47" s="25">
        <f>SUBTOTAL(101,Table27[Board Size])</f>
        <v>13</v>
      </c>
    </row>
    <row r="48" spans="1:25" x14ac:dyDescent="0.2">
      <c r="S48" s="25" t="s">
        <v>15</v>
      </c>
      <c r="T48" s="26">
        <v>10</v>
      </c>
      <c r="U48" s="27">
        <v>10</v>
      </c>
      <c r="V48" s="26">
        <v>11</v>
      </c>
      <c r="W48" s="27">
        <v>11</v>
      </c>
      <c r="X48" s="26">
        <v>11</v>
      </c>
      <c r="Y48" s="25">
        <f>SUBTOTAL(101,Table27[Independent Members])</f>
        <v>10.6</v>
      </c>
    </row>
    <row r="49" spans="19:25" x14ac:dyDescent="0.2">
      <c r="S49" s="25" t="s">
        <v>16</v>
      </c>
      <c r="T49" s="35">
        <f>T48/T47</f>
        <v>0.76923076923076927</v>
      </c>
      <c r="U49" s="36">
        <f>U48/U47</f>
        <v>0.76923076923076927</v>
      </c>
      <c r="V49" s="35">
        <f>V48/V47</f>
        <v>0.84615384615384615</v>
      </c>
      <c r="W49" s="36">
        <f>W48/W47</f>
        <v>0.84615384615384615</v>
      </c>
      <c r="X49" s="35">
        <f>X48/X47</f>
        <v>0.84615384615384615</v>
      </c>
      <c r="Y49" s="37">
        <f>SUBTOTAL(101,Table27[Board Independence])</f>
        <v>0.81538461538461537</v>
      </c>
    </row>
    <row r="50" spans="19:25" x14ac:dyDescent="0.2">
      <c r="S50" s="25" t="s">
        <v>19</v>
      </c>
      <c r="T50" s="26">
        <v>2</v>
      </c>
      <c r="U50" s="27">
        <v>3</v>
      </c>
      <c r="V50" s="26">
        <v>3</v>
      </c>
      <c r="W50" s="27">
        <v>4</v>
      </c>
      <c r="X50" s="26">
        <v>4</v>
      </c>
      <c r="Y50" s="25">
        <f>SUBTOTAL(101,Table27['# of Females])</f>
        <v>3.2</v>
      </c>
    </row>
    <row r="51" spans="19:25" x14ac:dyDescent="0.2">
      <c r="S51" s="25" t="s">
        <v>3</v>
      </c>
      <c r="T51" s="26">
        <v>6.9</v>
      </c>
      <c r="U51" s="27">
        <v>7.7</v>
      </c>
      <c r="V51" s="26">
        <v>8.5</v>
      </c>
      <c r="W51" s="27">
        <v>9.3000000000000007</v>
      </c>
      <c r="X51" s="26">
        <v>10.1</v>
      </c>
      <c r="Y51" s="25">
        <f>SUBTOTAL(101,Table27[Board Tenure])</f>
        <v>8.5000000000000018</v>
      </c>
    </row>
    <row r="52" spans="19:25" x14ac:dyDescent="0.2">
      <c r="S52" s="25" t="s">
        <v>20</v>
      </c>
      <c r="T52" s="26">
        <v>50.16</v>
      </c>
      <c r="U52" s="27">
        <v>37.630000000000003</v>
      </c>
      <c r="V52" s="26">
        <v>39.43</v>
      </c>
      <c r="W52" s="27">
        <v>35.4</v>
      </c>
      <c r="X52" s="26">
        <v>31.65</v>
      </c>
      <c r="Y52" s="25">
        <f>AVERAGE(T52:X52)</f>
        <v>38.853999999999999</v>
      </c>
    </row>
    <row r="53" spans="19:25" x14ac:dyDescent="0.2">
      <c r="S53" s="25" t="s">
        <v>26</v>
      </c>
      <c r="T53" s="26">
        <v>68.260000000000005</v>
      </c>
      <c r="U53" s="27">
        <v>58.11</v>
      </c>
      <c r="V53" s="26">
        <v>55.78</v>
      </c>
      <c r="W53" s="27">
        <v>46.15</v>
      </c>
      <c r="X53" s="26">
        <v>47.62</v>
      </c>
      <c r="Y53" s="25">
        <f>AVERAGE(T53:X53)</f>
        <v>55.184000000000005</v>
      </c>
    </row>
    <row r="54" spans="19:25" x14ac:dyDescent="0.2">
      <c r="S54" s="25" t="s">
        <v>6</v>
      </c>
      <c r="T54" s="26">
        <v>73.25</v>
      </c>
      <c r="U54" s="27">
        <v>68.45</v>
      </c>
      <c r="V54" s="26">
        <v>65.900000000000006</v>
      </c>
      <c r="W54" s="27">
        <v>61.07</v>
      </c>
      <c r="X54" s="26">
        <v>62.02</v>
      </c>
      <c r="Y54" s="25">
        <f>AVERAGE(T54:X54)</f>
        <v>66.138000000000005</v>
      </c>
    </row>
  </sheetData>
  <mergeCells count="10">
    <mergeCell ref="S1:Y1"/>
    <mergeCell ref="S12:Y12"/>
    <mergeCell ref="S23:Y23"/>
    <mergeCell ref="S34:Y34"/>
    <mergeCell ref="S45:Y45"/>
    <mergeCell ref="A35:F35"/>
    <mergeCell ref="A1:F1"/>
    <mergeCell ref="A10:F10"/>
    <mergeCell ref="A18:F18"/>
    <mergeCell ref="A26:F26"/>
  </mergeCells>
  <phoneticPr fontId="1" alignment="center"/>
  <pageMargins left="0.7" right="0.7" top="0.75" bottom="0.75" header="0.3" footer="0.3"/>
  <pageSetup orientation="portrait" horizontalDpi="0" verticalDpi="0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F062-EA5E-1E40-83FF-26E7EEC63AC8}">
  <dimension ref="A1:X54"/>
  <sheetViews>
    <sheetView zoomScale="65" zoomScaleNormal="60" workbookViewId="0">
      <selection activeCell="Y70" sqref="Y70"/>
    </sheetView>
  </sheetViews>
  <sheetFormatPr baseColWidth="10" defaultColWidth="10.83203125" defaultRowHeight="16" x14ac:dyDescent="0.2"/>
  <cols>
    <col min="1" max="1" width="8.5" bestFit="1" customWidth="1"/>
    <col min="2" max="2" width="21.33203125" customWidth="1"/>
    <col min="3" max="3" width="23.6640625" customWidth="1"/>
    <col min="4" max="4" width="23.6640625" bestFit="1" customWidth="1"/>
    <col min="5" max="5" width="14.83203125" bestFit="1" customWidth="1"/>
    <col min="6" max="7" width="21.33203125" bestFit="1" customWidth="1"/>
    <col min="8" max="8" width="19.1640625" bestFit="1" customWidth="1"/>
    <col min="9" max="9" width="18.5" bestFit="1" customWidth="1"/>
    <col min="18" max="18" width="21" bestFit="1" customWidth="1"/>
  </cols>
  <sheetData>
    <row r="1" spans="1:24" x14ac:dyDescent="0.2">
      <c r="A1" s="23" t="s">
        <v>8</v>
      </c>
      <c r="B1" s="23"/>
      <c r="C1" s="23"/>
      <c r="D1" s="23"/>
      <c r="E1" s="23"/>
      <c r="F1" s="23"/>
      <c r="R1" s="23" t="s">
        <v>43</v>
      </c>
      <c r="S1" s="23"/>
      <c r="T1" s="23"/>
      <c r="U1" s="23"/>
      <c r="V1" s="23"/>
      <c r="W1" s="23"/>
      <c r="X1" s="23"/>
    </row>
    <row r="2" spans="1:24" x14ac:dyDescent="0.2">
      <c r="A2" t="s">
        <v>0</v>
      </c>
      <c r="B2" t="s">
        <v>17</v>
      </c>
      <c r="C2" t="s">
        <v>15</v>
      </c>
      <c r="D2" t="s">
        <v>16</v>
      </c>
      <c r="E2" t="s">
        <v>19</v>
      </c>
      <c r="F2" t="s">
        <v>3</v>
      </c>
      <c r="G2" t="s">
        <v>20</v>
      </c>
      <c r="H2" t="s">
        <v>26</v>
      </c>
      <c r="I2" t="s">
        <v>6</v>
      </c>
      <c r="R2" s="25" t="s">
        <v>0</v>
      </c>
      <c r="S2" s="26">
        <v>2017</v>
      </c>
      <c r="T2" s="27">
        <v>2018</v>
      </c>
      <c r="U2" s="26">
        <v>2019</v>
      </c>
      <c r="V2" s="27">
        <v>2020</v>
      </c>
      <c r="W2" s="26">
        <v>2021</v>
      </c>
      <c r="X2" s="25" t="s">
        <v>14</v>
      </c>
    </row>
    <row r="3" spans="1:24" x14ac:dyDescent="0.2">
      <c r="A3">
        <v>2017</v>
      </c>
      <c r="B3">
        <v>12</v>
      </c>
      <c r="C3">
        <v>10</v>
      </c>
      <c r="D3" s="3">
        <f>C3/B3</f>
        <v>0.83333333333333337</v>
      </c>
      <c r="E3">
        <v>2</v>
      </c>
      <c r="G3">
        <v>41.61</v>
      </c>
      <c r="H3">
        <v>50.88</v>
      </c>
      <c r="I3">
        <v>77.17</v>
      </c>
      <c r="R3" s="25" t="s">
        <v>17</v>
      </c>
      <c r="S3" s="26">
        <v>12</v>
      </c>
      <c r="T3" s="27">
        <v>12</v>
      </c>
      <c r="U3" s="26">
        <v>12</v>
      </c>
      <c r="V3" s="27">
        <v>11</v>
      </c>
      <c r="W3" s="26">
        <v>11</v>
      </c>
      <c r="X3" s="25">
        <f>SUBTOTAL(101,Table28[Board Size])</f>
        <v>11.6</v>
      </c>
    </row>
    <row r="4" spans="1:24" x14ac:dyDescent="0.2">
      <c r="A4">
        <v>2018</v>
      </c>
      <c r="B4">
        <v>12</v>
      </c>
      <c r="C4">
        <v>10</v>
      </c>
      <c r="D4" s="3">
        <f t="shared" ref="D4:D7" si="0">C4/B4</f>
        <v>0.83333333333333337</v>
      </c>
      <c r="E4">
        <v>2</v>
      </c>
      <c r="G4">
        <v>42.51</v>
      </c>
      <c r="H4">
        <v>49.84</v>
      </c>
      <c r="I4">
        <v>75.010000000000005</v>
      </c>
      <c r="R4" s="25" t="s">
        <v>15</v>
      </c>
      <c r="S4" s="26">
        <v>10</v>
      </c>
      <c r="T4" s="27">
        <v>10</v>
      </c>
      <c r="U4" s="26">
        <v>9</v>
      </c>
      <c r="V4" s="27">
        <v>9</v>
      </c>
      <c r="W4" s="26">
        <v>9</v>
      </c>
      <c r="X4" s="25">
        <f>SUBTOTAL(101,Table28[Independent Members])</f>
        <v>9.4</v>
      </c>
    </row>
    <row r="5" spans="1:24" x14ac:dyDescent="0.2">
      <c r="A5">
        <v>2019</v>
      </c>
      <c r="B5">
        <v>12</v>
      </c>
      <c r="C5">
        <v>9</v>
      </c>
      <c r="D5" s="3">
        <f>C5/B5</f>
        <v>0.75</v>
      </c>
      <c r="E5">
        <v>2</v>
      </c>
      <c r="G5">
        <v>38.369999999999997</v>
      </c>
      <c r="H5">
        <v>45.18</v>
      </c>
      <c r="I5">
        <v>72.12</v>
      </c>
      <c r="R5" s="25" t="s">
        <v>16</v>
      </c>
      <c r="S5" s="35">
        <f>S4/S3</f>
        <v>0.83333333333333337</v>
      </c>
      <c r="T5" s="36">
        <f>T4/T3</f>
        <v>0.83333333333333337</v>
      </c>
      <c r="U5" s="35">
        <f>U4/U3</f>
        <v>0.75</v>
      </c>
      <c r="V5" s="36">
        <f>V4/V3</f>
        <v>0.81818181818181823</v>
      </c>
      <c r="W5" s="35">
        <f>W4/W3</f>
        <v>0.81818181818181823</v>
      </c>
      <c r="X5" s="37">
        <f>SUBTOTAL(101,Table28[Board Independence])</f>
        <v>0.81060606060606077</v>
      </c>
    </row>
    <row r="6" spans="1:24" x14ac:dyDescent="0.2">
      <c r="A6">
        <v>2020</v>
      </c>
      <c r="B6">
        <v>11</v>
      </c>
      <c r="C6">
        <v>9</v>
      </c>
      <c r="D6" s="3">
        <f t="shared" si="0"/>
        <v>0.81818181818181823</v>
      </c>
      <c r="E6">
        <v>1</v>
      </c>
      <c r="G6">
        <v>35.4</v>
      </c>
      <c r="H6">
        <v>44.87</v>
      </c>
      <c r="I6">
        <v>70.03</v>
      </c>
      <c r="R6" s="25" t="s">
        <v>19</v>
      </c>
      <c r="S6" s="26">
        <v>2</v>
      </c>
      <c r="T6" s="27">
        <v>2</v>
      </c>
      <c r="U6" s="26">
        <v>2</v>
      </c>
      <c r="V6" s="27">
        <v>1</v>
      </c>
      <c r="W6" s="26">
        <v>1</v>
      </c>
      <c r="X6" s="25">
        <f>SUBTOTAL(101,Table28['# of Females])</f>
        <v>1.6</v>
      </c>
    </row>
    <row r="7" spans="1:24" x14ac:dyDescent="0.2">
      <c r="A7">
        <v>2021</v>
      </c>
      <c r="B7">
        <v>11</v>
      </c>
      <c r="C7">
        <v>9</v>
      </c>
      <c r="D7" s="3">
        <f t="shared" si="0"/>
        <v>0.81818181818181823</v>
      </c>
      <c r="E7">
        <v>1</v>
      </c>
      <c r="G7">
        <v>38.96</v>
      </c>
      <c r="H7">
        <v>48.05</v>
      </c>
      <c r="I7">
        <v>68.66</v>
      </c>
      <c r="R7" s="25" t="s">
        <v>3</v>
      </c>
      <c r="S7" s="26"/>
      <c r="T7" s="27"/>
      <c r="U7" s="26"/>
      <c r="V7" s="27"/>
      <c r="W7" s="26"/>
      <c r="X7" s="25" t="e">
        <f>SUBTOTAL(101,Table28[Board Tenure])</f>
        <v>#DIV/0!</v>
      </c>
    </row>
    <row r="8" spans="1:24" x14ac:dyDescent="0.2">
      <c r="A8" t="s">
        <v>14</v>
      </c>
      <c r="B8">
        <f>SUBTOTAL(101,Table28[Board Size])</f>
        <v>11.6</v>
      </c>
      <c r="C8">
        <f>SUBTOTAL(101,Table28[Independent Members])</f>
        <v>9.4</v>
      </c>
      <c r="D8" s="5">
        <f>SUBTOTAL(101,Table28[Board Independence])</f>
        <v>0.81060606060606077</v>
      </c>
      <c r="E8">
        <f>SUBTOTAL(101,Table28['# of Females])</f>
        <v>1.6</v>
      </c>
      <c r="F8" t="e">
        <f>SUBTOTAL(101,Table28[Board Tenure])</f>
        <v>#DIV/0!</v>
      </c>
      <c r="G8">
        <f>AVERAGE(G3:G7)</f>
        <v>39.370000000000005</v>
      </c>
      <c r="H8">
        <f t="shared" ref="H8:I8" si="1">AVERAGE(H3:H7)</f>
        <v>47.763999999999996</v>
      </c>
      <c r="I8">
        <f t="shared" si="1"/>
        <v>72.597999999999999</v>
      </c>
      <c r="R8" s="25" t="s">
        <v>20</v>
      </c>
      <c r="S8" s="26">
        <v>41.61</v>
      </c>
      <c r="T8" s="27">
        <v>42.51</v>
      </c>
      <c r="U8" s="26">
        <v>38.369999999999997</v>
      </c>
      <c r="V8" s="27">
        <v>35.4</v>
      </c>
      <c r="W8" s="26">
        <v>38.96</v>
      </c>
      <c r="X8" s="25">
        <f>AVERAGE(S8:W8)</f>
        <v>39.370000000000005</v>
      </c>
    </row>
    <row r="9" spans="1:24" x14ac:dyDescent="0.2">
      <c r="R9" s="25" t="s">
        <v>26</v>
      </c>
      <c r="S9" s="26">
        <v>50.88</v>
      </c>
      <c r="T9" s="27">
        <v>49.84</v>
      </c>
      <c r="U9" s="26">
        <v>45.18</v>
      </c>
      <c r="V9" s="27">
        <v>44.87</v>
      </c>
      <c r="W9" s="26">
        <v>48.05</v>
      </c>
      <c r="X9" s="25">
        <f>AVERAGE(S9:W9)</f>
        <v>47.763999999999996</v>
      </c>
    </row>
    <row r="10" spans="1:24" x14ac:dyDescent="0.2">
      <c r="A10" s="23" t="s">
        <v>9</v>
      </c>
      <c r="B10" s="23"/>
      <c r="C10" s="23"/>
      <c r="D10" s="23"/>
      <c r="E10" s="23"/>
      <c r="F10" s="23"/>
      <c r="R10" s="25" t="s">
        <v>6</v>
      </c>
      <c r="S10" s="26">
        <v>77.17</v>
      </c>
      <c r="T10" s="27">
        <v>75.010000000000005</v>
      </c>
      <c r="U10" s="26">
        <v>72.12</v>
      </c>
      <c r="V10" s="27">
        <v>70.03</v>
      </c>
      <c r="W10" s="26">
        <v>68.66</v>
      </c>
      <c r="X10" s="25">
        <f>AVERAGE(S10:W10)</f>
        <v>72.597999999999999</v>
      </c>
    </row>
    <row r="11" spans="1:24" x14ac:dyDescent="0.2">
      <c r="A11" t="s">
        <v>0</v>
      </c>
      <c r="B11" t="s">
        <v>17</v>
      </c>
      <c r="C11" s="2" t="s">
        <v>15</v>
      </c>
      <c r="D11" t="s">
        <v>16</v>
      </c>
      <c r="E11" t="s">
        <v>19</v>
      </c>
      <c r="F11" t="s">
        <v>3</v>
      </c>
      <c r="G11" t="s">
        <v>20</v>
      </c>
      <c r="H11" t="s">
        <v>26</v>
      </c>
      <c r="I11" t="s">
        <v>6</v>
      </c>
    </row>
    <row r="12" spans="1:24" x14ac:dyDescent="0.2">
      <c r="A12">
        <v>2017</v>
      </c>
      <c r="B12">
        <v>12</v>
      </c>
      <c r="C12">
        <v>10</v>
      </c>
      <c r="D12" s="3">
        <f t="shared" ref="D12:D16" si="2">C12/B12</f>
        <v>0.83333333333333337</v>
      </c>
      <c r="E12">
        <v>1</v>
      </c>
      <c r="F12">
        <v>8.8000000000000007</v>
      </c>
      <c r="G12">
        <v>69.81</v>
      </c>
      <c r="H12">
        <v>88.67</v>
      </c>
      <c r="I12">
        <v>88.11</v>
      </c>
      <c r="R12" s="23" t="s">
        <v>44</v>
      </c>
      <c r="S12" s="23"/>
      <c r="T12" s="23"/>
      <c r="U12" s="23"/>
      <c r="V12" s="23"/>
      <c r="W12" s="23"/>
      <c r="X12" s="23"/>
    </row>
    <row r="13" spans="1:24" x14ac:dyDescent="0.2">
      <c r="A13">
        <v>2018</v>
      </c>
      <c r="B13">
        <v>12</v>
      </c>
      <c r="C13">
        <v>10</v>
      </c>
      <c r="D13" s="3">
        <f t="shared" si="2"/>
        <v>0.83333333333333337</v>
      </c>
      <c r="E13">
        <v>1</v>
      </c>
      <c r="F13">
        <v>9.5</v>
      </c>
      <c r="G13">
        <v>49.57</v>
      </c>
      <c r="H13">
        <v>77.209999999999994</v>
      </c>
      <c r="I13">
        <v>84.7</v>
      </c>
      <c r="R13" s="25" t="s">
        <v>0</v>
      </c>
      <c r="S13" s="26">
        <v>2017</v>
      </c>
      <c r="T13" s="27">
        <v>2018</v>
      </c>
      <c r="U13" s="26">
        <v>2019</v>
      </c>
      <c r="V13" s="27">
        <v>2020</v>
      </c>
      <c r="W13" s="26">
        <v>2021</v>
      </c>
      <c r="X13" s="25" t="s">
        <v>14</v>
      </c>
    </row>
    <row r="14" spans="1:24" x14ac:dyDescent="0.2">
      <c r="A14">
        <v>2019</v>
      </c>
      <c r="B14">
        <v>13</v>
      </c>
      <c r="C14">
        <v>11</v>
      </c>
      <c r="D14" s="3">
        <f t="shared" si="2"/>
        <v>0.84615384615384615</v>
      </c>
      <c r="E14">
        <v>3</v>
      </c>
      <c r="F14">
        <v>10.1</v>
      </c>
      <c r="G14">
        <v>63.76</v>
      </c>
      <c r="H14">
        <v>59.38</v>
      </c>
      <c r="I14">
        <v>78.459999999999994</v>
      </c>
      <c r="R14" s="25" t="s">
        <v>17</v>
      </c>
      <c r="S14" s="26">
        <v>12</v>
      </c>
      <c r="T14" s="27">
        <v>12</v>
      </c>
      <c r="U14" s="26">
        <v>13</v>
      </c>
      <c r="V14" s="27">
        <v>13</v>
      </c>
      <c r="W14" s="26">
        <v>14</v>
      </c>
      <c r="X14" s="25">
        <f>SUBTOTAL(101,Table249[Board Size])</f>
        <v>12.8</v>
      </c>
    </row>
    <row r="15" spans="1:24" x14ac:dyDescent="0.2">
      <c r="A15">
        <v>2020</v>
      </c>
      <c r="B15">
        <v>13</v>
      </c>
      <c r="C15">
        <v>11</v>
      </c>
      <c r="D15" s="3">
        <f t="shared" si="2"/>
        <v>0.84615384615384615</v>
      </c>
      <c r="E15">
        <v>3</v>
      </c>
      <c r="F15">
        <v>10.8</v>
      </c>
      <c r="G15">
        <v>64.489999999999995</v>
      </c>
      <c r="H15">
        <v>85.17</v>
      </c>
      <c r="I15">
        <v>83.67</v>
      </c>
      <c r="R15" s="2" t="s">
        <v>15</v>
      </c>
      <c r="S15" s="26">
        <v>10</v>
      </c>
      <c r="T15" s="27">
        <v>10</v>
      </c>
      <c r="U15" s="26">
        <v>11</v>
      </c>
      <c r="V15" s="27">
        <v>11</v>
      </c>
      <c r="W15" s="26">
        <v>12</v>
      </c>
      <c r="X15" s="25">
        <f>SUBTOTAL(101,Table249[Independent Members])</f>
        <v>10.8</v>
      </c>
    </row>
    <row r="16" spans="1:24" x14ac:dyDescent="0.2">
      <c r="A16">
        <v>2021</v>
      </c>
      <c r="B16">
        <v>14</v>
      </c>
      <c r="C16">
        <v>12</v>
      </c>
      <c r="D16" s="3">
        <f t="shared" si="2"/>
        <v>0.8571428571428571</v>
      </c>
      <c r="E16">
        <v>4</v>
      </c>
      <c r="F16">
        <v>11.5</v>
      </c>
      <c r="G16">
        <v>49.13</v>
      </c>
      <c r="H16">
        <v>96.97</v>
      </c>
      <c r="I16">
        <v>86.23</v>
      </c>
      <c r="R16" s="25" t="s">
        <v>16</v>
      </c>
      <c r="S16" s="35">
        <f>S15/S14</f>
        <v>0.83333333333333337</v>
      </c>
      <c r="T16" s="36">
        <f>T15/T14</f>
        <v>0.83333333333333337</v>
      </c>
      <c r="U16" s="35">
        <f>U15/U14</f>
        <v>0.84615384615384615</v>
      </c>
      <c r="V16" s="36">
        <f>V15/V14</f>
        <v>0.84615384615384615</v>
      </c>
      <c r="W16" s="35">
        <f>W15/W14</f>
        <v>0.8571428571428571</v>
      </c>
      <c r="X16" s="37">
        <f>SUBTOTAL(101,Table249[Board Independence])</f>
        <v>0.84322344322344323</v>
      </c>
    </row>
    <row r="17" spans="1:24" x14ac:dyDescent="0.2">
      <c r="A17" t="s">
        <v>14</v>
      </c>
      <c r="B17">
        <f>SUBTOTAL(101,Table249[Board Size])</f>
        <v>12.8</v>
      </c>
      <c r="C17">
        <f>SUBTOTAL(101,Table249[Independent Members])</f>
        <v>10.8</v>
      </c>
      <c r="D17" s="5">
        <f>SUBTOTAL(101,Table249[Board Independence])</f>
        <v>0.84322344322344323</v>
      </c>
      <c r="E17">
        <f>SUBTOTAL(101,Table249['# of Females])</f>
        <v>2.4</v>
      </c>
      <c r="F17">
        <f>SUBTOTAL(101,Table249[Board Tenure])</f>
        <v>10.14</v>
      </c>
      <c r="G17">
        <f>AVERAGE(G12:G16)</f>
        <v>59.351999999999997</v>
      </c>
      <c r="H17" s="1">
        <f t="shared" ref="H17" si="3">AVERAGE(H12:H16)</f>
        <v>81.47999999999999</v>
      </c>
      <c r="I17">
        <f t="shared" ref="I17" si="4">AVERAGE(I12:I16)</f>
        <v>84.234000000000009</v>
      </c>
      <c r="R17" s="25" t="s">
        <v>19</v>
      </c>
      <c r="S17" s="26">
        <v>1</v>
      </c>
      <c r="T17" s="27">
        <v>1</v>
      </c>
      <c r="U17" s="26">
        <v>3</v>
      </c>
      <c r="V17" s="27">
        <v>3</v>
      </c>
      <c r="W17" s="26">
        <v>4</v>
      </c>
      <c r="X17" s="25">
        <f>SUBTOTAL(101,Table249['# of Females])</f>
        <v>2.4</v>
      </c>
    </row>
    <row r="18" spans="1:24" x14ac:dyDescent="0.2">
      <c r="R18" s="25" t="s">
        <v>3</v>
      </c>
      <c r="S18" s="26">
        <v>8.8000000000000007</v>
      </c>
      <c r="T18" s="27">
        <v>9.5</v>
      </c>
      <c r="U18" s="26">
        <v>10.1</v>
      </c>
      <c r="V18" s="27">
        <v>10.8</v>
      </c>
      <c r="W18" s="26">
        <v>11.5</v>
      </c>
      <c r="X18" s="25">
        <f>SUBTOTAL(101,Table249[Board Tenure])</f>
        <v>10.14</v>
      </c>
    </row>
    <row r="19" spans="1:24" x14ac:dyDescent="0.2">
      <c r="A19" s="23" t="s">
        <v>10</v>
      </c>
      <c r="B19" s="23"/>
      <c r="C19" s="23"/>
      <c r="D19" s="23"/>
      <c r="E19" s="23"/>
      <c r="F19" s="23"/>
      <c r="R19" s="25" t="s">
        <v>20</v>
      </c>
      <c r="S19" s="26">
        <v>69.81</v>
      </c>
      <c r="T19" s="27">
        <v>49.57</v>
      </c>
      <c r="U19" s="26">
        <v>63.76</v>
      </c>
      <c r="V19" s="27">
        <v>64.489999999999995</v>
      </c>
      <c r="W19" s="26">
        <v>49.13</v>
      </c>
      <c r="X19" s="25">
        <f>AVERAGE(S19:W19)</f>
        <v>59.351999999999997</v>
      </c>
    </row>
    <row r="20" spans="1:24" x14ac:dyDescent="0.2">
      <c r="A20" t="s">
        <v>0</v>
      </c>
      <c r="B20" t="s">
        <v>17</v>
      </c>
      <c r="C20" s="2" t="s">
        <v>15</v>
      </c>
      <c r="D20" t="s">
        <v>16</v>
      </c>
      <c r="E20" t="s">
        <v>19</v>
      </c>
      <c r="F20" t="s">
        <v>3</v>
      </c>
      <c r="G20" t="s">
        <v>20</v>
      </c>
      <c r="H20" t="s">
        <v>26</v>
      </c>
      <c r="I20" t="s">
        <v>6</v>
      </c>
      <c r="R20" s="25" t="s">
        <v>26</v>
      </c>
      <c r="S20" s="26">
        <v>88.67</v>
      </c>
      <c r="T20" s="27">
        <v>77.209999999999994</v>
      </c>
      <c r="U20" s="26">
        <v>59.38</v>
      </c>
      <c r="V20" s="27">
        <v>85.17</v>
      </c>
      <c r="W20" s="26">
        <v>96.97</v>
      </c>
      <c r="X20" s="39">
        <f>AVERAGE(S20:W20)</f>
        <v>81.47999999999999</v>
      </c>
    </row>
    <row r="21" spans="1:24" x14ac:dyDescent="0.2">
      <c r="A21">
        <v>2017</v>
      </c>
      <c r="B21">
        <v>11</v>
      </c>
      <c r="C21">
        <v>6</v>
      </c>
      <c r="D21" s="3">
        <f t="shared" ref="D21:D25" si="5">C21/B21</f>
        <v>0.54545454545454541</v>
      </c>
      <c r="E21">
        <v>1</v>
      </c>
      <c r="G21">
        <v>60.16</v>
      </c>
      <c r="H21">
        <v>71.7</v>
      </c>
      <c r="I21">
        <v>60.16</v>
      </c>
      <c r="R21" s="25" t="s">
        <v>6</v>
      </c>
      <c r="S21" s="26">
        <v>88.11</v>
      </c>
      <c r="T21" s="27">
        <v>84.7</v>
      </c>
      <c r="U21" s="26">
        <v>78.459999999999994</v>
      </c>
      <c r="V21" s="27">
        <v>83.67</v>
      </c>
      <c r="W21" s="26">
        <v>86.23</v>
      </c>
      <c r="X21" s="25">
        <f>AVERAGE(S21:W21)</f>
        <v>84.234000000000009</v>
      </c>
    </row>
    <row r="22" spans="1:24" x14ac:dyDescent="0.2">
      <c r="A22">
        <v>2018</v>
      </c>
      <c r="B22">
        <v>11</v>
      </c>
      <c r="C22">
        <v>7</v>
      </c>
      <c r="D22" s="3">
        <f t="shared" si="5"/>
        <v>0.63636363636363635</v>
      </c>
      <c r="E22">
        <v>2</v>
      </c>
      <c r="G22">
        <v>62.7</v>
      </c>
      <c r="H22">
        <v>73.42</v>
      </c>
      <c r="I22">
        <v>62.7</v>
      </c>
    </row>
    <row r="23" spans="1:24" x14ac:dyDescent="0.2">
      <c r="A23">
        <v>2019</v>
      </c>
      <c r="B23">
        <v>11</v>
      </c>
      <c r="C23">
        <v>8</v>
      </c>
      <c r="D23" s="3">
        <f t="shared" si="5"/>
        <v>0.72727272727272729</v>
      </c>
      <c r="E23">
        <v>2</v>
      </c>
      <c r="G23">
        <v>67.650000000000006</v>
      </c>
      <c r="H23">
        <v>61.7</v>
      </c>
      <c r="I23">
        <v>67.650000000000006</v>
      </c>
      <c r="R23" s="23" t="s">
        <v>10</v>
      </c>
      <c r="S23" s="23"/>
      <c r="T23" s="23"/>
      <c r="U23" s="23"/>
      <c r="V23" s="23"/>
      <c r="W23" s="23"/>
      <c r="X23" s="23"/>
    </row>
    <row r="24" spans="1:24" x14ac:dyDescent="0.2">
      <c r="A24">
        <v>2020</v>
      </c>
      <c r="B24">
        <v>11</v>
      </c>
      <c r="C24">
        <v>8</v>
      </c>
      <c r="D24" s="3">
        <f t="shared" si="5"/>
        <v>0.72727272727272729</v>
      </c>
      <c r="E24">
        <v>2</v>
      </c>
      <c r="G24">
        <v>53.57</v>
      </c>
      <c r="H24">
        <v>50.83</v>
      </c>
      <c r="I24">
        <v>69.63</v>
      </c>
      <c r="R24" s="25" t="s">
        <v>0</v>
      </c>
      <c r="S24" s="26">
        <v>2017</v>
      </c>
      <c r="T24" s="27">
        <v>2018</v>
      </c>
      <c r="U24" s="26">
        <v>2019</v>
      </c>
      <c r="V24" s="27">
        <v>2020</v>
      </c>
      <c r="W24" s="26">
        <v>2021</v>
      </c>
      <c r="X24" s="25" t="s">
        <v>14</v>
      </c>
    </row>
    <row r="25" spans="1:24" x14ac:dyDescent="0.2">
      <c r="A25">
        <v>2021</v>
      </c>
      <c r="B25">
        <v>11</v>
      </c>
      <c r="C25">
        <v>9</v>
      </c>
      <c r="D25" s="3">
        <f t="shared" si="5"/>
        <v>0.81818181818181823</v>
      </c>
      <c r="E25">
        <v>1</v>
      </c>
      <c r="G25">
        <v>56.31</v>
      </c>
      <c r="H25">
        <v>81.69</v>
      </c>
      <c r="I25">
        <v>79.28</v>
      </c>
      <c r="R25" s="25" t="s">
        <v>17</v>
      </c>
      <c r="S25" s="26">
        <v>11</v>
      </c>
      <c r="T25" s="27">
        <v>11</v>
      </c>
      <c r="U25" s="26">
        <v>11</v>
      </c>
      <c r="V25" s="27">
        <v>11</v>
      </c>
      <c r="W25" s="26">
        <v>11</v>
      </c>
      <c r="X25" s="25">
        <f>AVERAGE(S25:W25)</f>
        <v>11</v>
      </c>
    </row>
    <row r="26" spans="1:24" x14ac:dyDescent="0.2">
      <c r="A26" t="s">
        <v>14</v>
      </c>
      <c r="B26">
        <f>AVERAGE(B21:B25)</f>
        <v>11</v>
      </c>
      <c r="C26">
        <f t="shared" ref="C26:F26" si="6">AVERAGE(C21:C25)</f>
        <v>7.6</v>
      </c>
      <c r="D26" s="3">
        <f t="shared" si="6"/>
        <v>0.69090909090909092</v>
      </c>
      <c r="E26">
        <f t="shared" si="6"/>
        <v>1.6</v>
      </c>
      <c r="F26" t="e">
        <f t="shared" si="6"/>
        <v>#DIV/0!</v>
      </c>
      <c r="G26">
        <f>AVERAGE(G21:G25)</f>
        <v>60.077999999999996</v>
      </c>
      <c r="H26" s="1">
        <f t="shared" ref="H26" si="7">AVERAGE(H21:H25)</f>
        <v>67.867999999999995</v>
      </c>
      <c r="I26">
        <f t="shared" ref="I26" si="8">AVERAGE(I21:I25)</f>
        <v>67.883999999999986</v>
      </c>
      <c r="R26" s="2" t="s">
        <v>15</v>
      </c>
      <c r="S26" s="26">
        <v>6</v>
      </c>
      <c r="T26" s="27">
        <v>7</v>
      </c>
      <c r="U26" s="26">
        <v>8</v>
      </c>
      <c r="V26" s="27">
        <v>8</v>
      </c>
      <c r="W26" s="26">
        <v>9</v>
      </c>
      <c r="X26" s="25">
        <f>AVERAGE(S26:W26)</f>
        <v>7.6</v>
      </c>
    </row>
    <row r="27" spans="1:24" x14ac:dyDescent="0.2">
      <c r="D27" s="3"/>
      <c r="R27" s="25" t="s">
        <v>16</v>
      </c>
      <c r="S27" s="35">
        <f>S26/S25</f>
        <v>0.54545454545454541</v>
      </c>
      <c r="T27" s="36">
        <f>T26/T25</f>
        <v>0.63636363636363635</v>
      </c>
      <c r="U27" s="35">
        <f>U26/U25</f>
        <v>0.72727272727272729</v>
      </c>
      <c r="V27" s="36">
        <f>V26/V25</f>
        <v>0.72727272727272729</v>
      </c>
      <c r="W27" s="35">
        <f>W26/W25</f>
        <v>0.81818181818181823</v>
      </c>
      <c r="X27" s="40">
        <f>AVERAGE(S27:W27)</f>
        <v>0.69090909090909092</v>
      </c>
    </row>
    <row r="28" spans="1:24" x14ac:dyDescent="0.2">
      <c r="A28" s="23" t="s">
        <v>11</v>
      </c>
      <c r="B28" s="23"/>
      <c r="C28" s="23"/>
      <c r="D28" s="23"/>
      <c r="E28" s="23"/>
      <c r="F28" s="23"/>
      <c r="R28" s="25" t="s">
        <v>19</v>
      </c>
      <c r="S28" s="26">
        <v>1</v>
      </c>
      <c r="T28" s="27">
        <v>2</v>
      </c>
      <c r="U28" s="26">
        <v>2</v>
      </c>
      <c r="V28" s="27">
        <v>2</v>
      </c>
      <c r="W28" s="26">
        <v>1</v>
      </c>
      <c r="X28" s="25">
        <f>AVERAGE(S28:W28)</f>
        <v>1.6</v>
      </c>
    </row>
    <row r="29" spans="1:24" x14ac:dyDescent="0.2">
      <c r="A29" t="s">
        <v>0</v>
      </c>
      <c r="B29" t="s">
        <v>17</v>
      </c>
      <c r="C29" s="2" t="s">
        <v>15</v>
      </c>
      <c r="D29" t="s">
        <v>16</v>
      </c>
      <c r="E29" t="s">
        <v>19</v>
      </c>
      <c r="F29" t="s">
        <v>3</v>
      </c>
      <c r="G29" t="s">
        <v>20</v>
      </c>
      <c r="H29" t="s">
        <v>26</v>
      </c>
      <c r="I29" t="s">
        <v>6</v>
      </c>
      <c r="R29" s="25" t="s">
        <v>3</v>
      </c>
      <c r="S29" s="26"/>
      <c r="T29" s="27"/>
      <c r="U29" s="26"/>
      <c r="V29" s="27"/>
      <c r="W29" s="26"/>
      <c r="X29" s="25" t="e">
        <f>AVERAGE(S29:W29)</f>
        <v>#DIV/0!</v>
      </c>
    </row>
    <row r="30" spans="1:24" x14ac:dyDescent="0.2">
      <c r="A30">
        <v>2017</v>
      </c>
      <c r="B30">
        <v>11</v>
      </c>
      <c r="C30">
        <v>9</v>
      </c>
      <c r="D30" s="3">
        <f t="shared" ref="D30:D34" si="9">C30/B30</f>
        <v>0.81818181818181823</v>
      </c>
      <c r="E30">
        <v>1</v>
      </c>
      <c r="G30">
        <v>53.06</v>
      </c>
      <c r="H30">
        <v>84.23</v>
      </c>
      <c r="I30">
        <v>53.06</v>
      </c>
      <c r="R30" s="25" t="s">
        <v>20</v>
      </c>
      <c r="S30" s="26">
        <v>60.16</v>
      </c>
      <c r="T30" s="27">
        <v>62.7</v>
      </c>
      <c r="U30" s="26">
        <v>67.650000000000006</v>
      </c>
      <c r="V30" s="27">
        <v>53.57</v>
      </c>
      <c r="W30" s="26">
        <v>56.31</v>
      </c>
      <c r="X30" s="25">
        <f>AVERAGE(S30:W30)</f>
        <v>60.077999999999996</v>
      </c>
    </row>
    <row r="31" spans="1:24" x14ac:dyDescent="0.2">
      <c r="A31">
        <v>2018</v>
      </c>
      <c r="B31">
        <v>11</v>
      </c>
      <c r="C31">
        <v>9</v>
      </c>
      <c r="D31" s="3">
        <f>C31/B31</f>
        <v>0.81818181818181823</v>
      </c>
      <c r="E31">
        <v>1</v>
      </c>
      <c r="G31">
        <v>52.72</v>
      </c>
      <c r="H31">
        <v>83.81</v>
      </c>
      <c r="I31">
        <v>52.72</v>
      </c>
      <c r="R31" s="25" t="s">
        <v>26</v>
      </c>
      <c r="S31" s="26">
        <v>71.7</v>
      </c>
      <c r="T31" s="27">
        <v>73.42</v>
      </c>
      <c r="U31" s="26">
        <v>61.7</v>
      </c>
      <c r="V31" s="27">
        <v>50.83</v>
      </c>
      <c r="W31" s="26">
        <v>81.69</v>
      </c>
      <c r="X31" s="39">
        <f>AVERAGE(S31:W31)</f>
        <v>67.867999999999995</v>
      </c>
    </row>
    <row r="32" spans="1:24" x14ac:dyDescent="0.2">
      <c r="A32">
        <v>2019</v>
      </c>
      <c r="B32">
        <v>11</v>
      </c>
      <c r="C32">
        <v>9</v>
      </c>
      <c r="D32" s="3">
        <f t="shared" si="9"/>
        <v>0.81818181818181823</v>
      </c>
      <c r="E32">
        <v>1</v>
      </c>
      <c r="G32">
        <v>52.83</v>
      </c>
      <c r="H32">
        <v>85.49</v>
      </c>
      <c r="I32">
        <v>52.83</v>
      </c>
      <c r="R32" s="25" t="s">
        <v>6</v>
      </c>
      <c r="S32" s="26">
        <v>60.16</v>
      </c>
      <c r="T32" s="27">
        <v>62.7</v>
      </c>
      <c r="U32" s="26">
        <v>67.650000000000006</v>
      </c>
      <c r="V32" s="27">
        <v>69.63</v>
      </c>
      <c r="W32" s="26">
        <v>79.28</v>
      </c>
      <c r="X32" s="25">
        <f>AVERAGE(S32:W32)</f>
        <v>67.883999999999986</v>
      </c>
    </row>
    <row r="33" spans="1:24" x14ac:dyDescent="0.2">
      <c r="A33">
        <v>2020</v>
      </c>
      <c r="B33">
        <v>11</v>
      </c>
      <c r="C33">
        <v>9</v>
      </c>
      <c r="D33" s="3">
        <f t="shared" si="9"/>
        <v>0.81818181818181823</v>
      </c>
      <c r="E33">
        <v>2</v>
      </c>
      <c r="G33">
        <v>48.04</v>
      </c>
      <c r="H33">
        <v>79.67</v>
      </c>
      <c r="I33">
        <v>68.739999999999995</v>
      </c>
    </row>
    <row r="34" spans="1:24" x14ac:dyDescent="0.2">
      <c r="A34">
        <v>2021</v>
      </c>
      <c r="B34">
        <v>11</v>
      </c>
      <c r="C34">
        <v>9</v>
      </c>
      <c r="D34" s="3">
        <f t="shared" si="9"/>
        <v>0.81818181818181823</v>
      </c>
      <c r="E34">
        <v>2</v>
      </c>
      <c r="G34">
        <v>58.53</v>
      </c>
      <c r="H34">
        <v>77.930000000000007</v>
      </c>
      <c r="I34">
        <v>68.91</v>
      </c>
      <c r="R34" s="23" t="s">
        <v>11</v>
      </c>
      <c r="S34" s="23"/>
      <c r="T34" s="23"/>
      <c r="U34" s="23"/>
      <c r="V34" s="23"/>
      <c r="W34" s="23"/>
      <c r="X34" s="23"/>
    </row>
    <row r="35" spans="1:24" x14ac:dyDescent="0.2">
      <c r="A35" t="s">
        <v>14</v>
      </c>
      <c r="B35">
        <f t="shared" ref="B35:F35" si="10">AVERAGE(B30:B34)</f>
        <v>11</v>
      </c>
      <c r="C35">
        <f t="shared" si="10"/>
        <v>9</v>
      </c>
      <c r="D35" s="3">
        <f t="shared" si="10"/>
        <v>0.81818181818181812</v>
      </c>
      <c r="E35">
        <f t="shared" si="10"/>
        <v>1.4</v>
      </c>
      <c r="F35" t="e">
        <f t="shared" si="10"/>
        <v>#DIV/0!</v>
      </c>
      <c r="G35">
        <f>AVERAGE(G30:G34)</f>
        <v>53.036000000000001</v>
      </c>
      <c r="H35" s="1">
        <f t="shared" ref="H35" si="11">AVERAGE(H30:H34)</f>
        <v>82.226000000000013</v>
      </c>
      <c r="I35">
        <f t="shared" ref="I35" si="12">AVERAGE(I30:I34)</f>
        <v>59.251999999999995</v>
      </c>
      <c r="R35" s="25" t="s">
        <v>0</v>
      </c>
      <c r="S35" s="26">
        <v>2017</v>
      </c>
      <c r="T35" s="27">
        <v>2018</v>
      </c>
      <c r="U35" s="26">
        <v>2019</v>
      </c>
      <c r="V35" s="27">
        <v>2020</v>
      </c>
      <c r="W35" s="26">
        <v>2021</v>
      </c>
      <c r="X35" s="25" t="s">
        <v>14</v>
      </c>
    </row>
    <row r="36" spans="1:24" x14ac:dyDescent="0.2">
      <c r="R36" s="25" t="s">
        <v>17</v>
      </c>
      <c r="S36" s="26">
        <v>11</v>
      </c>
      <c r="T36" s="27">
        <v>11</v>
      </c>
      <c r="U36" s="26">
        <v>11</v>
      </c>
      <c r="V36" s="27">
        <v>11</v>
      </c>
      <c r="W36" s="26">
        <v>11</v>
      </c>
      <c r="X36" s="25">
        <f>AVERAGE(S36:W36)</f>
        <v>11</v>
      </c>
    </row>
    <row r="37" spans="1:24" x14ac:dyDescent="0.2">
      <c r="A37" s="23" t="s">
        <v>12</v>
      </c>
      <c r="B37" s="23"/>
      <c r="C37" s="23"/>
      <c r="D37" s="23"/>
      <c r="E37" s="23"/>
      <c r="F37" s="23"/>
      <c r="R37" s="2" t="s">
        <v>15</v>
      </c>
      <c r="S37" s="26">
        <v>9</v>
      </c>
      <c r="T37" s="27">
        <v>9</v>
      </c>
      <c r="U37" s="26">
        <v>9</v>
      </c>
      <c r="V37" s="27">
        <v>9</v>
      </c>
      <c r="W37" s="26">
        <v>9</v>
      </c>
      <c r="X37" s="25">
        <f>AVERAGE(S37:W37)</f>
        <v>9</v>
      </c>
    </row>
    <row r="38" spans="1:24" x14ac:dyDescent="0.2">
      <c r="A38" t="s">
        <v>0</v>
      </c>
      <c r="B38" t="s">
        <v>17</v>
      </c>
      <c r="C38" s="2" t="s">
        <v>15</v>
      </c>
      <c r="D38" t="s">
        <v>16</v>
      </c>
      <c r="E38" t="s">
        <v>19</v>
      </c>
      <c r="F38" t="s">
        <v>3</v>
      </c>
      <c r="G38" t="s">
        <v>20</v>
      </c>
      <c r="H38" t="s">
        <v>26</v>
      </c>
      <c r="I38" t="s">
        <v>6</v>
      </c>
      <c r="R38" s="25" t="s">
        <v>16</v>
      </c>
      <c r="S38" s="35">
        <f>S37/S36</f>
        <v>0.81818181818181823</v>
      </c>
      <c r="T38" s="36">
        <f>T37/T36</f>
        <v>0.81818181818181823</v>
      </c>
      <c r="U38" s="35">
        <f>U37/U36</f>
        <v>0.81818181818181823</v>
      </c>
      <c r="V38" s="36">
        <f>V37/V36</f>
        <v>0.81818181818181823</v>
      </c>
      <c r="W38" s="35">
        <f>W37/W36</f>
        <v>0.81818181818181823</v>
      </c>
      <c r="X38" s="40">
        <f>AVERAGE(S38:W38)</f>
        <v>0.81818181818181812</v>
      </c>
    </row>
    <row r="39" spans="1:24" x14ac:dyDescent="0.2">
      <c r="A39">
        <v>2017</v>
      </c>
      <c r="B39">
        <v>12</v>
      </c>
      <c r="C39">
        <v>11</v>
      </c>
      <c r="D39" s="3">
        <f t="shared" ref="D39:D43" si="13">C39/B39</f>
        <v>0.91666666666666663</v>
      </c>
      <c r="E39">
        <v>3</v>
      </c>
      <c r="G39">
        <v>87.47</v>
      </c>
      <c r="H39">
        <v>78.650000000000006</v>
      </c>
      <c r="I39">
        <v>87.47</v>
      </c>
      <c r="R39" s="25" t="s">
        <v>19</v>
      </c>
      <c r="S39" s="26">
        <v>1</v>
      </c>
      <c r="T39" s="27">
        <v>1</v>
      </c>
      <c r="U39" s="26">
        <v>1</v>
      </c>
      <c r="V39" s="27">
        <v>2</v>
      </c>
      <c r="W39" s="26">
        <v>2</v>
      </c>
      <c r="X39" s="25">
        <f>AVERAGE(S39:W39)</f>
        <v>1.4</v>
      </c>
    </row>
    <row r="40" spans="1:24" x14ac:dyDescent="0.2">
      <c r="A40">
        <v>2018</v>
      </c>
      <c r="B40">
        <v>12</v>
      </c>
      <c r="C40">
        <v>10</v>
      </c>
      <c r="D40" s="3">
        <f t="shared" si="13"/>
        <v>0.83333333333333337</v>
      </c>
      <c r="E40">
        <v>3</v>
      </c>
      <c r="G40">
        <v>56.36</v>
      </c>
      <c r="H40">
        <v>94.19</v>
      </c>
      <c r="I40">
        <v>90.49</v>
      </c>
      <c r="R40" s="25" t="s">
        <v>3</v>
      </c>
      <c r="S40" s="26"/>
      <c r="T40" s="27"/>
      <c r="U40" s="26"/>
      <c r="V40" s="27"/>
      <c r="W40" s="26"/>
      <c r="X40" s="25" t="e">
        <f>AVERAGE(S40:W40)</f>
        <v>#DIV/0!</v>
      </c>
    </row>
    <row r="41" spans="1:24" x14ac:dyDescent="0.2">
      <c r="A41">
        <v>2019</v>
      </c>
      <c r="B41">
        <v>12</v>
      </c>
      <c r="C41">
        <v>10</v>
      </c>
      <c r="D41" s="3">
        <f t="shared" si="13"/>
        <v>0.83333333333333337</v>
      </c>
      <c r="E41">
        <v>3</v>
      </c>
      <c r="G41">
        <v>61.43</v>
      </c>
      <c r="H41">
        <v>92.53</v>
      </c>
      <c r="I41">
        <v>87.68</v>
      </c>
      <c r="R41" s="25" t="s">
        <v>20</v>
      </c>
      <c r="S41" s="26">
        <v>53.06</v>
      </c>
      <c r="T41" s="27">
        <v>52.72</v>
      </c>
      <c r="U41" s="26">
        <v>52.83</v>
      </c>
      <c r="V41" s="27">
        <v>48.04</v>
      </c>
      <c r="W41" s="26">
        <v>58.53</v>
      </c>
      <c r="X41" s="25">
        <f>AVERAGE(S41:W41)</f>
        <v>53.036000000000001</v>
      </c>
    </row>
    <row r="42" spans="1:24" x14ac:dyDescent="0.2">
      <c r="A42">
        <v>2020</v>
      </c>
      <c r="B42">
        <v>12</v>
      </c>
      <c r="C42">
        <v>10</v>
      </c>
      <c r="D42" s="3">
        <f t="shared" si="13"/>
        <v>0.83333333333333337</v>
      </c>
      <c r="E42">
        <v>2</v>
      </c>
      <c r="G42">
        <v>45.33</v>
      </c>
      <c r="H42">
        <v>92.36</v>
      </c>
      <c r="I42">
        <v>86.76</v>
      </c>
      <c r="R42" s="25" t="s">
        <v>26</v>
      </c>
      <c r="S42" s="26">
        <v>84.23</v>
      </c>
      <c r="T42" s="27">
        <v>83.81</v>
      </c>
      <c r="U42" s="26">
        <v>85.49</v>
      </c>
      <c r="V42" s="27">
        <v>79.67</v>
      </c>
      <c r="W42" s="26">
        <v>77.930000000000007</v>
      </c>
      <c r="X42" s="39">
        <f>AVERAGE(S42:W42)</f>
        <v>82.226000000000013</v>
      </c>
    </row>
    <row r="43" spans="1:24" x14ac:dyDescent="0.2">
      <c r="A43">
        <v>2021</v>
      </c>
      <c r="B43">
        <v>12</v>
      </c>
      <c r="C43">
        <v>10</v>
      </c>
      <c r="D43" s="3">
        <f t="shared" si="13"/>
        <v>0.83333333333333337</v>
      </c>
      <c r="E43">
        <v>2</v>
      </c>
      <c r="G43">
        <v>49.63</v>
      </c>
      <c r="H43">
        <v>93.57</v>
      </c>
      <c r="I43">
        <v>90</v>
      </c>
      <c r="R43" s="25" t="s">
        <v>6</v>
      </c>
      <c r="S43" s="26">
        <v>53.06</v>
      </c>
      <c r="T43" s="27">
        <v>52.72</v>
      </c>
      <c r="U43" s="26">
        <v>52.83</v>
      </c>
      <c r="V43" s="27">
        <v>68.739999999999995</v>
      </c>
      <c r="W43" s="26">
        <v>68.91</v>
      </c>
      <c r="X43" s="25">
        <f>AVERAGE(S43:W43)</f>
        <v>59.251999999999995</v>
      </c>
    </row>
    <row r="44" spans="1:24" x14ac:dyDescent="0.2">
      <c r="A44" t="s">
        <v>14</v>
      </c>
      <c r="B44">
        <f>SUBTOTAL(101,Table2712[Board Size])</f>
        <v>12</v>
      </c>
      <c r="C44">
        <f>SUBTOTAL(101,Table2712[Independent Members])</f>
        <v>10.199999999999999</v>
      </c>
      <c r="D44" s="5">
        <f>SUBTOTAL(101,Table2712[Board Independence])</f>
        <v>0.85</v>
      </c>
      <c r="E44">
        <f>SUBTOTAL(101,Table2712['# of Females])</f>
        <v>2.6</v>
      </c>
      <c r="F44" t="e">
        <f>SUBTOTAL(101,Table2712[Board Tenure])</f>
        <v>#DIV/0!</v>
      </c>
      <c r="G44">
        <f>AVERAGE(G39:G43)</f>
        <v>60.043999999999997</v>
      </c>
      <c r="H44" s="1">
        <f t="shared" ref="H44" si="14">AVERAGE(H39:H43)</f>
        <v>90.26</v>
      </c>
      <c r="I44">
        <f t="shared" ref="I44" si="15">AVERAGE(I39:I43)</f>
        <v>88.47999999999999</v>
      </c>
    </row>
    <row r="45" spans="1:24" x14ac:dyDescent="0.2">
      <c r="R45" s="23" t="s">
        <v>45</v>
      </c>
      <c r="S45" s="23"/>
      <c r="T45" s="23"/>
      <c r="U45" s="23"/>
      <c r="V45" s="23"/>
      <c r="W45" s="23"/>
      <c r="X45" s="23"/>
    </row>
    <row r="46" spans="1:24" x14ac:dyDescent="0.2">
      <c r="R46" s="25" t="s">
        <v>0</v>
      </c>
      <c r="S46" s="26">
        <v>2017</v>
      </c>
      <c r="T46" s="27">
        <v>2018</v>
      </c>
      <c r="U46" s="26">
        <v>2019</v>
      </c>
      <c r="V46" s="27">
        <v>2020</v>
      </c>
      <c r="W46" s="26">
        <v>2021</v>
      </c>
      <c r="X46" s="25" t="s">
        <v>14</v>
      </c>
    </row>
    <row r="47" spans="1:24" x14ac:dyDescent="0.2">
      <c r="R47" s="25" t="s">
        <v>17</v>
      </c>
      <c r="S47" s="26">
        <v>12</v>
      </c>
      <c r="T47" s="27">
        <v>12</v>
      </c>
      <c r="U47" s="26">
        <v>12</v>
      </c>
      <c r="V47" s="27">
        <v>12</v>
      </c>
      <c r="W47" s="26">
        <v>12</v>
      </c>
      <c r="X47" s="25">
        <f>SUBTOTAL(101,Table2712[Board Size])</f>
        <v>12</v>
      </c>
    </row>
    <row r="48" spans="1:24" x14ac:dyDescent="0.2">
      <c r="R48" s="2" t="s">
        <v>15</v>
      </c>
      <c r="S48" s="26">
        <v>11</v>
      </c>
      <c r="T48" s="27">
        <v>10</v>
      </c>
      <c r="U48" s="26">
        <v>10</v>
      </c>
      <c r="V48" s="27">
        <v>10</v>
      </c>
      <c r="W48" s="26">
        <v>10</v>
      </c>
      <c r="X48" s="25">
        <f>SUBTOTAL(101,Table2712[Independent Members])</f>
        <v>10.199999999999999</v>
      </c>
    </row>
    <row r="49" spans="18:24" x14ac:dyDescent="0.2">
      <c r="R49" s="25" t="s">
        <v>16</v>
      </c>
      <c r="S49" s="35">
        <f>S48/S47</f>
        <v>0.91666666666666663</v>
      </c>
      <c r="T49" s="36">
        <f>T48/T47</f>
        <v>0.83333333333333337</v>
      </c>
      <c r="U49" s="35">
        <f>U48/U47</f>
        <v>0.83333333333333337</v>
      </c>
      <c r="V49" s="36">
        <f>V48/V47</f>
        <v>0.83333333333333337</v>
      </c>
      <c r="W49" s="35">
        <f>W48/W47</f>
        <v>0.83333333333333337</v>
      </c>
      <c r="X49" s="37">
        <f>SUBTOTAL(101,Table2712[Board Independence])</f>
        <v>0.85</v>
      </c>
    </row>
    <row r="50" spans="18:24" x14ac:dyDescent="0.2">
      <c r="R50" s="25" t="s">
        <v>19</v>
      </c>
      <c r="S50" s="26">
        <v>3</v>
      </c>
      <c r="T50" s="27">
        <v>3</v>
      </c>
      <c r="U50" s="26">
        <v>3</v>
      </c>
      <c r="V50" s="27">
        <v>2</v>
      </c>
      <c r="W50" s="26">
        <v>2</v>
      </c>
      <c r="X50" s="25">
        <f>SUBTOTAL(101,Table2712['# of Females])</f>
        <v>2.6</v>
      </c>
    </row>
    <row r="51" spans="18:24" x14ac:dyDescent="0.2">
      <c r="R51" s="25" t="s">
        <v>3</v>
      </c>
      <c r="S51" s="26"/>
      <c r="T51" s="27"/>
      <c r="U51" s="26"/>
      <c r="V51" s="27"/>
      <c r="W51" s="26"/>
      <c r="X51" s="25" t="e">
        <f>SUBTOTAL(101,Table2712[Board Tenure])</f>
        <v>#DIV/0!</v>
      </c>
    </row>
    <row r="52" spans="18:24" x14ac:dyDescent="0.2">
      <c r="R52" s="25" t="s">
        <v>20</v>
      </c>
      <c r="S52" s="26">
        <v>87.47</v>
      </c>
      <c r="T52" s="27">
        <v>56.36</v>
      </c>
      <c r="U52" s="26">
        <v>61.43</v>
      </c>
      <c r="V52" s="27">
        <v>45.33</v>
      </c>
      <c r="W52" s="26">
        <v>49.63</v>
      </c>
      <c r="X52" s="25">
        <f>AVERAGE(S52:W52)</f>
        <v>60.043999999999997</v>
      </c>
    </row>
    <row r="53" spans="18:24" x14ac:dyDescent="0.2">
      <c r="R53" s="25" t="s">
        <v>26</v>
      </c>
      <c r="S53" s="26">
        <v>78.650000000000006</v>
      </c>
      <c r="T53" s="27">
        <v>94.19</v>
      </c>
      <c r="U53" s="26">
        <v>92.53</v>
      </c>
      <c r="V53" s="27">
        <v>92.36</v>
      </c>
      <c r="W53" s="26">
        <v>93.57</v>
      </c>
      <c r="X53" s="39">
        <f>AVERAGE(S53:W53)</f>
        <v>90.26</v>
      </c>
    </row>
    <row r="54" spans="18:24" x14ac:dyDescent="0.2">
      <c r="R54" s="25" t="s">
        <v>6</v>
      </c>
      <c r="S54" s="26">
        <v>87.47</v>
      </c>
      <c r="T54" s="27">
        <v>90.49</v>
      </c>
      <c r="U54" s="26">
        <v>87.68</v>
      </c>
      <c r="V54" s="27">
        <v>86.76</v>
      </c>
      <c r="W54" s="26">
        <v>90</v>
      </c>
      <c r="X54" s="25">
        <f>AVERAGE(S54:W54)</f>
        <v>88.47999999999999</v>
      </c>
    </row>
  </sheetData>
  <mergeCells count="10">
    <mergeCell ref="R1:X1"/>
    <mergeCell ref="R12:X12"/>
    <mergeCell ref="R23:X23"/>
    <mergeCell ref="R34:X34"/>
    <mergeCell ref="R45:X45"/>
    <mergeCell ref="A1:F1"/>
    <mergeCell ref="A10:F10"/>
    <mergeCell ref="A19:F19"/>
    <mergeCell ref="A28:F28"/>
    <mergeCell ref="A37:F37"/>
  </mergeCells>
  <phoneticPr fontId="4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6219-351D-485A-BD08-6B78500DF8E4}">
  <dimension ref="A1:J23"/>
  <sheetViews>
    <sheetView tabSelected="1" workbookViewId="0">
      <selection activeCell="I29" sqref="I29"/>
    </sheetView>
  </sheetViews>
  <sheetFormatPr baseColWidth="10" defaultRowHeight="16" x14ac:dyDescent="0.2"/>
  <cols>
    <col min="1" max="1" width="20.33203125" bestFit="1" customWidth="1"/>
    <col min="2" max="2" width="9" bestFit="1" customWidth="1"/>
    <col min="3" max="3" width="10" bestFit="1" customWidth="1"/>
    <col min="4" max="4" width="11.1640625" bestFit="1" customWidth="1"/>
    <col min="5" max="5" width="13.33203125" customWidth="1"/>
    <col min="6" max="9" width="9" bestFit="1" customWidth="1"/>
  </cols>
  <sheetData>
    <row r="1" spans="1:10" ht="19" x14ac:dyDescent="0.25">
      <c r="A1" s="24" t="s">
        <v>21</v>
      </c>
      <c r="B1" s="24"/>
      <c r="C1" s="24"/>
      <c r="D1" s="24"/>
      <c r="E1" s="6"/>
      <c r="F1" s="6"/>
      <c r="G1" s="6"/>
      <c r="H1" s="6"/>
      <c r="I1" s="6"/>
      <c r="J1" s="6"/>
    </row>
    <row r="2" spans="1:10" x14ac:dyDescent="0.2">
      <c r="A2" s="19" t="s">
        <v>22</v>
      </c>
      <c r="B2" s="20" t="s">
        <v>23</v>
      </c>
      <c r="C2" s="21" t="s">
        <v>24</v>
      </c>
      <c r="D2" s="21" t="s">
        <v>25</v>
      </c>
      <c r="E2" s="42" t="s">
        <v>38</v>
      </c>
    </row>
    <row r="3" spans="1:10" x14ac:dyDescent="0.2">
      <c r="A3" t="s">
        <v>26</v>
      </c>
      <c r="B3" s="11">
        <v>0.153</v>
      </c>
      <c r="C3" s="8">
        <v>0.99209999999999998</v>
      </c>
      <c r="D3" s="12">
        <v>0.433</v>
      </c>
      <c r="E3" s="8"/>
    </row>
    <row r="4" spans="1:10" x14ac:dyDescent="0.2">
      <c r="A4" t="s">
        <v>27</v>
      </c>
      <c r="B4" s="13">
        <v>0.126</v>
      </c>
      <c r="C4" s="15">
        <v>0.78959999999999997</v>
      </c>
      <c r="D4" s="32">
        <v>0.54400000000000004</v>
      </c>
      <c r="E4" s="15"/>
    </row>
    <row r="5" spans="1:10" x14ac:dyDescent="0.2">
      <c r="A5" s="9" t="s">
        <v>28</v>
      </c>
      <c r="B5" s="14">
        <v>0.13700000000000001</v>
      </c>
      <c r="C5" s="16">
        <v>0.87560000000000004</v>
      </c>
      <c r="D5" s="9">
        <v>0.49399999999999999</v>
      </c>
      <c r="E5" s="16"/>
    </row>
    <row r="6" spans="1:10" ht="17" thickBot="1" x14ac:dyDescent="0.25">
      <c r="A6" s="29" t="s">
        <v>39</v>
      </c>
      <c r="B6" s="54">
        <f>AVERAGE(B3:B5)</f>
        <v>0.13866666666666669</v>
      </c>
      <c r="C6" s="28"/>
      <c r="D6" s="28"/>
      <c r="E6" s="41"/>
    </row>
    <row r="7" spans="1:10" ht="52" thickTop="1" x14ac:dyDescent="0.2">
      <c r="A7" s="17" t="s">
        <v>33</v>
      </c>
      <c r="B7" s="21" t="s">
        <v>30</v>
      </c>
      <c r="C7" s="21" t="s">
        <v>31</v>
      </c>
      <c r="D7" s="22" t="s">
        <v>32</v>
      </c>
      <c r="E7" s="41"/>
    </row>
    <row r="8" spans="1:10" x14ac:dyDescent="0.2">
      <c r="A8" s="11" t="s">
        <v>1</v>
      </c>
      <c r="B8" s="8">
        <v>24.900099999999998</v>
      </c>
      <c r="C8" s="7">
        <v>16.971</v>
      </c>
      <c r="D8" s="7">
        <v>0.15648000000000001</v>
      </c>
      <c r="E8" s="43" t="str">
        <f>IF(D8&lt;0.05, "Yes", "No")</f>
        <v>No</v>
      </c>
    </row>
    <row r="9" spans="1:10" x14ac:dyDescent="0.2">
      <c r="A9" s="13" t="s">
        <v>34</v>
      </c>
      <c r="B9" s="15">
        <v>-25.678699999999999</v>
      </c>
      <c r="C9" s="1">
        <v>21.041</v>
      </c>
      <c r="D9" s="1">
        <v>0.235233</v>
      </c>
      <c r="E9" s="43" t="str">
        <f t="shared" ref="E9:E23" si="0">IF(D9&lt;0.05, "Yes", "No")</f>
        <v>No</v>
      </c>
    </row>
    <row r="10" spans="1:10" x14ac:dyDescent="0.2">
      <c r="A10" s="13" t="s">
        <v>2</v>
      </c>
      <c r="B10" s="15">
        <v>420.98610000000002</v>
      </c>
      <c r="C10" s="1">
        <v>306.36599999999999</v>
      </c>
      <c r="D10" s="1">
        <v>0.18324099999999999</v>
      </c>
      <c r="E10" s="43" t="str">
        <f t="shared" si="0"/>
        <v>No</v>
      </c>
    </row>
    <row r="11" spans="1:10" x14ac:dyDescent="0.2">
      <c r="A11" s="14" t="s">
        <v>35</v>
      </c>
      <c r="B11" s="16">
        <v>-3.3374000000000001</v>
      </c>
      <c r="C11" s="10">
        <v>4.0659999999999998</v>
      </c>
      <c r="D11" s="1">
        <v>0.420574</v>
      </c>
      <c r="E11" s="43" t="str">
        <f t="shared" si="0"/>
        <v>No</v>
      </c>
    </row>
    <row r="12" spans="1:10" x14ac:dyDescent="0.2">
      <c r="D12" s="7"/>
      <c r="E12" s="45"/>
    </row>
    <row r="13" spans="1:10" ht="51" x14ac:dyDescent="0.2">
      <c r="A13" s="17" t="s">
        <v>36</v>
      </c>
      <c r="B13" s="21" t="s">
        <v>30</v>
      </c>
      <c r="C13" s="21" t="s">
        <v>31</v>
      </c>
      <c r="D13" s="21" t="s">
        <v>32</v>
      </c>
      <c r="E13" s="45"/>
    </row>
    <row r="14" spans="1:10" x14ac:dyDescent="0.2">
      <c r="A14" s="11" t="s">
        <v>1</v>
      </c>
      <c r="B14" s="8">
        <v>10.1891</v>
      </c>
      <c r="C14" s="7">
        <v>130.28</v>
      </c>
      <c r="D14" s="7">
        <v>0.248062</v>
      </c>
      <c r="E14" s="47" t="str">
        <f t="shared" si="0"/>
        <v>No</v>
      </c>
    </row>
    <row r="15" spans="1:10" x14ac:dyDescent="0.2">
      <c r="A15" s="13" t="s">
        <v>34</v>
      </c>
      <c r="B15" s="15">
        <v>-10.588900000000001</v>
      </c>
      <c r="C15" s="1">
        <v>10.646000000000001</v>
      </c>
      <c r="D15" s="1">
        <v>0.33074100000000001</v>
      </c>
      <c r="E15" s="43" t="str">
        <f t="shared" si="0"/>
        <v>No</v>
      </c>
    </row>
    <row r="16" spans="1:10" x14ac:dyDescent="0.2">
      <c r="A16" s="13" t="s">
        <v>2</v>
      </c>
      <c r="B16" s="15">
        <v>167.29499999999999</v>
      </c>
      <c r="C16" s="1">
        <v>155.01400000000001</v>
      </c>
      <c r="D16" s="1">
        <v>0.29217700000000002</v>
      </c>
      <c r="E16" s="43" t="str">
        <f t="shared" si="0"/>
        <v>No</v>
      </c>
    </row>
    <row r="17" spans="1:5" x14ac:dyDescent="0.2">
      <c r="A17" s="14" t="s">
        <v>35</v>
      </c>
      <c r="B17" s="16">
        <v>0.46189999999999998</v>
      </c>
      <c r="C17" s="10">
        <v>2.0569999999999999</v>
      </c>
      <c r="D17" s="1">
        <v>0.82443900000000003</v>
      </c>
      <c r="E17" s="44" t="str">
        <f t="shared" si="0"/>
        <v>No</v>
      </c>
    </row>
    <row r="18" spans="1:5" x14ac:dyDescent="0.2">
      <c r="D18" s="33"/>
      <c r="E18" s="45"/>
    </row>
    <row r="19" spans="1:5" ht="51" x14ac:dyDescent="0.2">
      <c r="A19" s="17" t="s">
        <v>37</v>
      </c>
      <c r="B19" s="21" t="s">
        <v>30</v>
      </c>
      <c r="C19" s="21" t="s">
        <v>31</v>
      </c>
      <c r="D19" s="46" t="s">
        <v>32</v>
      </c>
      <c r="E19" s="45"/>
    </row>
    <row r="20" spans="1:5" x14ac:dyDescent="0.2">
      <c r="A20" s="11" t="s">
        <v>1</v>
      </c>
      <c r="B20" s="11">
        <v>5.2935999999999996</v>
      </c>
      <c r="C20" s="8">
        <v>5.0970000000000004</v>
      </c>
      <c r="D20" s="7">
        <v>0.310276</v>
      </c>
      <c r="E20" s="47" t="str">
        <f t="shared" si="0"/>
        <v>No</v>
      </c>
    </row>
    <row r="21" spans="1:5" x14ac:dyDescent="0.2">
      <c r="A21" s="13" t="s">
        <v>34</v>
      </c>
      <c r="B21" s="13">
        <v>-5.0044000000000004</v>
      </c>
      <c r="C21" s="15">
        <v>6.319</v>
      </c>
      <c r="D21" s="1">
        <v>0.43684600000000001</v>
      </c>
      <c r="E21" s="43" t="str">
        <f t="shared" si="0"/>
        <v>No</v>
      </c>
    </row>
    <row r="22" spans="1:5" x14ac:dyDescent="0.2">
      <c r="A22" s="13" t="s">
        <v>2</v>
      </c>
      <c r="B22" s="13">
        <v>84.8399</v>
      </c>
      <c r="C22" s="15">
        <v>92.007999999999996</v>
      </c>
      <c r="D22" s="1">
        <v>0.26648500000000003</v>
      </c>
      <c r="E22" s="43" t="str">
        <f t="shared" si="0"/>
        <v>No</v>
      </c>
    </row>
    <row r="23" spans="1:5" x14ac:dyDescent="0.2">
      <c r="A23" s="14" t="s">
        <v>35</v>
      </c>
      <c r="B23" s="14">
        <v>6.6299999999999998E-2</v>
      </c>
      <c r="C23" s="16">
        <v>1.2210000000000001</v>
      </c>
      <c r="D23" s="10">
        <v>0.95718099999999995</v>
      </c>
      <c r="E23" s="44" t="str">
        <f t="shared" si="0"/>
        <v>No</v>
      </c>
    </row>
  </sheetData>
  <mergeCells count="1">
    <mergeCell ref="A1:D1"/>
  </mergeCells>
  <conditionalFormatting sqref="E8:E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11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AB1-75E7-46D4-8886-04553E17B9EA}">
  <dimension ref="A1:E23"/>
  <sheetViews>
    <sheetView zoomScale="158" workbookViewId="0">
      <selection activeCell="A6" sqref="A6"/>
    </sheetView>
  </sheetViews>
  <sheetFormatPr baseColWidth="10" defaultRowHeight="16" x14ac:dyDescent="0.2"/>
  <cols>
    <col min="1" max="1" width="23.6640625" customWidth="1"/>
    <col min="3" max="3" width="10" bestFit="1" customWidth="1"/>
    <col min="4" max="4" width="11.1640625" bestFit="1" customWidth="1"/>
  </cols>
  <sheetData>
    <row r="1" spans="1:5" x14ac:dyDescent="0.2">
      <c r="A1" s="51" t="s">
        <v>29</v>
      </c>
      <c r="B1" s="52"/>
      <c r="C1" s="52"/>
      <c r="D1" s="53"/>
    </row>
    <row r="2" spans="1:5" ht="17" x14ac:dyDescent="0.2">
      <c r="A2" s="17" t="s">
        <v>22</v>
      </c>
      <c r="B2" s="18" t="s">
        <v>23</v>
      </c>
      <c r="C2" s="17" t="s">
        <v>24</v>
      </c>
      <c r="D2" s="48" t="s">
        <v>25</v>
      </c>
      <c r="E2" s="50" t="s">
        <v>38</v>
      </c>
    </row>
    <row r="3" spans="1:5" x14ac:dyDescent="0.2">
      <c r="A3" s="7" t="s">
        <v>26</v>
      </c>
      <c r="B3">
        <v>0.154</v>
      </c>
      <c r="C3" s="7">
        <v>0.91200000000000003</v>
      </c>
      <c r="D3" s="32">
        <v>0.47599999999999998</v>
      </c>
      <c r="E3" s="8"/>
    </row>
    <row r="4" spans="1:5" x14ac:dyDescent="0.2">
      <c r="A4" s="1" t="s">
        <v>27</v>
      </c>
      <c r="B4">
        <v>0.51200000000000001</v>
      </c>
      <c r="C4" s="1">
        <v>5.2409999999999997</v>
      </c>
      <c r="D4" s="32">
        <v>4.7099999999999998E-3</v>
      </c>
      <c r="E4" s="15"/>
    </row>
    <row r="5" spans="1:5" x14ac:dyDescent="0.2">
      <c r="A5" s="1" t="s">
        <v>28</v>
      </c>
      <c r="B5">
        <v>0.36</v>
      </c>
      <c r="C5" s="10">
        <v>2.81</v>
      </c>
      <c r="D5" s="32">
        <v>5.3199999999999997E-2</v>
      </c>
      <c r="E5" s="16"/>
    </row>
    <row r="6" spans="1:5" ht="17" thickBot="1" x14ac:dyDescent="0.25">
      <c r="A6" s="28" t="s">
        <v>39</v>
      </c>
      <c r="B6" s="34">
        <f>AVERAGE(B3:B5)</f>
        <v>0.34200000000000003</v>
      </c>
      <c r="C6" s="28"/>
      <c r="D6" s="28"/>
      <c r="E6" s="41"/>
    </row>
    <row r="7" spans="1:5" ht="52" thickTop="1" x14ac:dyDescent="0.2">
      <c r="A7" s="17" t="s">
        <v>33</v>
      </c>
      <c r="B7" s="17" t="s">
        <v>30</v>
      </c>
      <c r="C7" s="17" t="s">
        <v>31</v>
      </c>
      <c r="D7" s="49" t="s">
        <v>32</v>
      </c>
      <c r="E7" s="41"/>
    </row>
    <row r="8" spans="1:5" x14ac:dyDescent="0.2">
      <c r="A8" s="11" t="s">
        <v>1</v>
      </c>
      <c r="B8" s="11">
        <v>-142.81639999999999</v>
      </c>
      <c r="C8" s="8">
        <v>1375.6659999999999</v>
      </c>
      <c r="D8" s="12">
        <v>0.26209700000000002</v>
      </c>
      <c r="E8" s="8" t="str">
        <f>IF(D8&lt;0.05, "Yes", "No")</f>
        <v>No</v>
      </c>
    </row>
    <row r="9" spans="1:5" x14ac:dyDescent="0.2">
      <c r="A9" s="13" t="s">
        <v>34</v>
      </c>
      <c r="B9" s="13">
        <v>173.79040000000001</v>
      </c>
      <c r="C9" s="15">
        <v>148.18100000000001</v>
      </c>
      <c r="D9" s="32">
        <v>0.25464700000000001</v>
      </c>
      <c r="E9" s="15" t="str">
        <f t="shared" ref="E9:E23" si="0">IF(D9&lt;0.05, "Yes", "No")</f>
        <v>No</v>
      </c>
    </row>
    <row r="10" spans="1:5" x14ac:dyDescent="0.2">
      <c r="A10" s="13" t="s">
        <v>2</v>
      </c>
      <c r="B10" s="13">
        <v>-1889.3032000000001</v>
      </c>
      <c r="C10" s="15">
        <v>1645.396</v>
      </c>
      <c r="D10" s="32">
        <v>0.26441999999999999</v>
      </c>
      <c r="E10" s="15" t="str">
        <f t="shared" si="0"/>
        <v>No</v>
      </c>
    </row>
    <row r="11" spans="1:5" x14ac:dyDescent="0.2">
      <c r="A11" s="14" t="s">
        <v>35</v>
      </c>
      <c r="B11" s="14">
        <v>3.4200000000000001E-2</v>
      </c>
      <c r="C11" s="15">
        <v>6.492</v>
      </c>
      <c r="D11" s="32">
        <v>0.99585299999999999</v>
      </c>
      <c r="E11" s="15" t="str">
        <f t="shared" si="0"/>
        <v>No</v>
      </c>
    </row>
    <row r="12" spans="1:5" x14ac:dyDescent="0.2">
      <c r="B12" s="31"/>
      <c r="C12" s="33"/>
      <c r="D12" s="33"/>
      <c r="E12" s="41"/>
    </row>
    <row r="13" spans="1:5" ht="51" x14ac:dyDescent="0.2">
      <c r="A13" s="17" t="s">
        <v>36</v>
      </c>
      <c r="B13" s="30" t="s">
        <v>30</v>
      </c>
      <c r="C13" s="30" t="s">
        <v>31</v>
      </c>
      <c r="D13" s="49" t="s">
        <v>32</v>
      </c>
      <c r="E13" s="41"/>
    </row>
    <row r="14" spans="1:5" x14ac:dyDescent="0.2">
      <c r="A14" s="11" t="s">
        <v>1</v>
      </c>
      <c r="B14" s="11">
        <v>37.229300000000002</v>
      </c>
      <c r="C14" s="8">
        <v>65.503</v>
      </c>
      <c r="D14" s="12">
        <v>0.57611599999999996</v>
      </c>
      <c r="E14" s="15" t="str">
        <f t="shared" si="0"/>
        <v>No</v>
      </c>
    </row>
    <row r="15" spans="1:5" x14ac:dyDescent="0.2">
      <c r="A15" s="13" t="s">
        <v>34</v>
      </c>
      <c r="B15" s="13">
        <v>-36.409999999999997</v>
      </c>
      <c r="C15" s="15">
        <v>78.430999999999997</v>
      </c>
      <c r="D15" s="32">
        <v>0.64749599999999996</v>
      </c>
      <c r="E15" s="15" t="str">
        <f t="shared" si="0"/>
        <v>No</v>
      </c>
    </row>
    <row r="16" spans="1:5" x14ac:dyDescent="0.2">
      <c r="A16" s="13" t="s">
        <v>2</v>
      </c>
      <c r="B16" s="13">
        <v>442.33780000000002</v>
      </c>
      <c r="C16" s="15">
        <v>870.89300000000003</v>
      </c>
      <c r="D16" s="32">
        <v>0.61707000000000001</v>
      </c>
      <c r="E16" s="15" t="str">
        <f t="shared" si="0"/>
        <v>No</v>
      </c>
    </row>
    <row r="17" spans="1:5" x14ac:dyDescent="0.2">
      <c r="A17" s="14" t="s">
        <v>35</v>
      </c>
      <c r="B17" s="14">
        <v>2.5318000000000001</v>
      </c>
      <c r="C17" s="16">
        <v>3.4359999999999999</v>
      </c>
      <c r="D17" s="32">
        <v>0.46979300000000002</v>
      </c>
      <c r="E17" s="15" t="str">
        <f t="shared" si="0"/>
        <v>No</v>
      </c>
    </row>
    <row r="18" spans="1:5" x14ac:dyDescent="0.2">
      <c r="D18" s="33"/>
      <c r="E18" s="41"/>
    </row>
    <row r="19" spans="1:5" ht="51" x14ac:dyDescent="0.2">
      <c r="A19" s="17" t="s">
        <v>37</v>
      </c>
      <c r="B19" s="17" t="s">
        <v>30</v>
      </c>
      <c r="C19" s="17" t="s">
        <v>31</v>
      </c>
      <c r="D19" s="49" t="s">
        <v>32</v>
      </c>
      <c r="E19" s="41"/>
    </row>
    <row r="20" spans="1:5" x14ac:dyDescent="0.2">
      <c r="A20" s="11" t="s">
        <v>1</v>
      </c>
      <c r="B20" s="8">
        <v>-199.32130000000001</v>
      </c>
      <c r="C20" s="7">
        <v>72.262</v>
      </c>
      <c r="D20" s="12">
        <v>0.12121999999999999</v>
      </c>
      <c r="E20" s="15" t="str">
        <f t="shared" si="0"/>
        <v>No</v>
      </c>
    </row>
    <row r="21" spans="1:5" x14ac:dyDescent="0.2">
      <c r="A21" s="13" t="s">
        <v>34</v>
      </c>
      <c r="B21" s="15">
        <v>234.36770000000001</v>
      </c>
      <c r="C21" s="1">
        <v>86.524000000000001</v>
      </c>
      <c r="D21" s="32">
        <v>1.3518000000000001E-2</v>
      </c>
      <c r="E21" s="15" t="str">
        <f t="shared" si="0"/>
        <v>Yes</v>
      </c>
    </row>
    <row r="22" spans="1:5" x14ac:dyDescent="0.2">
      <c r="A22" s="13" t="s">
        <v>2</v>
      </c>
      <c r="B22" s="15">
        <v>-2604.9537</v>
      </c>
      <c r="C22" s="1">
        <v>960.75699999999995</v>
      </c>
      <c r="D22" s="32">
        <v>1.3440000000000001E-2</v>
      </c>
      <c r="E22" s="15" t="str">
        <f t="shared" si="0"/>
        <v>Yes</v>
      </c>
    </row>
    <row r="23" spans="1:5" x14ac:dyDescent="0.2">
      <c r="A23" s="14" t="s">
        <v>35</v>
      </c>
      <c r="B23" s="16">
        <v>3.7414000000000001</v>
      </c>
      <c r="C23" s="10">
        <v>3.7909999999999999</v>
      </c>
      <c r="D23" s="9">
        <v>0.33543699999999999</v>
      </c>
      <c r="E23" s="16" t="str">
        <f t="shared" si="0"/>
        <v>No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Services </vt:lpstr>
      <vt:lpstr>Oil</vt:lpstr>
      <vt:lpstr>Combined Finance Stats</vt:lpstr>
      <vt:lpstr>Combined Oil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Colby Mccord Keefe 2022 (N1126256)</cp:lastModifiedBy>
  <dcterms:created xsi:type="dcterms:W3CDTF">2023-02-28T08:54:02Z</dcterms:created>
  <dcterms:modified xsi:type="dcterms:W3CDTF">2023-04-13T16:55:34Z</dcterms:modified>
</cp:coreProperties>
</file>