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29071\Desktop\"/>
    </mc:Choice>
  </mc:AlternateContent>
  <bookViews>
    <workbookView xWindow="0" yWindow="0" windowWidth="30720" windowHeight="13536" activeTab="3"/>
  </bookViews>
  <sheets>
    <sheet name="Introduction" sheetId="2" r:id="rId1"/>
    <sheet name="Set-up + Definitions" sheetId="5" r:id="rId2"/>
    <sheet name="USDOT SDC Overall" sheetId="1" r:id="rId3"/>
    <sheet name="SDC Project" sheetId="3" r:id="rId4"/>
    <sheet name="SDC User" sheetId="4" r:id="rId5"/>
    <sheet name="UnitCosts" sheetId="6" r:id="rId6"/>
  </sheets>
  <calcPr calcId="162913"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6" i="6" l="1"/>
  <c r="M56" i="6"/>
  <c r="L52" i="6"/>
  <c r="M52" i="6"/>
  <c r="K52" i="6"/>
  <c r="K56" i="6" s="1"/>
  <c r="E165" i="6" l="1"/>
  <c r="E166" i="6"/>
  <c r="F167" i="6"/>
  <c r="F169" i="6" s="1"/>
  <c r="F168" i="6"/>
  <c r="E169" i="6"/>
  <c r="K87" i="3"/>
  <c r="D123" i="3"/>
  <c r="E123" i="3"/>
  <c r="F123" i="3"/>
  <c r="G123" i="3"/>
  <c r="C123" i="3"/>
  <c r="G110" i="3"/>
  <c r="D110" i="3"/>
  <c r="C110" i="3"/>
  <c r="H16" i="6"/>
  <c r="G114" i="3"/>
  <c r="D111" i="3"/>
  <c r="D112" i="3"/>
  <c r="D116" i="3"/>
  <c r="D119" i="3"/>
  <c r="C118" i="3"/>
  <c r="C119" i="3"/>
  <c r="D108" i="3"/>
  <c r="G108" i="3"/>
  <c r="D109" i="3"/>
  <c r="G109" i="3"/>
  <c r="C109" i="3"/>
  <c r="C108" i="3"/>
  <c r="D107" i="3"/>
  <c r="G107" i="3"/>
  <c r="C107" i="3"/>
  <c r="L87" i="3"/>
  <c r="L86" i="3"/>
  <c r="K86" i="3"/>
  <c r="J87" i="3"/>
  <c r="J86" i="3"/>
  <c r="AA14" i="1"/>
  <c r="AA15" i="1"/>
  <c r="AA16" i="1"/>
  <c r="AA13" i="1"/>
  <c r="Z14" i="1"/>
  <c r="Z15" i="1"/>
  <c r="Z16" i="1"/>
  <c r="Z13" i="1"/>
  <c r="Y14" i="1"/>
  <c r="Y15" i="1"/>
  <c r="Y16" i="1"/>
  <c r="E29" i="1" s="1"/>
  <c r="Y13" i="1"/>
  <c r="X14" i="1"/>
  <c r="X15" i="1"/>
  <c r="X16" i="1"/>
  <c r="D28" i="1" s="1"/>
  <c r="X13" i="1"/>
  <c r="D20" i="1"/>
  <c r="E20" i="1"/>
  <c r="F20" i="1"/>
  <c r="G20" i="1"/>
  <c r="C21" i="1"/>
  <c r="C20" i="1"/>
  <c r="D21" i="1"/>
  <c r="E21" i="1"/>
  <c r="F21" i="1"/>
  <c r="G21" i="1"/>
  <c r="I34" i="5"/>
  <c r="I33" i="5"/>
  <c r="I32" i="5"/>
  <c r="I27" i="5"/>
  <c r="I26" i="5"/>
  <c r="I25" i="5"/>
  <c r="I19" i="5"/>
  <c r="I20" i="5"/>
  <c r="I18" i="5"/>
  <c r="I12" i="5"/>
  <c r="I13" i="5"/>
  <c r="I11" i="5"/>
  <c r="E19" i="5"/>
  <c r="E20" i="5"/>
  <c r="E18" i="5"/>
  <c r="E12" i="5"/>
  <c r="E13" i="5"/>
  <c r="E11" i="5"/>
  <c r="G50" i="6"/>
  <c r="E122" i="3" s="1"/>
  <c r="E156" i="6"/>
  <c r="G49" i="6" s="1"/>
  <c r="E155" i="6"/>
  <c r="G47" i="6" s="1"/>
  <c r="D160" i="6"/>
  <c r="D159" i="6"/>
  <c r="D158" i="6"/>
  <c r="D157" i="6"/>
  <c r="D156" i="6"/>
  <c r="G48" i="6" s="1"/>
  <c r="D155" i="6"/>
  <c r="G46" i="6" s="1"/>
  <c r="D121" i="3" s="1"/>
  <c r="J22" i="6"/>
  <c r="G116" i="3" s="1"/>
  <c r="J23" i="6"/>
  <c r="G117" i="3" s="1"/>
  <c r="J24" i="6"/>
  <c r="G118" i="3" s="1"/>
  <c r="J21" i="6"/>
  <c r="M55" i="6" s="1"/>
  <c r="I22" i="6"/>
  <c r="I23" i="6"/>
  <c r="D117" i="3" s="1"/>
  <c r="I24" i="6"/>
  <c r="D118" i="3" s="1"/>
  <c r="I21" i="6"/>
  <c r="L55" i="6" s="1"/>
  <c r="H24" i="6"/>
  <c r="H23" i="6"/>
  <c r="C117" i="3" s="1"/>
  <c r="H22" i="6"/>
  <c r="C116" i="3" s="1"/>
  <c r="H21" i="6"/>
  <c r="C115" i="3" s="1"/>
  <c r="J17" i="6"/>
  <c r="G111" i="3" s="1"/>
  <c r="I17" i="6"/>
  <c r="H17" i="6"/>
  <c r="C111" i="3" s="1"/>
  <c r="J25" i="6"/>
  <c r="G119" i="3" s="1"/>
  <c r="I25" i="6"/>
  <c r="H25" i="6"/>
  <c r="J26" i="6"/>
  <c r="G120" i="3" s="1"/>
  <c r="I26" i="6"/>
  <c r="D120" i="3" s="1"/>
  <c r="H26" i="6"/>
  <c r="C120" i="3" s="1"/>
  <c r="J19" i="6"/>
  <c r="G113" i="3" s="1"/>
  <c r="I19" i="6"/>
  <c r="D113" i="3" s="1"/>
  <c r="H19" i="6"/>
  <c r="K54" i="6" s="1"/>
  <c r="J20" i="6"/>
  <c r="I20" i="6"/>
  <c r="D114" i="3" s="1"/>
  <c r="H20" i="6"/>
  <c r="C114" i="3" s="1"/>
  <c r="J18" i="6"/>
  <c r="G112" i="3" s="1"/>
  <c r="I18" i="6"/>
  <c r="L54" i="6" s="1"/>
  <c r="H18" i="6"/>
  <c r="C112" i="3" s="1"/>
  <c r="H3" i="6"/>
  <c r="H14" i="6" s="1"/>
  <c r="I3" i="6"/>
  <c r="I14" i="6" s="1"/>
  <c r="J3" i="6"/>
  <c r="J14" i="6" s="1"/>
  <c r="H4" i="6"/>
  <c r="H15" i="6" s="1"/>
  <c r="I4" i="6"/>
  <c r="I15" i="6" s="1"/>
  <c r="J4" i="6"/>
  <c r="J15" i="6" s="1"/>
  <c r="H5" i="6"/>
  <c r="I5" i="6"/>
  <c r="J5" i="6"/>
  <c r="H6" i="6"/>
  <c r="I6" i="6"/>
  <c r="J6" i="6"/>
  <c r="H7" i="6"/>
  <c r="I7" i="6"/>
  <c r="J7" i="6"/>
  <c r="H8" i="6"/>
  <c r="I8" i="6"/>
  <c r="J8" i="6"/>
  <c r="H9" i="6"/>
  <c r="I9" i="6"/>
  <c r="J9" i="6"/>
  <c r="I2" i="6"/>
  <c r="I13" i="6" s="1"/>
  <c r="J2" i="6"/>
  <c r="J13" i="6" s="1"/>
  <c r="H2" i="6"/>
  <c r="H13" i="6" s="1"/>
  <c r="K41" i="6"/>
  <c r="K40" i="6"/>
  <c r="J39" i="6"/>
  <c r="J38" i="6"/>
  <c r="L92" i="3"/>
  <c r="K92" i="3"/>
  <c r="J92" i="3"/>
  <c r="L91" i="3"/>
  <c r="K91" i="3"/>
  <c r="J91" i="3"/>
  <c r="C29" i="1" l="1"/>
  <c r="F28" i="1"/>
  <c r="G29" i="1"/>
  <c r="D29" i="1"/>
  <c r="D30" i="1" s="1"/>
  <c r="E28" i="1"/>
  <c r="E30" i="1" s="1"/>
  <c r="F29" i="1"/>
  <c r="G28" i="1"/>
  <c r="G30" i="1" s="1"/>
  <c r="C28" i="1"/>
  <c r="G115" i="3"/>
  <c r="C122" i="3"/>
  <c r="G121" i="3"/>
  <c r="D115" i="3"/>
  <c r="L20" i="6"/>
  <c r="N26" i="6"/>
  <c r="N30" i="6" s="1"/>
  <c r="AD13" i="1" s="1"/>
  <c r="K55" i="6"/>
  <c r="C113" i="3"/>
  <c r="F122" i="3"/>
  <c r="C121" i="3"/>
  <c r="K20" i="6"/>
  <c r="O26" i="6"/>
  <c r="O30" i="6" s="1"/>
  <c r="AD14" i="1" s="1"/>
  <c r="D122" i="3"/>
  <c r="M54" i="6"/>
  <c r="G122" i="3"/>
  <c r="P26" i="6"/>
  <c r="P30" i="6" s="1"/>
  <c r="D124" i="3"/>
  <c r="K93" i="3" s="1"/>
  <c r="J16" i="6"/>
  <c r="H29" i="6"/>
  <c r="K29" i="6" s="1"/>
  <c r="L88" i="3"/>
  <c r="J88" i="3"/>
  <c r="K88" i="3"/>
  <c r="I16" i="6"/>
  <c r="K42" i="6"/>
  <c r="J42" i="6"/>
  <c r="I28" i="6"/>
  <c r="L28" i="6" s="1"/>
  <c r="I29" i="6"/>
  <c r="L29" i="6" s="1"/>
  <c r="J29" i="6"/>
  <c r="M29" i="6" s="1"/>
  <c r="H27" i="6"/>
  <c r="H28" i="6"/>
  <c r="K28" i="6" s="1"/>
  <c r="J27" i="6"/>
  <c r="J28" i="6"/>
  <c r="M28" i="6" s="1"/>
  <c r="I27" i="6"/>
  <c r="P14" i="1"/>
  <c r="Q14" i="1" s="1"/>
  <c r="R14" i="1" s="1"/>
  <c r="S14" i="1" s="1"/>
  <c r="T14" i="1" s="1"/>
  <c r="P15" i="1"/>
  <c r="Q15" i="1" s="1"/>
  <c r="R15" i="1" s="1"/>
  <c r="S15" i="1" s="1"/>
  <c r="T15" i="1" s="1"/>
  <c r="P16" i="1"/>
  <c r="P13" i="1"/>
  <c r="Q13" i="1" s="1"/>
  <c r="R13" i="1" s="1"/>
  <c r="S13" i="1" s="1"/>
  <c r="T13" i="1" s="1"/>
  <c r="B21" i="1"/>
  <c r="B20" i="1"/>
  <c r="D19" i="1"/>
  <c r="E19" i="1"/>
  <c r="F19" i="1"/>
  <c r="G19" i="1"/>
  <c r="C19" i="1"/>
  <c r="C124" i="3" l="1"/>
  <c r="J93" i="3" s="1"/>
  <c r="G124" i="3"/>
  <c r="L93" i="3" s="1"/>
  <c r="F30" i="1"/>
  <c r="Q16" i="1"/>
  <c r="C36" i="1"/>
  <c r="C43" i="1" s="1"/>
  <c r="C35" i="1"/>
  <c r="C42" i="1" s="1"/>
  <c r="C30" i="1"/>
  <c r="K27" i="6"/>
  <c r="K53" i="6"/>
  <c r="AD15" i="1"/>
  <c r="AD16" i="1"/>
  <c r="K30" i="6"/>
  <c r="AC13" i="1" s="1"/>
  <c r="M20" i="6"/>
  <c r="L27" i="6"/>
  <c r="L30" i="6" s="1"/>
  <c r="AC14" i="1" s="1"/>
  <c r="L53" i="6"/>
  <c r="M53" i="6"/>
  <c r="M27" i="6"/>
  <c r="I30" i="6"/>
  <c r="AB14" i="1" s="1"/>
  <c r="H30" i="6"/>
  <c r="AB13" i="1" s="1"/>
  <c r="J30" i="6"/>
  <c r="D22" i="1"/>
  <c r="C50" i="1"/>
  <c r="C49" i="1"/>
  <c r="C22" i="1"/>
  <c r="P17" i="1"/>
  <c r="F22" i="1"/>
  <c r="F26" i="4"/>
  <c r="F25" i="4"/>
  <c r="F24" i="4"/>
  <c r="F22" i="4"/>
  <c r="F21" i="4"/>
  <c r="F20" i="4"/>
  <c r="F18" i="4"/>
  <c r="F17" i="4"/>
  <c r="F16" i="4"/>
  <c r="R16" i="1" l="1"/>
  <c r="D36" i="1"/>
  <c r="D43" i="1" s="1"/>
  <c r="D35" i="1"/>
  <c r="D42" i="1" s="1"/>
  <c r="D49" i="1" s="1"/>
  <c r="E34" i="1"/>
  <c r="E41" i="1" s="1"/>
  <c r="E48" i="1" s="1"/>
  <c r="D34" i="1"/>
  <c r="D41" i="1" s="1"/>
  <c r="D48" i="1" s="1"/>
  <c r="AB16" i="1"/>
  <c r="AB15" i="1"/>
  <c r="C34" i="1"/>
  <c r="C41" i="1" s="1"/>
  <c r="C48" i="1" s="1"/>
  <c r="M30" i="6"/>
  <c r="G22" i="1"/>
  <c r="E22" i="1"/>
  <c r="D50" i="1"/>
  <c r="Q17" i="1"/>
  <c r="R17" i="1"/>
  <c r="F23" i="4"/>
  <c r="F19" i="4"/>
  <c r="F15" i="4"/>
  <c r="F12" i="3"/>
  <c r="F13" i="3"/>
  <c r="F14" i="3"/>
  <c r="F16" i="3"/>
  <c r="F17" i="3"/>
  <c r="F18" i="3"/>
  <c r="F20" i="3"/>
  <c r="F21" i="3"/>
  <c r="F22" i="3"/>
  <c r="F24" i="3"/>
  <c r="F25" i="3"/>
  <c r="F26" i="3"/>
  <c r="F28" i="3"/>
  <c r="F29" i="3"/>
  <c r="F30" i="3"/>
  <c r="F34" i="3"/>
  <c r="F35" i="3"/>
  <c r="F36" i="3"/>
  <c r="F38" i="3"/>
  <c r="F39" i="3"/>
  <c r="F40" i="3"/>
  <c r="F42" i="3"/>
  <c r="F43" i="3"/>
  <c r="F44" i="3"/>
  <c r="F46" i="3"/>
  <c r="F47" i="3"/>
  <c r="F48" i="3"/>
  <c r="F50" i="3"/>
  <c r="F51" i="3"/>
  <c r="F52" i="3"/>
  <c r="F56" i="3"/>
  <c r="F57" i="3"/>
  <c r="F58" i="3"/>
  <c r="F60" i="3"/>
  <c r="F61" i="3"/>
  <c r="F62" i="3"/>
  <c r="F64" i="3"/>
  <c r="F65" i="3"/>
  <c r="F66" i="3"/>
  <c r="F68" i="3"/>
  <c r="F69" i="3"/>
  <c r="F70" i="3"/>
  <c r="F72" i="3"/>
  <c r="F73" i="3"/>
  <c r="F74" i="3"/>
  <c r="S16" i="1" l="1"/>
  <c r="E36" i="1"/>
  <c r="E43" i="1" s="1"/>
  <c r="E50" i="1" s="1"/>
  <c r="E35" i="1"/>
  <c r="E42" i="1" s="1"/>
  <c r="E49" i="1" s="1"/>
  <c r="AC15" i="1"/>
  <c r="AC16" i="1"/>
  <c r="F63" i="3"/>
  <c r="F67" i="3"/>
  <c r="F49" i="3"/>
  <c r="F15" i="3"/>
  <c r="F71" i="3"/>
  <c r="F55" i="3"/>
  <c r="F59" i="3"/>
  <c r="F13" i="4"/>
  <c r="I15" i="4" s="1"/>
  <c r="F37" i="3"/>
  <c r="F19" i="3"/>
  <c r="F41" i="3"/>
  <c r="L12" i="3" s="1"/>
  <c r="L19" i="3" s="1"/>
  <c r="L20" i="3" s="1"/>
  <c r="F23" i="3"/>
  <c r="F45" i="3"/>
  <c r="F27" i="3"/>
  <c r="F33" i="3"/>
  <c r="F11" i="3"/>
  <c r="C152" i="6"/>
  <c r="C144" i="6"/>
  <c r="C136" i="6"/>
  <c r="C129" i="6"/>
  <c r="C122" i="6"/>
  <c r="C115" i="6"/>
  <c r="T16" i="1" l="1"/>
  <c r="F35" i="1"/>
  <c r="F42" i="1" s="1"/>
  <c r="F49" i="1" s="1"/>
  <c r="F36" i="1"/>
  <c r="F43" i="1" s="1"/>
  <c r="F50" i="1" s="1"/>
  <c r="S17" i="1"/>
  <c r="F34" i="1"/>
  <c r="F41" i="1" s="1"/>
  <c r="F48" i="1" s="1"/>
  <c r="D33" i="1"/>
  <c r="G33" i="1"/>
  <c r="E33" i="1"/>
  <c r="C33" i="1"/>
  <c r="F33" i="1"/>
  <c r="J15" i="4"/>
  <c r="B9" i="4" s="1"/>
  <c r="B10" i="4" s="1"/>
  <c r="M12" i="3"/>
  <c r="M19" i="3" s="1"/>
  <c r="M20" i="3" s="1"/>
  <c r="K12" i="3"/>
  <c r="K18" i="3" s="1"/>
  <c r="K20" i="3" s="1"/>
  <c r="J12" i="3"/>
  <c r="J18" i="3" s="1"/>
  <c r="J20" i="3" s="1"/>
  <c r="J24" i="3" s="1"/>
  <c r="K24" i="3" s="1"/>
  <c r="F54" i="3"/>
  <c r="F32" i="3"/>
  <c r="F10" i="3"/>
  <c r="N12" i="3" s="1"/>
  <c r="J25" i="3" l="1"/>
  <c r="K25" i="3" s="1"/>
  <c r="G35" i="1"/>
  <c r="G42" i="1" s="1"/>
  <c r="G49" i="1" s="1"/>
  <c r="G36" i="1"/>
  <c r="G43" i="1" s="1"/>
  <c r="G50" i="1" s="1"/>
  <c r="G34" i="1"/>
  <c r="G41" i="1" s="1"/>
  <c r="G48" i="1" s="1"/>
  <c r="T17" i="1"/>
  <c r="E37" i="1"/>
  <c r="E40" i="1"/>
  <c r="C37" i="1"/>
  <c r="C40" i="1"/>
  <c r="G40" i="1"/>
  <c r="F37" i="1"/>
  <c r="F40" i="1"/>
  <c r="D37" i="1"/>
  <c r="D40" i="1"/>
  <c r="S20" i="3"/>
  <c r="T20" i="3" s="1"/>
  <c r="N19" i="3"/>
  <c r="N20" i="3" s="1"/>
  <c r="S17" i="3"/>
  <c r="S19" i="3"/>
  <c r="T19" i="3" s="1"/>
  <c r="S18" i="3"/>
  <c r="T18" i="3" s="1"/>
  <c r="O19" i="3"/>
  <c r="O20" i="3" s="1"/>
  <c r="K23" i="3" l="1"/>
  <c r="J23" i="3"/>
  <c r="G37" i="1"/>
  <c r="F44" i="1"/>
  <c r="F47" i="1"/>
  <c r="C44" i="1"/>
  <c r="C47" i="1"/>
  <c r="D47" i="1"/>
  <c r="D44" i="1"/>
  <c r="G47" i="1"/>
  <c r="G44" i="1"/>
  <c r="E47" i="1"/>
  <c r="E44" i="1"/>
  <c r="J14" i="3"/>
  <c r="S21" i="3"/>
  <c r="T17" i="3"/>
  <c r="T21" i="3" s="1"/>
  <c r="L94" i="3"/>
  <c r="L96" i="3" s="1"/>
  <c r="J94" i="3"/>
  <c r="J96" i="3" s="1"/>
  <c r="K94" i="3"/>
  <c r="K96" i="3" s="1"/>
  <c r="G52" i="1" l="1"/>
  <c r="G51" i="1"/>
  <c r="F52" i="1"/>
  <c r="F51" i="1"/>
  <c r="C51" i="1"/>
  <c r="C52" i="1"/>
  <c r="E52" i="1"/>
  <c r="E51" i="1"/>
  <c r="D51" i="1"/>
  <c r="D52" i="1"/>
</calcChain>
</file>

<file path=xl/sharedStrings.xml><?xml version="1.0" encoding="utf-8"?>
<sst xmlns="http://schemas.openxmlformats.org/spreadsheetml/2006/main" count="1048" uniqueCount="474">
  <si>
    <t>Cloud Consumption</t>
  </si>
  <si>
    <t>IT Services</t>
  </si>
  <si>
    <t>Enablement Costs</t>
  </si>
  <si>
    <t>Enablement</t>
  </si>
  <si>
    <t>Major</t>
  </si>
  <si>
    <t>Medium</t>
  </si>
  <si>
    <t>Low</t>
  </si>
  <si>
    <t>Minor</t>
  </si>
  <si>
    <t>3 nodes</t>
  </si>
  <si>
    <t>5 functions</t>
  </si>
  <si>
    <t>3 streams</t>
  </si>
  <si>
    <t>5 nodes</t>
  </si>
  <si>
    <t>1TB (5 volumes)</t>
  </si>
  <si>
    <t>1 instance</t>
  </si>
  <si>
    <t>500 Reads/sec and 500 writes/sec</t>
  </si>
  <si>
    <t>Secure Data Commons Proof of Concept</t>
  </si>
  <si>
    <t>Cost Estimator Tool</t>
  </si>
  <si>
    <t>Date: 10/02/2018</t>
  </si>
  <si>
    <t xml:space="preserve">The Secure Data Commons (SDC) is a cloud-based analytic platform that provides controlled access to transportation-related data sets </t>
  </si>
  <si>
    <t xml:space="preserve">This spreadsheet provides a tool to estimate the costs of operating the SDC from three different perspectives.  </t>
  </si>
  <si>
    <t>From a platform standpoint</t>
  </si>
  <si>
    <t>From a project standpoint</t>
  </si>
  <si>
    <t>From a user standpoint</t>
  </si>
  <si>
    <t>Click Here</t>
  </si>
  <si>
    <t>Costs are provided in three categories</t>
  </si>
  <si>
    <t>Cloud Consumption Costs</t>
  </si>
  <si>
    <t>IT Services Costs</t>
  </si>
  <si>
    <t>This sheet provides an overall estimate of operating the SDC for USDOT</t>
  </si>
  <si>
    <t>This sheet provides an estimated cost for a project to be included in the SDC</t>
  </si>
  <si>
    <t>This sheet provides an estimated cost by a research analyst</t>
  </si>
  <si>
    <t>per hour</t>
  </si>
  <si>
    <t>AWS Costs</t>
  </si>
  <si>
    <t>Assumptions</t>
  </si>
  <si>
    <t>S3</t>
  </si>
  <si>
    <t>Storage</t>
  </si>
  <si>
    <t>First 50TB / month</t>
  </si>
  <si>
    <t>per GB</t>
  </si>
  <si>
    <t>Requests (PUT, COPY, POST, LIST)</t>
  </si>
  <si>
    <t>per 1000 requests</t>
  </si>
  <si>
    <t xml:space="preserve">Requests (GET, SELECT and other requests) </t>
  </si>
  <si>
    <t>EC2 (on demand pricing)</t>
  </si>
  <si>
    <t>Common User Workstations</t>
  </si>
  <si>
    <t>t2.medium</t>
  </si>
  <si>
    <t>Power User Workstations</t>
  </si>
  <si>
    <t>r5.2xlarge</t>
  </si>
  <si>
    <t>Hadoop Cluster</t>
  </si>
  <si>
    <t>m5.2xlarge</t>
  </si>
  <si>
    <t>Guacamole</t>
  </si>
  <si>
    <t>m5.large</t>
  </si>
  <si>
    <t>EBS Volumes</t>
  </si>
  <si>
    <t>gp2</t>
  </si>
  <si>
    <t>Redshift (on demand pricing)</t>
  </si>
  <si>
    <t>Cluster (3 nodes)</t>
  </si>
  <si>
    <t>dc2.large</t>
  </si>
  <si>
    <t>per hour / node</t>
  </si>
  <si>
    <t>Lambda &amp; Step Functions</t>
  </si>
  <si>
    <t>Compute</t>
  </si>
  <si>
    <t>128MB</t>
  </si>
  <si>
    <t>per 100ms</t>
  </si>
  <si>
    <t>Requests</t>
  </si>
  <si>
    <t>per 1Million requests</t>
  </si>
  <si>
    <t>State transitions</t>
  </si>
  <si>
    <t>First 4000 state transitions per month are free</t>
  </si>
  <si>
    <t>per state transition</t>
  </si>
  <si>
    <t>Elasticsearch Service (on demand pricing)</t>
  </si>
  <si>
    <t>Cluster (2 nodes)</t>
  </si>
  <si>
    <t>EBS</t>
  </si>
  <si>
    <t>per GB / month</t>
  </si>
  <si>
    <t>Kinesis</t>
  </si>
  <si>
    <t>Streams</t>
  </si>
  <si>
    <t>1 shard</t>
  </si>
  <si>
    <t>per shard hour</t>
  </si>
  <si>
    <t>PUT payload units</t>
  </si>
  <si>
    <t>per 1 million units</t>
  </si>
  <si>
    <t>Extended Data Retention</t>
  </si>
  <si>
    <t>Firehose</t>
  </si>
  <si>
    <t>First 500 TB / month</t>
  </si>
  <si>
    <t>DynamoDB</t>
  </si>
  <si>
    <t>Write capacity unit (WCU)</t>
  </si>
  <si>
    <t>per WCU</t>
  </si>
  <si>
    <t>Read capacity unit (RCU)</t>
  </si>
  <si>
    <t>per RCU</t>
  </si>
  <si>
    <t>Cloudwatch</t>
  </si>
  <si>
    <t>Custom metrics</t>
  </si>
  <si>
    <t>first 10000 metrics</t>
  </si>
  <si>
    <t>per metric/month</t>
  </si>
  <si>
    <t>API Requests</t>
  </si>
  <si>
    <t>logs</t>
  </si>
  <si>
    <t>per gb</t>
  </si>
  <si>
    <t>Simple Notification Service (SNS)</t>
  </si>
  <si>
    <t>First million free per month</t>
  </si>
  <si>
    <t>per million</t>
  </si>
  <si>
    <t>Data Transfer</t>
  </si>
  <si>
    <t>First 1 GB free</t>
  </si>
  <si>
    <t>per GB /month (for the next 10GB)</t>
  </si>
  <si>
    <t>Simple Queue Service (SQS)</t>
  </si>
  <si>
    <t>API Requests (Standard Queue)</t>
  </si>
  <si>
    <t>First 1 million free per month</t>
  </si>
  <si>
    <t>per 1 million requests</t>
  </si>
  <si>
    <t>API Requests (Fifo Queue)</t>
  </si>
  <si>
    <t>Other Admin Costs</t>
  </si>
  <si>
    <t>Domain</t>
  </si>
  <si>
    <t>per year</t>
  </si>
  <si>
    <t>VPN</t>
  </si>
  <si>
    <t>Sophos</t>
  </si>
  <si>
    <t>VPC</t>
  </si>
  <si>
    <t>per month</t>
  </si>
  <si>
    <t>AppStream</t>
  </si>
  <si>
    <t>1 fleet</t>
  </si>
  <si>
    <t xml:space="preserve">per month </t>
  </si>
  <si>
    <t>RDS</t>
  </si>
  <si>
    <t>db.t2.medium</t>
  </si>
  <si>
    <t>AD, ADFS, Sophos instance costs (4 instances)</t>
  </si>
  <si>
    <t>Instance size/amount</t>
  </si>
  <si>
    <t>Expected  Avg Cost/Month</t>
  </si>
  <si>
    <t>Function</t>
  </si>
  <si>
    <t>Optional / Mandatory</t>
  </si>
  <si>
    <t>Mandatory</t>
  </si>
  <si>
    <t>Data Warehouse Costs (redshift etc)</t>
  </si>
  <si>
    <t>Optional</t>
  </si>
  <si>
    <t>Lambda</t>
  </si>
  <si>
    <t>Data Ingest (Lambda)</t>
  </si>
  <si>
    <t>128MB memory for each function, 5 functions for data ingest</t>
  </si>
  <si>
    <t>10 functions</t>
  </si>
  <si>
    <t>128 MB memory for each function, 10 functions for data curation</t>
  </si>
  <si>
    <t>Data ingest and curation (3 streams, 3KB request size 100 requests/sec)</t>
  </si>
  <si>
    <t>User Workstations</t>
  </si>
  <si>
    <t>10 nodes</t>
  </si>
  <si>
    <t>10 nodes of m5.2xlarge, running 15 hours a day</t>
  </si>
  <si>
    <t>Hadoop Storage (EBS Volumes)</t>
  </si>
  <si>
    <t>1TB (10 volumes)</t>
  </si>
  <si>
    <t>10 volumes</t>
  </si>
  <si>
    <t>Metastore</t>
  </si>
  <si>
    <t>Hive Metastore (1 mysql instance with Multi-AZ support with 500GB of storage). Instance type db.m5.2xlarge</t>
  </si>
  <si>
    <t>1000 Reads/sec and 1000 writes/sec</t>
  </si>
  <si>
    <t>For data ingest and/or data curation. This is optional cost</t>
  </si>
  <si>
    <t>2 VPN Connections and 3 NAT Gateways</t>
  </si>
  <si>
    <t>50 AWS resources, 10 custom metrics per resource, 10 alarms per resource,  10GB logs ingested, 10 GB archived logs</t>
  </si>
  <si>
    <t>Miscellaneous Costs</t>
  </si>
  <si>
    <t>2 AD Instances (t2.medium), 1 ADFS instance (t2.medium), 1 Apache Guacamole Instance (m5.4xlarge), 1 File Gateway servers (m5.2xlarge)</t>
  </si>
  <si>
    <t>VPN Software</t>
  </si>
  <si>
    <t>Instance cost ($80/month for m4.large) and License cost ($250/month but paid annually)</t>
  </si>
  <si>
    <t>Medium Project Requirements (AWS-Costs)</t>
  </si>
  <si>
    <t>Hive Metastore (1 mysql instance with Multi-AZ support with 500GB of storage). Instance type db.m3.medium</t>
  </si>
  <si>
    <t>For data ingest and/or data curation. This is optional cost.</t>
  </si>
  <si>
    <t>1 VPN Connections and 2 NAT Gateways</t>
  </si>
  <si>
    <t>25 AWS resources, 10 custom metrics per resource, 10 alarms per resource,  5GB logs ingested, 5 GB archived logs</t>
  </si>
  <si>
    <t>2 AD Instances (t2.medium), 1 ADFS instance (t2.medium), 1 Apache Guacamole Instance (m5.2xlarge), 1 File Gateway servers (m5.2xlarge)</t>
  </si>
  <si>
    <t>VPN Costs</t>
  </si>
  <si>
    <t>3 nodes of m5.large, running 15 hours a day</t>
  </si>
  <si>
    <t>Hive Metastore (1 mysql instance with 200GB of storage). Instance type db.t2.medium</t>
  </si>
  <si>
    <t>250 Reads/sec and 250 writes/sec</t>
  </si>
  <si>
    <t>10 AWS resources, 5 custom metrics per resource, 5 alarms per resource,  5GB logs ingested</t>
  </si>
  <si>
    <t>1 AD Instances (t2.medium), 1 ADFS instance (t2.medium), 1 Apache Guacamole Instance (m5.large), 1 File Gateway servers (m5.large)</t>
  </si>
  <si>
    <t>Regular User Instances (Major Project AWS-Costs)</t>
  </si>
  <si>
    <t>1TB</t>
  </si>
  <si>
    <t>Analyst Storage/Team Buckets</t>
  </si>
  <si>
    <t>Storage of 1TB and 1 million PUT requests and 20 million GET requests</t>
  </si>
  <si>
    <t>EC2</t>
  </si>
  <si>
    <t>30 Windows instances</t>
  </si>
  <si>
    <t>Workstation Cost</t>
  </si>
  <si>
    <t>30 Windows t2.medium instances running 12 hours a day</t>
  </si>
  <si>
    <t>5 Linux Instances</t>
  </si>
  <si>
    <t>5 linux t2.medium instances running 12 hours a day</t>
  </si>
  <si>
    <t>35 EBS Volumes</t>
  </si>
  <si>
    <t>35 EBS volumes with 250GB capacity for each workstation</t>
  </si>
  <si>
    <t>Power User Instances (Major Project AWS-Costs)</t>
  </si>
  <si>
    <t>10 Windows instances</t>
  </si>
  <si>
    <t>10 Windows r5.2xlarge running for 200 hours a month</t>
  </si>
  <si>
    <t>5 Linux r5.2xlarge running for 100 hours a month</t>
  </si>
  <si>
    <t>15 EBS Volumes</t>
  </si>
  <si>
    <t>15 EBS volumes with 250GB capacity for each workstation</t>
  </si>
  <si>
    <t>Regular User Instances (Medium Project AWS-Costs)</t>
  </si>
  <si>
    <t>500GB</t>
  </si>
  <si>
    <t>Storage of 500GB and 500K PUT requests and 10 million GET requests</t>
  </si>
  <si>
    <t>Power User Instances (Medium Project AWS-Costs)</t>
  </si>
  <si>
    <t>5 Windows instances</t>
  </si>
  <si>
    <t>5Windows r5.2xlarge running for 200 hours a month</t>
  </si>
  <si>
    <t>10 EBS Volumes</t>
  </si>
  <si>
    <t>10 EBS volumes with 250GB capacity for each workstation</t>
  </si>
  <si>
    <t>Regular User Instances (Minor Project AWS-Costs)</t>
  </si>
  <si>
    <t>100GB</t>
  </si>
  <si>
    <t>Storage of 100GB and 100K PUT requests and 1 million GET requests</t>
  </si>
  <si>
    <t>3 Windows instances</t>
  </si>
  <si>
    <t>3 Windows t2.medium instances running 12 hours a day</t>
  </si>
  <si>
    <t>3 Linux Instances</t>
  </si>
  <si>
    <t>2 linux t2.medium instances running 12 hours a day</t>
  </si>
  <si>
    <t>6 EBS Volumes</t>
  </si>
  <si>
    <t>Power User Instances (Minor Project AWS-Costs)</t>
  </si>
  <si>
    <t>2 Windows instances</t>
  </si>
  <si>
    <t>2 Windows r5.2xlarge running for 100 hours a month</t>
  </si>
  <si>
    <t>2 Linux Instances</t>
  </si>
  <si>
    <t>2 Linux r5.2xlarge running for 75 hours a month</t>
  </si>
  <si>
    <t>4 EBS Volumes</t>
  </si>
  <si>
    <t>4EBS volumes with 250GB capacity for each workstation</t>
  </si>
  <si>
    <t>Per User</t>
  </si>
  <si>
    <t>Per Power User</t>
  </si>
  <si>
    <t>Per Regular User</t>
  </si>
  <si>
    <t>Regular</t>
  </si>
  <si>
    <t>Power</t>
  </si>
  <si>
    <t>High</t>
  </si>
  <si>
    <t>Monthly</t>
  </si>
  <si>
    <t>Year 1</t>
  </si>
  <si>
    <t>Year 2</t>
  </si>
  <si>
    <t>Year 3</t>
  </si>
  <si>
    <t>Year 4</t>
  </si>
  <si>
    <t>Year 5</t>
  </si>
  <si>
    <t>TOTAL</t>
  </si>
  <si>
    <t>Edit fields in yellow</t>
  </si>
  <si>
    <t>USDOT Cost Estimator Worksheet</t>
  </si>
  <si>
    <t>Use this worksheet to estimate the overall cost for USDOT to develop, maintain, operate the SDC</t>
  </si>
  <si>
    <t>The costs are provided on an annual basis for 5-years</t>
  </si>
  <si>
    <t>The primary cost driver for the SDC is the number of projects. Modify the cells shaded in yellow to see the variation in costs</t>
  </si>
  <si>
    <t>Enter Project Name</t>
  </si>
  <si>
    <t>Enter Project Description</t>
  </si>
  <si>
    <t>Project Manager Cost Estimator</t>
  </si>
  <si>
    <t>Cloud Consumption Questions</t>
  </si>
  <si>
    <t>Likely Cloud Consumption Category</t>
  </si>
  <si>
    <t>Number of Data Providers</t>
  </si>
  <si>
    <t>&lt;1 TB or Less</t>
  </si>
  <si>
    <t>Overall anticipated size of the dataset</t>
  </si>
  <si>
    <t>Number of users/workstations to be provided</t>
  </si>
  <si>
    <t>30-50 Workstations/Users</t>
  </si>
  <si>
    <t>10-30 Workstations/Users</t>
  </si>
  <si>
    <t>10 Workstations/Users or Less</t>
  </si>
  <si>
    <t>Data Warehousing Needs</t>
  </si>
  <si>
    <t>Need custom datawarehouse solution</t>
  </si>
  <si>
    <t>Need some data warehouse where SQL-type querying is possible</t>
  </si>
  <si>
    <t>No data warehouse needed. Data can remain in S3 buckets</t>
  </si>
  <si>
    <t>Three or more data providers</t>
  </si>
  <si>
    <t>2 data providers</t>
  </si>
  <si>
    <t>1 data provider</t>
  </si>
  <si>
    <t>Computing Requirments for Data Analysis</t>
  </si>
  <si>
    <t>High powered EC2 instances required for computation</t>
  </si>
  <si>
    <t>Some high powered instances required but most are regular EC2 instances</t>
  </si>
  <si>
    <t xml:space="preserve">All instances are regular EC2 </t>
  </si>
  <si>
    <t>Comments</t>
  </si>
  <si>
    <t>Data Ingest Types</t>
  </si>
  <si>
    <t>Many continously provided data streams</t>
  </si>
  <si>
    <t>A few continuous data streams but mostly batch uploads</t>
  </si>
  <si>
    <t>Batch or one-time upload of data only</t>
  </si>
  <si>
    <t>Data Curation Needs</t>
  </si>
  <si>
    <t xml:space="preserve"> Data needs to be heavily curated and persisted to be usable</t>
  </si>
  <si>
    <t>Data needs to be lightly curated to be usable</t>
  </si>
  <si>
    <t>Data needs to be untouched</t>
  </si>
  <si>
    <t>Data Protection Needs</t>
  </si>
  <si>
    <t>High degree of protection and assurance at sub-dataset level required</t>
  </si>
  <si>
    <t>Data protection at the complete dataset level only</t>
  </si>
  <si>
    <t>Policy/acceptable use criteria are sufficient for data protection</t>
  </si>
  <si>
    <t>Significant use of licensed non-open source tools are necessary</t>
  </si>
  <si>
    <t>Some licensed tools but mostly open-source tools</t>
  </si>
  <si>
    <t>Common open-source tools only</t>
  </si>
  <si>
    <t>Need for Data Analysis Tools</t>
  </si>
  <si>
    <t>Data Warehousing Needs (from previous section)</t>
  </si>
  <si>
    <t xml:space="preserve">Enablement </t>
  </si>
  <si>
    <t>Data Analyst Expertise</t>
  </si>
  <si>
    <t>Majority of users have low level of expertise in cloud environments</t>
  </si>
  <si>
    <t>Some users have experience in cloud environments</t>
  </si>
  <si>
    <t>Expert users with familiarity with conducting analysis in cloud environments</t>
  </si>
  <si>
    <t>Project costs are estimated based on responses to questions about each cost category</t>
  </si>
  <si>
    <t>User costs are estimated based on responses to questions about each cost category</t>
  </si>
  <si>
    <t>Significant variations and insufficient documentation at the data provider level</t>
  </si>
  <si>
    <t xml:space="preserve">Some data documentation is available </t>
  </si>
  <si>
    <t>Excellent documentation and limited variation between data providers</t>
  </si>
  <si>
    <t>Prep Work for Analysis</t>
  </si>
  <si>
    <t>Need SDC team to develop tools/scripts to use the data</t>
  </si>
  <si>
    <t>Some prep work needed but analysts will do the bulk of the work</t>
  </si>
  <si>
    <t>Analysts are capable of prepping data for analysis on their own</t>
  </si>
  <si>
    <t>Data Quality and Data Discovery Work</t>
  </si>
  <si>
    <t>Business analysis of data providers for data ingest</t>
  </si>
  <si>
    <t>Need SDC team to lead the assessment of data quality and enable data discovery</t>
  </si>
  <si>
    <t>Need SDC team support to assess data quality</t>
  </si>
  <si>
    <t>Analysts will do their own data quality and data discovery assessment</t>
  </si>
  <si>
    <t>Daily Support Needs</t>
  </si>
  <si>
    <t xml:space="preserve">Require high levels of IT support and trouble shooting support </t>
  </si>
  <si>
    <t>Minimal support needed for IT activities</t>
  </si>
  <si>
    <t xml:space="preserve">Some infrequent support needed </t>
  </si>
  <si>
    <t>Analyst Cost Estimator</t>
  </si>
  <si>
    <t>Check option (pick only one)</t>
  </si>
  <si>
    <t>Use this worksheet to determine costs for adding a project to the SDC. The cost of adding a project in the SDC is dependent on multiple factors. Please respond to the following questions to determine how your project compares to our cost categories of cloud, IT services and enablement.  Modify the cells shaded in yellow</t>
  </si>
  <si>
    <t>Use this worksheet to determine the cloud consumption costs of an analyst to the SDC.  This worksheet is to determine how much impact the number of users has on a project. Note that services like IT and enablement are captured at the project level.  To get an estimate of the cloud consumption costs for a user, please enter information in the following cell</t>
  </si>
  <si>
    <t>User:</t>
  </si>
  <si>
    <t>Project:</t>
  </si>
  <si>
    <t>TOTAL MONTHLY CLOUD CONSUMPTION COST</t>
  </si>
  <si>
    <t>TOTAL ANNUAL CLOUD CONSUMPTION COST</t>
  </si>
  <si>
    <t>1 TB or More</t>
  </si>
  <si>
    <t>100-500 GB</t>
  </si>
  <si>
    <t>100 GB or less</t>
  </si>
  <si>
    <t>What are your computing requirements?</t>
  </si>
  <si>
    <t>How much storage do you need for your data and code?</t>
  </si>
  <si>
    <t>What is your intensity of analysis?</t>
  </si>
  <si>
    <t>Short analysis timeframe (weeks), some multi-day analyses runs but  individual analyses are expected to take 12 hours/day or less</t>
  </si>
  <si>
    <t>Analysis time frame is long0term (months)  and individual analyses may take multiple days</t>
  </si>
  <si>
    <t>Most analyses are expected to take under 12 hours and the entire project anlaysis is expected to last only a few days</t>
  </si>
  <si>
    <t>For Setup and Defintions</t>
  </si>
  <si>
    <t xml:space="preserve">Use this sheet to establish various assumptions and levels of support. These assumptions will drive the cost </t>
  </si>
  <si>
    <t>Set-Up Page</t>
  </si>
  <si>
    <t>Workforce Costs</t>
  </si>
  <si>
    <t>Definition</t>
  </si>
  <si>
    <t>Person(s) incharge of the IT development activity for SDC. Typical functions include cloud architectures, service set-up, database maintenance, IT support</t>
  </si>
  <si>
    <t>Hourly Rate</t>
  </si>
  <si>
    <t>Enabler</t>
  </si>
  <si>
    <t>Person(s) incharge of supporting new projects, SDC platform outreach. Typical functions include program management, outreach, user and project discovery, solutioning of data ingest, curation architectures</t>
  </si>
  <si>
    <t xml:space="preserve">IT Developer </t>
  </si>
  <si>
    <t xml:space="preserve">Medium </t>
  </si>
  <si>
    <t>FTE-Equivalent</t>
  </si>
  <si>
    <t>Project Set-Up</t>
  </si>
  <si>
    <t>Project Level of IT Support Services</t>
  </si>
  <si>
    <t>Project Level Enablement Support</t>
  </si>
  <si>
    <t xml:space="preserve">Each project requires enablement support to onboard users and liaise with the data providers. Use the following colums to specify the level of support needed by project. </t>
  </si>
  <si>
    <t>Platform Level of IT Support Services</t>
  </si>
  <si>
    <t xml:space="preserve">Significant resources to set up new project. </t>
  </si>
  <si>
    <t>Medium level of IT resources to set up new project</t>
  </si>
  <si>
    <t xml:space="preserve">Low level of resources required to set up new project. </t>
  </si>
  <si>
    <t>Almost daily support needed</t>
  </si>
  <si>
    <t>Infrequent support needed</t>
  </si>
  <si>
    <t>Support rarely needed</t>
  </si>
  <si>
    <t>Use the information below to set up the basic assumptions of the SDC. Input cells are shaded yellow and loaded with defaults</t>
  </si>
  <si>
    <t xml:space="preserve">Person-hours/FTEs involved in the development, set-up, maintenance costs associated with the SDC platform as well as for projects.  Resources in this cost category are necessary to set-up services, provide administrative services,  troubleshoot users and projects, monitor performance and overall support. Use the following colums to specify the level of support needed by project. </t>
  </si>
  <si>
    <t xml:space="preserve">The SDC Plaftfrom requires its own IT support to set-up and then to support ongoing analysis. Use the following colums to specify the level of support needed for the platform indpendent of the projects it supports </t>
  </si>
  <si>
    <t xml:space="preserve">The SDC Plaftfrom requires its own enablement to support the implementation of the strategy of the platform. Use the following colums to specify the level of support needed for the platform indpendent of the projects it supports </t>
  </si>
  <si>
    <t>Project Categorization</t>
  </si>
  <si>
    <t>Set-Up</t>
  </si>
  <si>
    <t>IT</t>
  </si>
  <si>
    <t xml:space="preserve">Monthly </t>
  </si>
  <si>
    <t xml:space="preserve">IT </t>
  </si>
  <si>
    <t>Cloud consumption cost drivers</t>
  </si>
  <si>
    <t>Average storage requirement per month</t>
  </si>
  <si>
    <t>Total users in project</t>
  </si>
  <si>
    <t>Data warehousing needs</t>
  </si>
  <si>
    <r>
      <t xml:space="preserve">Average storage that is required in terms of S3 per month during the project duration. Note that this is a high level estimate. Storage costs may vary per month if the project includes a slow increase in costs versus if all the data loaded is stored at the onset of the project. </t>
    </r>
    <r>
      <rPr>
        <b/>
        <sz val="11"/>
        <color theme="1"/>
        <rFont val="Calibri"/>
        <family val="2"/>
        <scheme val="minor"/>
      </rPr>
      <t xml:space="preserve">Expressed in Terrabytes. </t>
    </r>
  </si>
  <si>
    <t>models included in the other worksheets. Default assumptions are included in the worksheet</t>
  </si>
  <si>
    <t>Duration (months)</t>
  </si>
  <si>
    <t>Already set-up</t>
  </si>
  <si>
    <t>Pull Requests</t>
  </si>
  <si>
    <t>Significant hand-holding needed by the SDC team to support project set-up and analysis</t>
  </si>
  <si>
    <t xml:space="preserve">Some hand-holding needed by the SDC team </t>
  </si>
  <si>
    <t>Very little handholding required for the project except setting up the project and workstations</t>
  </si>
  <si>
    <r>
      <t xml:space="preserve">Level of querying capabilities required in terms of data warehousing. </t>
    </r>
    <r>
      <rPr>
        <b/>
        <sz val="11"/>
        <color theme="1"/>
        <rFont val="Calibri"/>
        <family val="2"/>
        <scheme val="minor"/>
      </rPr>
      <t>Expressed in nodes of DW capability needed and storage</t>
    </r>
  </si>
  <si>
    <t>Nodes</t>
  </si>
  <si>
    <t>Number of Nodes</t>
  </si>
  <si>
    <t>Put Requests</t>
  </si>
  <si>
    <t>Average Number of Requests that put information into S3 in a month (PUT, COPY, POST, LIST)</t>
  </si>
  <si>
    <t xml:space="preserve">Average Number of Requests that get data from S3 in a month (GET, SELECT and other requests) </t>
  </si>
  <si>
    <t>Number of Requests in Millions</t>
  </si>
  <si>
    <t>Expressed as number of users for Linux</t>
  </si>
  <si>
    <t>Number of users for Windows</t>
  </si>
  <si>
    <t>Number of users for Linux</t>
  </si>
  <si>
    <t>%</t>
  </si>
  <si>
    <t>Percent of Power Users who are expected to make heavy use of the sytsem and might require different computational requirements</t>
  </si>
  <si>
    <t>Total number of workstations provided to users/analysts as part of the project. Expressed as number of users for Windows</t>
  </si>
  <si>
    <t>Cloud consumption costs per project are accumulated monthly.  Consumption costs are categorized into three levels based on specific cost drivers. In addition to these costs, there are other costs like VPNs, Active Directory, Cloud monitoring services and remote desktop capabilities that will be added at a project or platform level</t>
  </si>
  <si>
    <t>Storage per node in GB</t>
  </si>
  <si>
    <t>Sophos or similar</t>
  </si>
  <si>
    <t>Total Annual Costs</t>
  </si>
  <si>
    <t>Platform Administration Cloud Costs</t>
  </si>
  <si>
    <t>Total Monthly Costs</t>
  </si>
  <si>
    <t>Cost Item</t>
  </si>
  <si>
    <t>Unit Cost</t>
  </si>
  <si>
    <t>Monthly IT Support Level Desired</t>
  </si>
  <si>
    <t>Monthly Enablement Level Desired</t>
  </si>
  <si>
    <t>Significant resources to manage SDC implementation</t>
  </si>
  <si>
    <t>Medium level of IT resources to manage SDC platform</t>
  </si>
  <si>
    <t>Low level of resources required for SDC platform</t>
  </si>
  <si>
    <t>See link</t>
  </si>
  <si>
    <t>Custom</t>
  </si>
  <si>
    <t>Enablement Services</t>
  </si>
  <si>
    <t>Platform Costs Per Year</t>
  </si>
  <si>
    <t>Total Projects in SDC</t>
  </si>
  <si>
    <t>Total</t>
  </si>
  <si>
    <t>Project Set-Up Costs</t>
  </si>
  <si>
    <t>Project Recurring Costs (Monthly costs reported annually)</t>
  </si>
  <si>
    <t>Recurring annual costs</t>
  </si>
  <si>
    <t>TOTAL Project-Related Cost</t>
  </si>
  <si>
    <t>Y1</t>
  </si>
  <si>
    <t>Y2</t>
  </si>
  <si>
    <t>Y3</t>
  </si>
  <si>
    <t>Y4</t>
  </si>
  <si>
    <t>Y5</t>
  </si>
  <si>
    <t>Add custom levels for a project</t>
  </si>
  <si>
    <t>When are the projects coming on board? Add 1 per project in a year they come on board</t>
  </si>
  <si>
    <t>Cloud Consumption Costs (Optional)</t>
  </si>
  <si>
    <t>Cloud Consumption Costs (Mandatory)</t>
  </si>
  <si>
    <t>Overall Costs - Click the + sign on the left of the screen to expand rows</t>
  </si>
  <si>
    <t>TOTAL System Cost (LOW)</t>
  </si>
  <si>
    <t>TOTAL (LOW)</t>
  </si>
  <si>
    <t>TOTAL (HIGH)</t>
  </si>
  <si>
    <t>Units</t>
  </si>
  <si>
    <t>Edit fields shaded in yellow for information for the SDC Plafform</t>
  </si>
  <si>
    <t>Change levels if necessary or use defaults selected</t>
  </si>
  <si>
    <t>50 TB or more</t>
  </si>
  <si>
    <t>10-50TB</t>
  </si>
  <si>
    <t>Project Period of Performance (In Fraction of years, 0.25, 0.5, 1, 2, or more)</t>
  </si>
  <si>
    <t>Use this version to answer high-level questions to provide an estimate.</t>
  </si>
  <si>
    <t>Use this version if you have specific information about the project to get a more refined estimate</t>
  </si>
  <si>
    <t>Option 1 -  High-Level Estimate (Click on the plus sign to the left)</t>
  </si>
  <si>
    <t>Option 2 - Detailed Estimate (Click on the plus sign on the left)</t>
  </si>
  <si>
    <t>Key Assumptions</t>
  </si>
  <si>
    <t>1.  Projects in the SDC Platfom continue from inception throughout the five year period</t>
  </si>
  <si>
    <t>2. Cloud consumption costs include user costs based on the definitions included in the set-up</t>
  </si>
  <si>
    <t>Category</t>
  </si>
  <si>
    <t>Driver</t>
  </si>
  <si>
    <t>3. To change cost considerations in this worksheet, please edit the assumptions on the set-up+definitions page</t>
  </si>
  <si>
    <t>RESULTS</t>
  </si>
  <si>
    <t>Set-Up Costs</t>
  </si>
  <si>
    <t>Monthly Costs</t>
  </si>
  <si>
    <t>Based on the responses to the questions,  your project is falls into the following cost categories</t>
  </si>
  <si>
    <t>Project Costs</t>
  </si>
  <si>
    <t>Project (One-Time)</t>
  </si>
  <si>
    <t>Project (Monthly)</t>
  </si>
  <si>
    <t>Project (For Analysis Period)</t>
  </si>
  <si>
    <t>Cloud Consumption Cost Breakdown for Project</t>
  </si>
  <si>
    <t>Monthy Cost</t>
  </si>
  <si>
    <t>Project Cost</t>
  </si>
  <si>
    <t>Curation Costs</t>
  </si>
  <si>
    <t>Analysis Costs</t>
  </si>
  <si>
    <t>Cloud Consumption (Mandatory)</t>
  </si>
  <si>
    <t>Cloud Consumption (Optional)</t>
  </si>
  <si>
    <t>Project Cost Estimate</t>
  </si>
  <si>
    <r>
      <t xml:space="preserve">Average Number of Requests that put information into S3 in a month (PUT, COPY, POST, LIST). </t>
    </r>
    <r>
      <rPr>
        <b/>
        <sz val="11"/>
        <color rgb="FF000000"/>
        <rFont val="Calibri"/>
        <family val="2"/>
      </rPr>
      <t>Expressed in Number of Requests in Millions</t>
    </r>
  </si>
  <si>
    <t>Average Number of Requests that get data from S3 in a month (GET, SELECT and other requests). Expressed in Number of Requests in Millions</t>
  </si>
  <si>
    <r>
      <t xml:space="preserve">Level of querying capabilities required in terms of data warehousing. </t>
    </r>
    <r>
      <rPr>
        <b/>
        <sz val="11"/>
        <color theme="1"/>
        <rFont val="Calibri"/>
        <family val="2"/>
        <scheme val="minor"/>
      </rPr>
      <t>Expressed in nodes of DW capability needed and storage in GB</t>
    </r>
  </si>
  <si>
    <t>Project One-Time</t>
  </si>
  <si>
    <t>Project Monthly</t>
  </si>
  <si>
    <t>Project Costs (Analysis Period)</t>
  </si>
  <si>
    <t>Based on the input provided,  your project cost categories are follows</t>
  </si>
  <si>
    <t>Curation</t>
  </si>
  <si>
    <t>Put Request</t>
  </si>
  <si>
    <t>Data Warehouse Costs</t>
  </si>
  <si>
    <t>Lambda Costs</t>
  </si>
  <si>
    <t>Misc Costs</t>
  </si>
  <si>
    <t>Other</t>
  </si>
  <si>
    <t>Optional Costs</t>
  </si>
  <si>
    <t>VPCs</t>
  </si>
  <si>
    <t>VPNs</t>
  </si>
  <si>
    <t>Project Cloud consumption cost drivers</t>
  </si>
  <si>
    <t>Next 450 TB/month</t>
  </si>
  <si>
    <t xml:space="preserve">4. Cost assumptions are based on on-demand pricing for general users made available by AWS.  </t>
  </si>
  <si>
    <t>Limit to 450 TB</t>
  </si>
  <si>
    <t>Get Requests</t>
  </si>
  <si>
    <t>Average Number of Requests that put information into S3 in a month (PUT, COPY, POST, LIST). Expressed in millions</t>
  </si>
  <si>
    <t xml:space="preserve">Average Number of Requests that get data from S3 in a month (GET, SELECT and other requests). Expressed in millions </t>
  </si>
  <si>
    <t>EBS Volume</t>
  </si>
  <si>
    <t>per volume/250 GB</t>
  </si>
  <si>
    <t>S3 Team Buckets</t>
  </si>
  <si>
    <t>Windows</t>
  </si>
  <si>
    <t>Linux</t>
  </si>
  <si>
    <t>User Work Station Cost Breakdown</t>
  </si>
  <si>
    <t>Window  Regular</t>
  </si>
  <si>
    <t>Windows Power</t>
  </si>
  <si>
    <t>Linux Regular</t>
  </si>
  <si>
    <t>Linux Power</t>
  </si>
  <si>
    <t>Cost of Breakdown</t>
  </si>
  <si>
    <t>S3 (1 TB, 1 M, 20M )</t>
  </si>
  <si>
    <t>15 hours/day</t>
  </si>
  <si>
    <t>ds1.large</t>
  </si>
  <si>
    <t>2TB Node</t>
  </si>
  <si>
    <t>0.16 TB</t>
  </si>
  <si>
    <t>Cost</t>
  </si>
  <si>
    <t>Costs</t>
  </si>
  <si>
    <t>)</t>
  </si>
  <si>
    <t>Project Monthly Costs</t>
  </si>
  <si>
    <t>5. IT and Enablement Rate is assumed to be static over the five years. Ie. No annual escalation in labor rates</t>
  </si>
  <si>
    <t>Do not make changes on this sheet unless changing unit costs</t>
  </si>
  <si>
    <t>Input cells</t>
  </si>
  <si>
    <t>Analysis</t>
  </si>
  <si>
    <t xml:space="preserve">Other </t>
  </si>
  <si>
    <t>Other Costs</t>
  </si>
  <si>
    <t>Detailed Project Cost Estimate</t>
  </si>
  <si>
    <r>
      <t xml:space="preserve">Number of windows workstations provided to users/analysts as part of the project. </t>
    </r>
    <r>
      <rPr>
        <b/>
        <sz val="11"/>
        <color theme="1"/>
        <rFont val="Calibri"/>
        <family val="2"/>
        <scheme val="minor"/>
      </rPr>
      <t>Expressed as number of users for Windows</t>
    </r>
  </si>
  <si>
    <t>Cost Per Project</t>
  </si>
  <si>
    <t>Minimum</t>
  </si>
  <si>
    <t>Maximum</t>
  </si>
  <si>
    <t>Delete optional costs if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</si>
</sst>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4" formatCode="_(&quot;$&quot;* #,##0.00_);_(&quot;$&quot;* \(#,##0.00\);_(&quot;$&quot;* &quot;-&quot;??_);_(@_)"/>
    <numFmt numFmtId="164" formatCode="&quot;$&quot;#,##0"/>
    <numFmt numFmtId="165" formatCode="_(&quot;$&quot;* #,##0_);_(&quot;$&quot;* \(#,##0\);_(&quot;$&quot;* &quot;-&quot;??_);_(@_)"/>
    <numFmt numFmtId="166" formatCode="&quot;$&quot;#,##0.000_);[Red]\(&quot;$&quot;#,##0.000\)"/>
    <numFmt numFmtId="167" formatCode="_(&quot;$&quot;* #,##0.000_);_(&quot;$&quot;* \(#,##0.000\);_(&quot;$&quot;* &quot;-&quot;??_);_(@_)"/>
  </numFmts>
  <fonts count="27" x14ac:knownFonts="1">
    <font>
      <sz val="11"/>
      <color theme="1"/>
      <name val="Calibri"/>
      <family val="2"/>
      <scheme val="minor"/>
    </font>
    <font>
      <sz val="11"/>
      <color theme="1"/>
      <name val="Calibri"/>
      <family val="2"/>
      <scheme val="minor"/>
    </font>
    <font>
      <sz val="11"/>
      <color rgb="FF000000"/>
      <name val="Calibri"/>
      <family val="2"/>
    </font>
    <font>
      <u/>
      <sz val="11"/>
      <color theme="10"/>
      <name val="Calibri"/>
      <family val="2"/>
      <scheme val="minor"/>
    </font>
    <font>
      <sz val="11"/>
      <color theme="8" tint="-0.249977111117893"/>
      <name val="Calibri"/>
      <family val="2"/>
      <scheme val="minor"/>
    </font>
    <font>
      <sz val="28"/>
      <color theme="8" tint="-0.249977111117893"/>
      <name val="Calibri"/>
      <family val="2"/>
      <scheme val="minor"/>
    </font>
    <font>
      <sz val="24"/>
      <color theme="8" tint="-0.249977111117893"/>
      <name val="Calibri"/>
      <family val="2"/>
      <scheme val="minor"/>
    </font>
    <font>
      <sz val="11"/>
      <color rgb="FF000000"/>
      <name val="Calibri"/>
      <family val="2"/>
    </font>
    <font>
      <b/>
      <sz val="11"/>
      <color rgb="FF000000"/>
      <name val="Calibri"/>
      <family val="2"/>
    </font>
    <font>
      <sz val="11"/>
      <name val="Calibri"/>
      <family val="2"/>
    </font>
    <font>
      <b/>
      <sz val="11"/>
      <color theme="1"/>
      <name val="Calibri"/>
      <family val="2"/>
    </font>
    <font>
      <b/>
      <sz val="11"/>
      <color theme="0"/>
      <name val="Calibri"/>
      <family val="2"/>
    </font>
    <font>
      <sz val="24"/>
      <color theme="1"/>
      <name val="Calibri"/>
      <family val="2"/>
      <scheme val="minor"/>
    </font>
    <font>
      <sz val="16"/>
      <color theme="1"/>
      <name val="Calibri"/>
      <family val="2"/>
      <scheme val="minor"/>
    </font>
    <font>
      <sz val="16"/>
      <name val="Calibri"/>
      <family val="2"/>
      <scheme val="minor"/>
    </font>
    <font>
      <b/>
      <sz val="24"/>
      <color rgb="FF000000"/>
      <name val="Calibri"/>
      <family val="2"/>
    </font>
    <font>
      <b/>
      <sz val="11"/>
      <color theme="1"/>
      <name val="Calibri"/>
      <family val="2"/>
      <scheme val="minor"/>
    </font>
    <font>
      <sz val="11"/>
      <color theme="1"/>
      <name val="Calibri"/>
      <family val="2"/>
    </font>
    <font>
      <b/>
      <sz val="11"/>
      <color rgb="FF000000"/>
      <name val="Calibri"/>
      <family val="2"/>
    </font>
    <font>
      <b/>
      <sz val="11"/>
      <color rgb="FFFF0000"/>
      <name val="Calibri"/>
      <family val="2"/>
    </font>
    <font>
      <b/>
      <sz val="11"/>
      <color theme="0"/>
      <name val="Calibri"/>
      <family val="2"/>
      <scheme val="minor"/>
    </font>
    <font>
      <b/>
      <sz val="11"/>
      <name val="Calibri"/>
      <family val="2"/>
      <scheme val="minor"/>
    </font>
    <font>
      <sz val="11"/>
      <name val="Calibri"/>
      <family val="2"/>
    </font>
    <font>
      <sz val="24"/>
      <name val="Calibri"/>
      <family val="2"/>
    </font>
    <font>
      <sz val="11"/>
      <color theme="6" tint="-0.249977111117893"/>
      <name val="Calibri"/>
      <family val="2"/>
    </font>
    <font>
      <sz val="11"/>
      <color theme="6" tint="-0.249977111117893"/>
      <name val="Calibri"/>
      <family val="2"/>
      <scheme val="minor"/>
    </font>
    <font>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1"/>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rgb="FF000000"/>
      </bottom>
      <diagonal/>
    </border>
  </borders>
  <cellStyleXfs count="5">
    <xf numFmtId="0" fontId="0" fillId="0" borderId="0"/>
    <xf numFmtId="44" fontId="1" fillId="0" borderId="0" applyFont="0" applyFill="0" applyBorder="0" applyAlignment="0" applyProtection="0"/>
    <xf numFmtId="0" fontId="2" fillId="0" borderId="0"/>
    <xf numFmtId="0" fontId="3" fillId="0" borderId="0" applyNumberFormat="0" applyFill="0" applyBorder="0" applyAlignment="0" applyProtection="0"/>
    <xf numFmtId="0" fontId="7" fillId="0" borderId="0"/>
  </cellStyleXfs>
  <cellXfs count="287">
    <xf numFmtId="0" fontId="0" fillId="0" borderId="0" xfId="0"/>
    <xf numFmtId="0" fontId="0" fillId="0" borderId="0" xfId="0" applyAlignment="1"/>
    <xf numFmtId="0" fontId="0" fillId="2" borderId="0" xfId="0" applyFill="1"/>
    <xf numFmtId="0" fontId="0" fillId="4" borderId="0" xfId="0" applyFill="1"/>
    <xf numFmtId="0" fontId="0" fillId="0" borderId="3" xfId="0" applyBorder="1"/>
    <xf numFmtId="0" fontId="0" fillId="0" borderId="3" xfId="0" applyBorder="1" applyAlignment="1">
      <alignment wrapText="1"/>
    </xf>
    <xf numFmtId="0" fontId="0" fillId="7" borderId="3" xfId="0" applyFill="1" applyBorder="1" applyAlignment="1">
      <alignment wrapText="1"/>
    </xf>
    <xf numFmtId="0" fontId="0" fillId="7" borderId="3" xfId="0" applyFill="1" applyBorder="1"/>
    <xf numFmtId="0" fontId="0" fillId="0" borderId="0" xfId="0" applyBorder="1"/>
    <xf numFmtId="0" fontId="4" fillId="4" borderId="0" xfId="0" applyFont="1" applyFill="1" applyBorder="1"/>
    <xf numFmtId="0" fontId="4" fillId="0" borderId="0" xfId="0" applyFont="1" applyFill="1" applyBorder="1"/>
    <xf numFmtId="0" fontId="5" fillId="4" borderId="0" xfId="0" applyFont="1" applyFill="1" applyBorder="1"/>
    <xf numFmtId="0" fontId="4" fillId="4" borderId="0" xfId="0" applyFont="1" applyFill="1" applyBorder="1" applyAlignment="1">
      <alignment horizontal="left"/>
    </xf>
    <xf numFmtId="0" fontId="6" fillId="4" borderId="0" xfId="0" applyFont="1" applyFill="1" applyBorder="1" applyAlignment="1">
      <alignment horizontal="left"/>
    </xf>
    <xf numFmtId="0" fontId="0" fillId="4" borderId="0" xfId="0" applyFill="1" applyAlignment="1">
      <alignment horizontal="left"/>
    </xf>
    <xf numFmtId="0" fontId="0" fillId="11" borderId="0" xfId="0" applyFill="1"/>
    <xf numFmtId="0" fontId="3" fillId="4" borderId="0" xfId="3" applyFill="1" applyBorder="1"/>
    <xf numFmtId="0" fontId="7" fillId="0" borderId="0" xfId="4" applyFont="1" applyAlignment="1"/>
    <xf numFmtId="0" fontId="9" fillId="0" borderId="0" xfId="4" applyFont="1" applyAlignment="1">
      <alignment vertical="top" wrapText="1"/>
    </xf>
    <xf numFmtId="0" fontId="9" fillId="0" borderId="0" xfId="4" applyFont="1" applyAlignment="1">
      <alignment vertical="top"/>
    </xf>
    <xf numFmtId="0" fontId="7" fillId="0" borderId="1" xfId="4" applyFont="1" applyBorder="1" applyAlignment="1">
      <alignment vertical="top" wrapText="1"/>
    </xf>
    <xf numFmtId="0" fontId="7" fillId="0" borderId="1" xfId="4" applyFont="1" applyBorder="1" applyAlignment="1">
      <alignment vertical="top"/>
    </xf>
    <xf numFmtId="0" fontId="7" fillId="0" borderId="6" xfId="4" applyFont="1" applyBorder="1" applyAlignment="1">
      <alignment vertical="top"/>
    </xf>
    <xf numFmtId="0" fontId="7" fillId="0" borderId="3" xfId="4" applyFont="1" applyBorder="1" applyAlignment="1">
      <alignment vertical="top"/>
    </xf>
    <xf numFmtId="0" fontId="8" fillId="0" borderId="3" xfId="4" applyFont="1" applyBorder="1" applyAlignment="1">
      <alignment vertical="top"/>
    </xf>
    <xf numFmtId="0" fontId="9" fillId="0" borderId="3" xfId="4" applyFont="1" applyBorder="1" applyAlignment="1">
      <alignment vertical="top"/>
    </xf>
    <xf numFmtId="164" fontId="7" fillId="0" borderId="3" xfId="4" applyNumberFormat="1" applyFont="1" applyBorder="1" applyAlignment="1">
      <alignment vertical="top"/>
    </xf>
    <xf numFmtId="6" fontId="7" fillId="0" borderId="3" xfId="4" applyNumberFormat="1" applyFont="1" applyBorder="1" applyAlignment="1">
      <alignment vertical="top"/>
    </xf>
    <xf numFmtId="0" fontId="7" fillId="7" borderId="7" xfId="4" applyFont="1" applyFill="1" applyBorder="1" applyAlignment="1">
      <alignment vertical="top"/>
    </xf>
    <xf numFmtId="0" fontId="7" fillId="7" borderId="8" xfId="4" applyFont="1" applyFill="1" applyBorder="1" applyAlignment="1">
      <alignment vertical="top"/>
    </xf>
    <xf numFmtId="0" fontId="7" fillId="7" borderId="9" xfId="4" applyFont="1" applyFill="1" applyBorder="1" applyAlignment="1">
      <alignment vertical="top"/>
    </xf>
    <xf numFmtId="0" fontId="7" fillId="0" borderId="10" xfId="4" applyFont="1" applyBorder="1" applyAlignment="1">
      <alignment vertical="top"/>
    </xf>
    <xf numFmtId="0" fontId="7" fillId="0" borderId="11" xfId="4" applyFont="1" applyBorder="1" applyAlignment="1">
      <alignment vertical="top"/>
    </xf>
    <xf numFmtId="0" fontId="8" fillId="0" borderId="10" xfId="4" applyFont="1" applyBorder="1" applyAlignment="1">
      <alignment vertical="top"/>
    </xf>
    <xf numFmtId="0" fontId="8" fillId="0" borderId="11" xfId="4" applyFont="1" applyBorder="1" applyAlignment="1">
      <alignment vertical="top"/>
    </xf>
    <xf numFmtId="0" fontId="9" fillId="0" borderId="11" xfId="4" applyFont="1" applyBorder="1" applyAlignment="1">
      <alignment vertical="top"/>
    </xf>
    <xf numFmtId="6" fontId="7" fillId="0" borderId="11" xfId="4" applyNumberFormat="1" applyFont="1" applyBorder="1" applyAlignment="1">
      <alignment vertical="top"/>
    </xf>
    <xf numFmtId="0" fontId="9" fillId="0" borderId="10" xfId="4" applyFont="1" applyBorder="1" applyAlignment="1">
      <alignment vertical="top"/>
    </xf>
    <xf numFmtId="0" fontId="9" fillId="0" borderId="12" xfId="4" applyFont="1" applyBorder="1" applyAlignment="1">
      <alignment vertical="top"/>
    </xf>
    <xf numFmtId="0" fontId="9" fillId="0" borderId="13" xfId="4" applyFont="1" applyBorder="1" applyAlignment="1">
      <alignment vertical="top"/>
    </xf>
    <xf numFmtId="0" fontId="9" fillId="0" borderId="14" xfId="4" applyFont="1" applyBorder="1" applyAlignment="1">
      <alignment vertical="top"/>
    </xf>
    <xf numFmtId="0" fontId="7" fillId="0" borderId="0" xfId="4" applyFont="1" applyAlignment="1">
      <alignment wrapText="1"/>
    </xf>
    <xf numFmtId="0" fontId="7" fillId="0" borderId="15" xfId="4" applyFont="1" applyBorder="1" applyAlignment="1">
      <alignment vertical="top"/>
    </xf>
    <xf numFmtId="0" fontId="7" fillId="0" borderId="15" xfId="4" applyFont="1" applyBorder="1" applyAlignment="1">
      <alignment vertical="top" wrapText="1"/>
    </xf>
    <xf numFmtId="0" fontId="7" fillId="0" borderId="7" xfId="4" applyFont="1" applyBorder="1" applyAlignment="1">
      <alignment vertical="top"/>
    </xf>
    <xf numFmtId="0" fontId="7" fillId="0" borderId="16" xfId="4" applyFont="1" applyBorder="1" applyAlignment="1">
      <alignment vertical="top"/>
    </xf>
    <xf numFmtId="0" fontId="7" fillId="0" borderId="18" xfId="4" applyFont="1" applyBorder="1" applyAlignment="1">
      <alignment vertical="top"/>
    </xf>
    <xf numFmtId="0" fontId="7" fillId="0" borderId="19" xfId="4" applyFont="1" applyBorder="1" applyAlignment="1">
      <alignment vertical="top" wrapText="1"/>
    </xf>
    <xf numFmtId="0" fontId="7" fillId="0" borderId="20" xfId="4" applyFont="1" applyBorder="1" applyAlignment="1">
      <alignment vertical="top"/>
    </xf>
    <xf numFmtId="0" fontId="7" fillId="0" borderId="21" xfId="4" applyFont="1" applyBorder="1" applyAlignment="1">
      <alignment vertical="top"/>
    </xf>
    <xf numFmtId="0" fontId="7" fillId="0" borderId="22" xfId="4" applyFont="1" applyBorder="1" applyAlignment="1">
      <alignment vertical="top" wrapText="1"/>
    </xf>
    <xf numFmtId="0" fontId="7" fillId="0" borderId="6" xfId="4" applyFont="1" applyBorder="1" applyAlignment="1">
      <alignment vertical="top" wrapText="1"/>
    </xf>
    <xf numFmtId="0" fontId="7" fillId="0" borderId="17" xfId="4" applyFont="1" applyBorder="1" applyAlignment="1">
      <alignment vertical="top" wrapText="1"/>
    </xf>
    <xf numFmtId="0" fontId="9" fillId="0" borderId="23" xfId="4" applyFont="1" applyBorder="1" applyAlignment="1">
      <alignment vertical="top"/>
    </xf>
    <xf numFmtId="0" fontId="9" fillId="0" borderId="24" xfId="4" applyFont="1" applyBorder="1" applyAlignment="1">
      <alignment vertical="top"/>
    </xf>
    <xf numFmtId="0" fontId="10" fillId="5" borderId="7" xfId="4" applyFont="1" applyFill="1" applyBorder="1" applyAlignment="1">
      <alignment vertical="top"/>
    </xf>
    <xf numFmtId="0" fontId="10" fillId="5" borderId="16" xfId="4" applyFont="1" applyFill="1" applyBorder="1" applyAlignment="1">
      <alignment vertical="top"/>
    </xf>
    <xf numFmtId="0" fontId="10" fillId="5" borderId="17" xfId="4" applyFont="1" applyFill="1" applyBorder="1" applyAlignment="1">
      <alignment vertical="top" wrapText="1"/>
    </xf>
    <xf numFmtId="0" fontId="11" fillId="3" borderId="7" xfId="4" applyFont="1" applyFill="1" applyBorder="1" applyAlignment="1">
      <alignment vertical="top"/>
    </xf>
    <xf numFmtId="0" fontId="11" fillId="3" borderId="16" xfId="4" applyFont="1" applyFill="1" applyBorder="1" applyAlignment="1">
      <alignment vertical="top"/>
    </xf>
    <xf numFmtId="0" fontId="11" fillId="3" borderId="17" xfId="4" applyFont="1" applyFill="1" applyBorder="1" applyAlignment="1">
      <alignment vertical="top"/>
    </xf>
    <xf numFmtId="0" fontId="7" fillId="12" borderId="16" xfId="4" applyFont="1" applyFill="1" applyBorder="1" applyAlignment="1">
      <alignment vertical="top"/>
    </xf>
    <xf numFmtId="0" fontId="7" fillId="12" borderId="17" xfId="4" applyFont="1" applyFill="1" applyBorder="1" applyAlignment="1">
      <alignment vertical="top" wrapText="1"/>
    </xf>
    <xf numFmtId="0" fontId="2" fillId="12" borderId="20" xfId="4" applyFont="1" applyFill="1" applyBorder="1" applyAlignment="1">
      <alignment vertical="top"/>
    </xf>
    <xf numFmtId="0" fontId="7" fillId="12" borderId="21" xfId="4" applyFont="1" applyFill="1" applyBorder="1" applyAlignment="1">
      <alignment vertical="top"/>
    </xf>
    <xf numFmtId="0" fontId="2" fillId="12" borderId="1" xfId="4" applyFont="1" applyFill="1" applyBorder="1" applyAlignment="1">
      <alignment vertical="top"/>
    </xf>
    <xf numFmtId="0" fontId="7" fillId="12" borderId="1" xfId="4" applyFont="1" applyFill="1" applyBorder="1" applyAlignment="1">
      <alignment vertical="top"/>
    </xf>
    <xf numFmtId="0" fontId="2" fillId="12" borderId="2" xfId="4" applyFont="1" applyFill="1" applyBorder="1" applyAlignment="1">
      <alignment vertical="top"/>
    </xf>
    <xf numFmtId="0" fontId="0" fillId="12" borderId="0" xfId="0" applyFill="1"/>
    <xf numFmtId="165" fontId="0" fillId="12" borderId="0" xfId="1" applyNumberFormat="1" applyFont="1" applyFill="1"/>
    <xf numFmtId="0" fontId="0" fillId="8" borderId="3" xfId="0" applyFill="1" applyBorder="1"/>
    <xf numFmtId="165" fontId="7" fillId="12" borderId="1" xfId="1" applyNumberFormat="1" applyFont="1" applyFill="1" applyBorder="1" applyAlignment="1">
      <alignment vertical="top"/>
    </xf>
    <xf numFmtId="165" fontId="0" fillId="0" borderId="3" xfId="0" applyNumberFormat="1" applyBorder="1"/>
    <xf numFmtId="0" fontId="0" fillId="10" borderId="3" xfId="0" applyFill="1" applyBorder="1"/>
    <xf numFmtId="165" fontId="0" fillId="0" borderId="3" xfId="1" applyNumberFormat="1" applyFont="1" applyBorder="1"/>
    <xf numFmtId="0" fontId="12" fillId="0" borderId="0" xfId="0" applyFont="1"/>
    <xf numFmtId="0" fontId="0" fillId="11" borderId="0" xfId="0" applyFill="1" applyAlignment="1">
      <alignment horizontal="left"/>
    </xf>
    <xf numFmtId="0" fontId="12" fillId="11" borderId="0" xfId="0" applyFont="1" applyFill="1"/>
    <xf numFmtId="0" fontId="15" fillId="0" borderId="0" xfId="2" applyFont="1" applyAlignment="1"/>
    <xf numFmtId="0" fontId="2" fillId="4" borderId="0" xfId="2" applyFont="1" applyFill="1" applyAlignment="1"/>
    <xf numFmtId="0" fontId="17" fillId="0" borderId="3" xfId="2" applyFont="1" applyBorder="1" applyAlignment="1">
      <alignment horizontal="left" wrapText="1"/>
    </xf>
    <xf numFmtId="0" fontId="0" fillId="14" borderId="3" xfId="0" applyFill="1" applyBorder="1"/>
    <xf numFmtId="0" fontId="0" fillId="14" borderId="3" xfId="0" applyFill="1" applyBorder="1" applyAlignment="1">
      <alignment wrapText="1"/>
    </xf>
    <xf numFmtId="0" fontId="0" fillId="0" borderId="3" xfId="0" applyBorder="1" applyAlignment="1">
      <alignment horizontal="left" indent="3"/>
    </xf>
    <xf numFmtId="0" fontId="2" fillId="0" borderId="3" xfId="2" applyFont="1" applyBorder="1" applyAlignment="1">
      <alignment horizontal="left" indent="3"/>
    </xf>
    <xf numFmtId="0" fontId="18" fillId="14" borderId="3" xfId="2" applyFont="1" applyFill="1" applyBorder="1"/>
    <xf numFmtId="0" fontId="16" fillId="14" borderId="3" xfId="0" applyFont="1" applyFill="1" applyBorder="1" applyAlignment="1">
      <alignment horizontal="left"/>
    </xf>
    <xf numFmtId="0" fontId="16" fillId="14" borderId="3" xfId="0" applyFont="1" applyFill="1" applyBorder="1"/>
    <xf numFmtId="0" fontId="16" fillId="0" borderId="3" xfId="0" applyFont="1" applyBorder="1"/>
    <xf numFmtId="0" fontId="0" fillId="14" borderId="0" xfId="0" applyFill="1"/>
    <xf numFmtId="0" fontId="16" fillId="7" borderId="3" xfId="0" applyFont="1" applyFill="1" applyBorder="1"/>
    <xf numFmtId="0" fontId="0" fillId="0" borderId="26" xfId="0" applyFill="1" applyBorder="1"/>
    <xf numFmtId="0" fontId="17" fillId="0" borderId="0" xfId="2" applyFont="1" applyBorder="1" applyAlignment="1">
      <alignment horizontal="left" wrapText="1"/>
    </xf>
    <xf numFmtId="0" fontId="19" fillId="0" borderId="0" xfId="2" applyFont="1" applyBorder="1" applyAlignment="1">
      <alignment horizontal="left" wrapText="1"/>
    </xf>
    <xf numFmtId="165" fontId="19" fillId="0" borderId="0" xfId="2" applyNumberFormat="1" applyFont="1" applyBorder="1" applyAlignment="1">
      <alignment horizontal="left" wrapText="1"/>
    </xf>
    <xf numFmtId="0" fontId="0" fillId="4" borderId="0" xfId="0" applyFill="1" applyBorder="1" applyAlignment="1">
      <alignment horizontal="center"/>
    </xf>
    <xf numFmtId="44" fontId="7" fillId="12" borderId="21" xfId="1" applyFont="1" applyFill="1" applyBorder="1" applyAlignment="1">
      <alignment vertical="top"/>
    </xf>
    <xf numFmtId="0" fontId="0" fillId="4" borderId="0" xfId="0" applyFill="1" applyBorder="1"/>
    <xf numFmtId="165" fontId="0" fillId="4" borderId="0" xfId="1" applyNumberFormat="1" applyFont="1" applyFill="1" applyBorder="1"/>
    <xf numFmtId="0" fontId="17" fillId="0" borderId="4" xfId="2" applyFont="1" applyBorder="1" applyAlignment="1"/>
    <xf numFmtId="0" fontId="2" fillId="0" borderId="3" xfId="2" applyFont="1" applyBorder="1" applyAlignment="1">
      <alignment horizontal="left" wrapText="1" indent="3"/>
    </xf>
    <xf numFmtId="0" fontId="0" fillId="0" borderId="3" xfId="0" applyBorder="1" applyAlignment="1">
      <alignment horizontal="left" wrapText="1" indent="3"/>
    </xf>
    <xf numFmtId="44" fontId="19" fillId="0" borderId="0" xfId="2" applyNumberFormat="1" applyFont="1" applyBorder="1" applyAlignment="1">
      <alignment horizontal="left" wrapText="1"/>
    </xf>
    <xf numFmtId="0" fontId="0" fillId="0" borderId="0" xfId="0" applyAlignment="1">
      <alignment wrapText="1"/>
    </xf>
    <xf numFmtId="0" fontId="16" fillId="7" borderId="3" xfId="0" applyFont="1" applyFill="1" applyBorder="1" applyAlignment="1">
      <alignment wrapText="1"/>
    </xf>
    <xf numFmtId="0" fontId="15" fillId="0" borderId="0" xfId="2" applyFont="1" applyAlignment="1">
      <alignment wrapText="1"/>
    </xf>
    <xf numFmtId="0" fontId="2" fillId="4" borderId="0" xfId="2" applyFont="1" applyFill="1" applyAlignment="1">
      <alignment wrapText="1"/>
    </xf>
    <xf numFmtId="0" fontId="9" fillId="0" borderId="3" xfId="4" applyFont="1" applyBorder="1" applyAlignment="1"/>
    <xf numFmtId="0" fontId="0" fillId="5" borderId="0" xfId="0" applyFill="1"/>
    <xf numFmtId="0" fontId="0" fillId="5" borderId="3" xfId="0" applyFill="1" applyBorder="1"/>
    <xf numFmtId="0" fontId="0" fillId="0" borderId="3" xfId="0" applyBorder="1" applyAlignment="1">
      <alignment horizontal="left"/>
    </xf>
    <xf numFmtId="0" fontId="0" fillId="0" borderId="0" xfId="0" applyAlignment="1">
      <alignment horizontal="center"/>
    </xf>
    <xf numFmtId="0" fontId="0" fillId="0" borderId="0" xfId="0" applyFill="1" applyBorder="1"/>
    <xf numFmtId="0" fontId="0" fillId="11" borderId="3" xfId="0" applyFill="1" applyBorder="1"/>
    <xf numFmtId="0" fontId="0" fillId="5" borderId="3" xfId="0" applyFill="1" applyBorder="1" applyAlignment="1">
      <alignment wrapText="1"/>
    </xf>
    <xf numFmtId="0" fontId="4" fillId="4" borderId="0" xfId="0" applyFont="1" applyFill="1"/>
    <xf numFmtId="44" fontId="0" fillId="5" borderId="3" xfId="1" applyFont="1" applyFill="1" applyBorder="1"/>
    <xf numFmtId="9" fontId="0" fillId="5" borderId="3" xfId="0" applyNumberFormat="1" applyFill="1" applyBorder="1"/>
    <xf numFmtId="0" fontId="0" fillId="0" borderId="26" xfId="0" applyFill="1" applyBorder="1" applyAlignment="1">
      <alignment wrapText="1"/>
    </xf>
    <xf numFmtId="0" fontId="0" fillId="13" borderId="0" xfId="0" applyFill="1"/>
    <xf numFmtId="0" fontId="7" fillId="0" borderId="10" xfId="4" applyFont="1" applyBorder="1" applyAlignment="1">
      <alignment vertical="top" wrapText="1"/>
    </xf>
    <xf numFmtId="0" fontId="16" fillId="0" borderId="27" xfId="0" applyFont="1" applyBorder="1" applyAlignment="1">
      <alignment wrapText="1"/>
    </xf>
    <xf numFmtId="0" fontId="0" fillId="0" borderId="3" xfId="0" applyFont="1" applyBorder="1" applyAlignment="1">
      <alignment wrapText="1"/>
    </xf>
    <xf numFmtId="0" fontId="0" fillId="0" borderId="27" xfId="0" applyFont="1" applyBorder="1" applyAlignment="1">
      <alignment wrapText="1"/>
    </xf>
    <xf numFmtId="0" fontId="22" fillId="0" borderId="3" xfId="4" applyFont="1" applyBorder="1" applyAlignment="1"/>
    <xf numFmtId="6" fontId="2" fillId="0" borderId="3" xfId="4" applyNumberFormat="1" applyFont="1" applyBorder="1" applyAlignment="1">
      <alignment vertical="top"/>
    </xf>
    <xf numFmtId="44" fontId="0" fillId="0" borderId="0" xfId="1" applyFont="1"/>
    <xf numFmtId="165" fontId="0" fillId="0" borderId="0" xfId="0" applyNumberFormat="1"/>
    <xf numFmtId="0" fontId="2" fillId="0" borderId="3" xfId="4" applyFont="1" applyFill="1" applyBorder="1" applyAlignment="1">
      <alignment vertical="top"/>
    </xf>
    <xf numFmtId="0" fontId="18" fillId="0" borderId="3" xfId="4" applyFont="1" applyBorder="1" applyAlignment="1">
      <alignment vertical="top"/>
    </xf>
    <xf numFmtId="44" fontId="0" fillId="0" borderId="3" xfId="0" applyNumberFormat="1" applyBorder="1"/>
    <xf numFmtId="0" fontId="0" fillId="7" borderId="0" xfId="0" applyFill="1"/>
    <xf numFmtId="0" fontId="0" fillId="7" borderId="0" xfId="0" applyFill="1" applyBorder="1"/>
    <xf numFmtId="0" fontId="3" fillId="0" borderId="0" xfId="3"/>
    <xf numFmtId="0" fontId="0" fillId="15" borderId="3" xfId="0" applyFill="1" applyBorder="1"/>
    <xf numFmtId="0" fontId="0" fillId="4" borderId="3" xfId="0" applyFill="1" applyBorder="1"/>
    <xf numFmtId="0" fontId="3" fillId="0" borderId="3" xfId="3" applyBorder="1"/>
    <xf numFmtId="0" fontId="16" fillId="7" borderId="0" xfId="0" applyFont="1" applyFill="1"/>
    <xf numFmtId="44" fontId="0" fillId="0" borderId="0" xfId="0" applyNumberFormat="1"/>
    <xf numFmtId="0" fontId="0" fillId="0" borderId="3" xfId="0" applyFill="1" applyBorder="1"/>
    <xf numFmtId="0" fontId="0" fillId="0" borderId="3" xfId="0" applyFill="1" applyBorder="1" applyAlignment="1">
      <alignment wrapText="1"/>
    </xf>
    <xf numFmtId="165" fontId="0" fillId="0" borderId="0" xfId="0" applyNumberFormat="1" applyBorder="1"/>
    <xf numFmtId="165" fontId="0" fillId="7" borderId="0" xfId="0" applyNumberFormat="1" applyFill="1" applyBorder="1"/>
    <xf numFmtId="0" fontId="20" fillId="15" borderId="3" xfId="0" applyFont="1" applyFill="1" applyBorder="1"/>
    <xf numFmtId="165" fontId="20" fillId="15" borderId="3" xfId="0" applyNumberFormat="1" applyFont="1" applyFill="1" applyBorder="1"/>
    <xf numFmtId="0" fontId="16" fillId="0" borderId="0" xfId="0" applyFont="1"/>
    <xf numFmtId="0" fontId="20" fillId="15" borderId="26" xfId="0" applyFont="1" applyFill="1" applyBorder="1"/>
    <xf numFmtId="0" fontId="20" fillId="15" borderId="0" xfId="0" applyFont="1" applyFill="1" applyBorder="1"/>
    <xf numFmtId="165" fontId="20" fillId="15" borderId="0" xfId="0" applyNumberFormat="1" applyFont="1" applyFill="1" applyBorder="1"/>
    <xf numFmtId="0" fontId="0" fillId="4" borderId="3" xfId="0" applyFill="1" applyBorder="1" applyAlignment="1">
      <alignment wrapText="1"/>
    </xf>
    <xf numFmtId="0" fontId="17" fillId="7" borderId="0" xfId="2" applyFont="1" applyFill="1" applyBorder="1" applyAlignment="1">
      <alignment horizontal="left" wrapText="1"/>
    </xf>
    <xf numFmtId="0" fontId="0" fillId="7" borderId="0" xfId="0" applyFill="1" applyBorder="1" applyAlignment="1">
      <alignment horizontal="center"/>
    </xf>
    <xf numFmtId="0" fontId="10" fillId="7" borderId="0" xfId="2" applyFont="1" applyFill="1" applyBorder="1" applyAlignment="1">
      <alignment horizontal="left" wrapText="1"/>
    </xf>
    <xf numFmtId="165" fontId="10" fillId="7" borderId="0" xfId="2" applyNumberFormat="1" applyFont="1" applyFill="1" applyBorder="1" applyAlignment="1">
      <alignment horizontal="left"/>
    </xf>
    <xf numFmtId="0" fontId="1" fillId="7" borderId="0" xfId="0" applyFont="1" applyFill="1" applyBorder="1" applyAlignment="1">
      <alignment horizontal="center"/>
    </xf>
    <xf numFmtId="0" fontId="1" fillId="7" borderId="0" xfId="0" applyFont="1" applyFill="1"/>
    <xf numFmtId="0" fontId="16" fillId="7" borderId="0" xfId="0" applyFont="1" applyFill="1" applyBorder="1" applyAlignment="1">
      <alignment horizontal="left"/>
    </xf>
    <xf numFmtId="0" fontId="16" fillId="7" borderId="0" xfId="0" applyFont="1" applyFill="1" applyAlignment="1"/>
    <xf numFmtId="0" fontId="16" fillId="7" borderId="0" xfId="0" applyFont="1" applyFill="1" applyAlignment="1">
      <alignment wrapText="1"/>
    </xf>
    <xf numFmtId="165" fontId="0" fillId="4" borderId="3" xfId="1" applyNumberFormat="1" applyFont="1" applyFill="1" applyBorder="1"/>
    <xf numFmtId="165" fontId="0" fillId="7" borderId="3" xfId="1" applyNumberFormat="1" applyFont="1" applyFill="1" applyBorder="1" applyAlignment="1">
      <alignment horizontal="center" wrapText="1"/>
    </xf>
    <xf numFmtId="0" fontId="2" fillId="0" borderId="10" xfId="4" applyFont="1" applyBorder="1" applyAlignment="1">
      <alignment vertical="top" wrapText="1"/>
    </xf>
    <xf numFmtId="0" fontId="0" fillId="7" borderId="3" xfId="0" applyFill="1" applyBorder="1" applyAlignment="1">
      <alignment horizontal="center"/>
    </xf>
    <xf numFmtId="0" fontId="22" fillId="0" borderId="0" xfId="4" applyFont="1" applyAlignment="1">
      <alignment vertical="top"/>
    </xf>
    <xf numFmtId="0" fontId="22" fillId="0" borderId="3" xfId="4" applyFont="1" applyBorder="1" applyAlignment="1">
      <alignment vertical="top"/>
    </xf>
    <xf numFmtId="0" fontId="0" fillId="0" borderId="3" xfId="0" applyFont="1" applyFill="1" applyBorder="1" applyAlignment="1">
      <alignment wrapText="1"/>
    </xf>
    <xf numFmtId="0" fontId="22" fillId="0" borderId="3" xfId="4" applyFont="1" applyFill="1" applyBorder="1" applyAlignment="1">
      <alignment vertical="top"/>
    </xf>
    <xf numFmtId="0" fontId="2" fillId="0" borderId="10" xfId="4" applyFont="1" applyBorder="1" applyAlignment="1">
      <alignment vertical="top"/>
    </xf>
    <xf numFmtId="0" fontId="2" fillId="0" borderId="3" xfId="4" applyFont="1" applyBorder="1" applyAlignment="1">
      <alignment vertical="top"/>
    </xf>
    <xf numFmtId="0" fontId="2" fillId="0" borderId="11" xfId="4" applyFont="1" applyBorder="1" applyAlignment="1">
      <alignment vertical="top"/>
    </xf>
    <xf numFmtId="166" fontId="2" fillId="0" borderId="3" xfId="4" applyNumberFormat="1" applyFont="1" applyBorder="1" applyAlignment="1">
      <alignment vertical="top"/>
    </xf>
    <xf numFmtId="167" fontId="7" fillId="0" borderId="3" xfId="1" applyNumberFormat="1" applyFont="1" applyBorder="1" applyAlignment="1">
      <alignment vertical="top"/>
    </xf>
    <xf numFmtId="0" fontId="2" fillId="12" borderId="7" xfId="4" applyFont="1" applyFill="1" applyBorder="1" applyAlignment="1">
      <alignment vertical="top"/>
    </xf>
    <xf numFmtId="0" fontId="2" fillId="0" borderId="26" xfId="4" applyFont="1" applyFill="1" applyBorder="1" applyAlignment="1">
      <alignment vertical="top"/>
    </xf>
    <xf numFmtId="44" fontId="0" fillId="0" borderId="3" xfId="1" applyFont="1" applyBorder="1"/>
    <xf numFmtId="0" fontId="0" fillId="7" borderId="0" xfId="0" applyFill="1" applyBorder="1" applyAlignment="1">
      <alignment wrapText="1"/>
    </xf>
    <xf numFmtId="0" fontId="0" fillId="0" borderId="4" xfId="0" applyBorder="1"/>
    <xf numFmtId="9" fontId="0" fillId="13" borderId="0" xfId="0" applyNumberFormat="1" applyFill="1" applyBorder="1"/>
    <xf numFmtId="0" fontId="0" fillId="13" borderId="0" xfId="0" applyFill="1" applyBorder="1" applyAlignment="1">
      <alignment wrapText="1"/>
    </xf>
    <xf numFmtId="44" fontId="0" fillId="13" borderId="0" xfId="0" applyNumberFormat="1" applyFill="1" applyBorder="1"/>
    <xf numFmtId="0" fontId="0" fillId="0" borderId="0" xfId="0" applyFill="1" applyBorder="1" applyAlignment="1">
      <alignment wrapText="1"/>
    </xf>
    <xf numFmtId="0" fontId="0" fillId="4" borderId="0" xfId="0" applyFill="1" applyBorder="1" applyAlignment="1">
      <alignment wrapText="1"/>
    </xf>
    <xf numFmtId="44" fontId="0" fillId="4" borderId="0" xfId="0" applyNumberFormat="1" applyFill="1" applyBorder="1"/>
    <xf numFmtId="165" fontId="0" fillId="15" borderId="3" xfId="1" applyNumberFormat="1" applyFont="1" applyFill="1" applyBorder="1"/>
    <xf numFmtId="165" fontId="0" fillId="11" borderId="3" xfId="0" applyNumberFormat="1" applyFill="1" applyBorder="1"/>
    <xf numFmtId="44" fontId="0" fillId="0" borderId="4" xfId="1" applyFont="1" applyBorder="1"/>
    <xf numFmtId="44" fontId="16" fillId="0" borderId="3" xfId="0" applyNumberFormat="1" applyFont="1" applyBorder="1"/>
    <xf numFmtId="0" fontId="0" fillId="0" borderId="0" xfId="0" applyFill="1"/>
    <xf numFmtId="165" fontId="0" fillId="4" borderId="3" xfId="0" applyNumberFormat="1" applyFill="1" applyBorder="1"/>
    <xf numFmtId="165" fontId="16" fillId="7" borderId="0" xfId="0" applyNumberFormat="1" applyFont="1" applyFill="1"/>
    <xf numFmtId="44" fontId="0" fillId="7" borderId="3" xfId="0" applyNumberFormat="1" applyFill="1" applyBorder="1"/>
    <xf numFmtId="0" fontId="24" fillId="0" borderId="3" xfId="4" applyFont="1" applyBorder="1" applyAlignment="1">
      <alignment vertical="top"/>
    </xf>
    <xf numFmtId="0" fontId="24" fillId="0" borderId="3" xfId="4" applyFont="1" applyFill="1" applyBorder="1" applyAlignment="1">
      <alignment vertical="top"/>
    </xf>
    <xf numFmtId="44" fontId="25" fillId="0" borderId="3" xfId="1" applyFont="1" applyBorder="1"/>
    <xf numFmtId="0" fontId="25" fillId="0" borderId="3" xfId="0" applyFont="1" applyBorder="1"/>
    <xf numFmtId="0" fontId="16" fillId="4" borderId="3" xfId="0" applyFont="1" applyFill="1" applyBorder="1" applyAlignment="1">
      <alignment wrapText="1"/>
    </xf>
    <xf numFmtId="0" fontId="16" fillId="4" borderId="3" xfId="0" applyFont="1" applyFill="1" applyBorder="1"/>
    <xf numFmtId="0" fontId="0" fillId="11" borderId="3" xfId="0" applyFill="1" applyBorder="1" applyAlignment="1">
      <alignment horizontal="center"/>
    </xf>
    <xf numFmtId="0" fontId="0" fillId="11" borderId="3" xfId="0" applyFill="1" applyBorder="1" applyAlignment="1">
      <alignment wrapText="1"/>
    </xf>
    <xf numFmtId="0" fontId="9" fillId="0" borderId="3" xfId="4" applyFont="1" applyFill="1" applyBorder="1" applyAlignment="1">
      <alignment vertical="top"/>
    </xf>
    <xf numFmtId="44" fontId="26" fillId="0" borderId="3" xfId="1" applyFont="1" applyBorder="1"/>
    <xf numFmtId="0" fontId="0" fillId="7" borderId="3" xfId="0" applyFill="1" applyBorder="1" applyAlignment="1">
      <alignment horizontal="center"/>
    </xf>
    <xf numFmtId="0" fontId="0" fillId="7" borderId="4" xfId="0" applyFill="1" applyBorder="1" applyAlignment="1">
      <alignment horizontal="left" wrapText="1"/>
    </xf>
    <xf numFmtId="0" fontId="0" fillId="7" borderId="5" xfId="0" applyFill="1" applyBorder="1" applyAlignment="1">
      <alignment horizontal="left" wrapText="1"/>
    </xf>
    <xf numFmtId="0" fontId="12" fillId="11" borderId="0" xfId="0" applyFont="1" applyFill="1" applyAlignment="1">
      <alignment horizontal="left" wrapText="1"/>
    </xf>
    <xf numFmtId="0" fontId="21" fillId="7" borderId="4" xfId="0" applyFont="1" applyFill="1" applyBorder="1" applyAlignment="1">
      <alignment horizontal="left" wrapText="1"/>
    </xf>
    <xf numFmtId="0" fontId="21" fillId="7" borderId="5" xfId="0" applyFont="1" applyFill="1" applyBorder="1" applyAlignment="1">
      <alignment horizontal="left" wrapText="1"/>
    </xf>
    <xf numFmtId="0" fontId="0" fillId="0" borderId="30" xfId="0" applyBorder="1" applyAlignment="1">
      <alignment horizontal="center"/>
    </xf>
    <xf numFmtId="0" fontId="0" fillId="0" borderId="0" xfId="0" applyBorder="1" applyAlignment="1">
      <alignment horizontal="center"/>
    </xf>
    <xf numFmtId="0" fontId="0" fillId="6" borderId="31" xfId="0" applyFill="1" applyBorder="1" applyAlignment="1">
      <alignment horizontal="center"/>
    </xf>
    <xf numFmtId="0" fontId="0" fillId="6" borderId="32" xfId="0" applyFill="1" applyBorder="1" applyAlignment="1">
      <alignment horizontal="center"/>
    </xf>
    <xf numFmtId="0" fontId="0" fillId="6" borderId="30"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29" xfId="0" applyFill="1" applyBorder="1" applyAlignment="1">
      <alignment horizontal="center"/>
    </xf>
    <xf numFmtId="0" fontId="0" fillId="0" borderId="3" xfId="0" applyBorder="1" applyAlignment="1">
      <alignment horizontal="left" wrapText="1"/>
    </xf>
    <xf numFmtId="0" fontId="0" fillId="0" borderId="3" xfId="0" applyBorder="1" applyAlignment="1">
      <alignment horizontal="left"/>
    </xf>
    <xf numFmtId="0" fontId="0" fillId="0" borderId="27" xfId="0" applyBorder="1" applyAlignment="1">
      <alignment horizontal="left"/>
    </xf>
    <xf numFmtId="0" fontId="0" fillId="0" borderId="26" xfId="0" applyBorder="1" applyAlignment="1">
      <alignment horizontal="left"/>
    </xf>
    <xf numFmtId="0" fontId="0" fillId="0" borderId="25" xfId="0" applyBorder="1" applyAlignment="1">
      <alignment horizontal="left"/>
    </xf>
    <xf numFmtId="0" fontId="0" fillId="13" borderId="31" xfId="0" applyFill="1" applyBorder="1" applyAlignment="1">
      <alignment horizontal="center"/>
    </xf>
    <xf numFmtId="0" fontId="0" fillId="13" borderId="32" xfId="0" applyFill="1" applyBorder="1" applyAlignment="1">
      <alignment horizontal="center"/>
    </xf>
    <xf numFmtId="0" fontId="0" fillId="13" borderId="30" xfId="0" applyFill="1" applyBorder="1" applyAlignment="1">
      <alignment horizontal="center"/>
    </xf>
    <xf numFmtId="0" fontId="0" fillId="13" borderId="33" xfId="0" applyFill="1" applyBorder="1" applyAlignment="1">
      <alignment horizontal="center"/>
    </xf>
    <xf numFmtId="0" fontId="0" fillId="13" borderId="34" xfId="0" applyFill="1" applyBorder="1" applyAlignment="1">
      <alignment horizontal="center"/>
    </xf>
    <xf numFmtId="0" fontId="0" fillId="13" borderId="29" xfId="0" applyFill="1" applyBorder="1" applyAlignment="1">
      <alignment horizontal="center"/>
    </xf>
    <xf numFmtId="0" fontId="14" fillId="11" borderId="0" xfId="0" applyFont="1" applyFill="1" applyBorder="1" applyAlignment="1">
      <alignment horizontal="left" wrapText="1"/>
    </xf>
    <xf numFmtId="0" fontId="14" fillId="11" borderId="0" xfId="0" applyFont="1" applyFill="1" applyBorder="1" applyAlignment="1">
      <alignment horizontal="left"/>
    </xf>
    <xf numFmtId="0" fontId="13" fillId="11" borderId="0" xfId="0" applyFont="1" applyFill="1" applyAlignment="1">
      <alignment horizontal="left"/>
    </xf>
    <xf numFmtId="0" fontId="0" fillId="11" borderId="3" xfId="0" applyFill="1" applyBorder="1" applyAlignment="1">
      <alignment horizontal="center" wrapText="1"/>
    </xf>
    <xf numFmtId="0" fontId="0" fillId="11" borderId="27" xfId="0" applyFill="1" applyBorder="1" applyAlignment="1">
      <alignment horizontal="left"/>
    </xf>
    <xf numFmtId="0" fontId="0" fillId="11" borderId="25" xfId="0" applyFill="1" applyBorder="1" applyAlignment="1">
      <alignment horizontal="left"/>
    </xf>
    <xf numFmtId="0" fontId="16" fillId="11" borderId="3" xfId="0" applyFont="1" applyFill="1" applyBorder="1" applyAlignment="1">
      <alignment horizontal="center" wrapText="1"/>
    </xf>
    <xf numFmtId="0" fontId="0" fillId="0" borderId="3" xfId="0" applyFill="1"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28" xfId="0" applyBorder="1" applyAlignment="1">
      <alignment horizontal="center"/>
    </xf>
    <xf numFmtId="0" fontId="0" fillId="0" borderId="3" xfId="0" applyBorder="1" applyAlignment="1">
      <alignment horizontal="center" wrapText="1"/>
    </xf>
    <xf numFmtId="0" fontId="2" fillId="5" borderId="4" xfId="2" applyFont="1" applyFill="1" applyBorder="1" applyAlignment="1">
      <alignment horizontal="center" wrapText="1"/>
    </xf>
    <xf numFmtId="0" fontId="2" fillId="5" borderId="5" xfId="2" applyFont="1"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18" fillId="14" borderId="4" xfId="2" applyFont="1" applyFill="1" applyBorder="1" applyAlignment="1">
      <alignment horizontal="center" wrapText="1"/>
    </xf>
    <xf numFmtId="0" fontId="18" fillId="14" borderId="5" xfId="2" applyFont="1" applyFill="1" applyBorder="1" applyAlignment="1">
      <alignment horizontal="center" wrapText="1"/>
    </xf>
    <xf numFmtId="0" fontId="16" fillId="14" borderId="4" xfId="0" applyFont="1" applyFill="1" applyBorder="1" applyAlignment="1">
      <alignment horizontal="center" wrapText="1"/>
    </xf>
    <xf numFmtId="0" fontId="16" fillId="14" borderId="5" xfId="0" applyFont="1" applyFill="1" applyBorder="1" applyAlignment="1">
      <alignment horizontal="center" wrapText="1"/>
    </xf>
    <xf numFmtId="0" fontId="17" fillId="0" borderId="4" xfId="2" applyFont="1" applyBorder="1" applyAlignment="1">
      <alignment horizontal="left" wrapText="1"/>
    </xf>
    <xf numFmtId="0" fontId="17" fillId="0" borderId="28" xfId="2" applyFont="1" applyBorder="1" applyAlignment="1">
      <alignment horizontal="left" wrapText="1"/>
    </xf>
    <xf numFmtId="0" fontId="17" fillId="0" borderId="5" xfId="2" applyFont="1" applyBorder="1" applyAlignment="1">
      <alignment horizontal="left" wrapText="1"/>
    </xf>
    <xf numFmtId="0" fontId="0" fillId="5" borderId="4" xfId="0" applyFill="1" applyBorder="1" applyAlignment="1">
      <alignment horizontal="center"/>
    </xf>
    <xf numFmtId="0" fontId="0" fillId="5" borderId="28" xfId="0" applyFill="1" applyBorder="1" applyAlignment="1">
      <alignment horizontal="center"/>
    </xf>
    <xf numFmtId="0" fontId="0" fillId="5" borderId="5" xfId="0" applyFill="1" applyBorder="1" applyAlignment="1">
      <alignment horizontal="center"/>
    </xf>
    <xf numFmtId="0" fontId="2" fillId="11" borderId="0" xfId="2" applyFont="1" applyFill="1" applyAlignment="1">
      <alignment horizontal="left" wrapText="1"/>
    </xf>
    <xf numFmtId="0" fontId="0" fillId="5" borderId="3" xfId="0" applyFill="1" applyBorder="1" applyAlignment="1">
      <alignment horizontal="center"/>
    </xf>
    <xf numFmtId="0" fontId="17" fillId="0" borderId="4" xfId="2" applyFont="1" applyBorder="1" applyAlignment="1">
      <alignment horizontal="left"/>
    </xf>
    <xf numFmtId="0" fontId="17" fillId="0" borderId="28" xfId="2" applyFont="1" applyBorder="1" applyAlignment="1">
      <alignment horizontal="left"/>
    </xf>
    <xf numFmtId="0" fontId="17" fillId="0" borderId="5" xfId="2" applyFont="1" applyBorder="1" applyAlignment="1">
      <alignment horizontal="left"/>
    </xf>
    <xf numFmtId="0" fontId="21" fillId="11" borderId="4" xfId="0" applyFont="1" applyFill="1" applyBorder="1" applyAlignment="1">
      <alignment horizontal="left" wrapText="1"/>
    </xf>
    <xf numFmtId="0" fontId="21" fillId="11" borderId="5" xfId="0" applyFont="1" applyFill="1" applyBorder="1" applyAlignment="1">
      <alignment horizontal="left" wrapText="1"/>
    </xf>
    <xf numFmtId="0" fontId="0" fillId="0" borderId="27" xfId="0" applyBorder="1" applyAlignment="1">
      <alignment horizontal="left" wrapText="1"/>
    </xf>
    <xf numFmtId="0" fontId="0" fillId="0" borderId="26" xfId="0" applyBorder="1" applyAlignment="1">
      <alignment horizontal="left" wrapText="1"/>
    </xf>
    <xf numFmtId="0" fontId="0" fillId="0" borderId="25" xfId="0" applyBorder="1" applyAlignment="1">
      <alignment horizontal="left" wrapText="1"/>
    </xf>
    <xf numFmtId="0" fontId="0" fillId="9" borderId="4" xfId="0" applyFill="1" applyBorder="1" applyAlignment="1">
      <alignment horizontal="left" wrapText="1"/>
    </xf>
    <xf numFmtId="0" fontId="0" fillId="9" borderId="5" xfId="0" applyFill="1" applyBorder="1" applyAlignment="1">
      <alignment horizontal="left" wrapText="1"/>
    </xf>
    <xf numFmtId="0" fontId="0" fillId="0" borderId="3" xfId="0" applyBorder="1" applyAlignment="1">
      <alignment horizontal="center"/>
    </xf>
    <xf numFmtId="0" fontId="0" fillId="7" borderId="4" xfId="0" applyFill="1" applyBorder="1" applyAlignment="1">
      <alignment horizontal="center"/>
    </xf>
    <xf numFmtId="0" fontId="0" fillId="7" borderId="28" xfId="0" applyFill="1" applyBorder="1" applyAlignment="1">
      <alignment horizontal="center"/>
    </xf>
    <xf numFmtId="0" fontId="0" fillId="7" borderId="5" xfId="0" applyFill="1" applyBorder="1" applyAlignment="1">
      <alignment horizontal="center"/>
    </xf>
    <xf numFmtId="0" fontId="0" fillId="4" borderId="0" xfId="0" applyFill="1" applyBorder="1" applyAlignment="1">
      <alignment horizontal="center"/>
    </xf>
    <xf numFmtId="0" fontId="16" fillId="14" borderId="4" xfId="0" applyFont="1" applyFill="1" applyBorder="1" applyAlignment="1">
      <alignment horizontal="center"/>
    </xf>
    <xf numFmtId="0" fontId="16" fillId="14" borderId="5" xfId="0" applyFont="1" applyFill="1" applyBorder="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17" fillId="10" borderId="28" xfId="2" applyFont="1" applyFill="1" applyBorder="1" applyAlignment="1">
      <alignment horizontal="left"/>
    </xf>
    <xf numFmtId="0" fontId="17" fillId="10" borderId="5" xfId="2" applyFont="1" applyFill="1" applyBorder="1" applyAlignment="1">
      <alignment horizontal="left"/>
    </xf>
    <xf numFmtId="0" fontId="2" fillId="10" borderId="4" xfId="2" applyFont="1" applyFill="1" applyBorder="1" applyAlignment="1">
      <alignment horizontal="center"/>
    </xf>
    <xf numFmtId="0" fontId="2" fillId="10" borderId="5" xfId="2" applyFont="1" applyFill="1" applyBorder="1" applyAlignment="1">
      <alignment horizontal="center"/>
    </xf>
    <xf numFmtId="0" fontId="18" fillId="14" borderId="4" xfId="2" applyFont="1" applyFill="1" applyBorder="1" applyAlignment="1">
      <alignment horizontal="center"/>
    </xf>
    <xf numFmtId="0" fontId="18" fillId="14" borderId="5" xfId="2" applyFont="1" applyFill="1" applyBorder="1" applyAlignment="1">
      <alignment horizontal="center"/>
    </xf>
    <xf numFmtId="0" fontId="8" fillId="0" borderId="10" xfId="4" applyFont="1" applyBorder="1" applyAlignment="1">
      <alignment vertical="top"/>
    </xf>
    <xf numFmtId="0" fontId="9" fillId="0" borderId="3" xfId="4" applyFont="1" applyBorder="1" applyAlignment="1"/>
    <xf numFmtId="0" fontId="9" fillId="0" borderId="11" xfId="4" applyFont="1" applyBorder="1" applyAlignment="1"/>
    <xf numFmtId="0" fontId="23" fillId="11" borderId="0" xfId="4" applyFont="1" applyFill="1" applyAlignment="1">
      <alignment horizontal="center" vertical="top"/>
    </xf>
    <xf numFmtId="0" fontId="23" fillId="11" borderId="35" xfId="4" applyFont="1" applyFill="1" applyBorder="1" applyAlignment="1">
      <alignment horizontal="center" vertical="top"/>
    </xf>
    <xf numFmtId="0" fontId="18" fillId="0" borderId="4" xfId="4" applyFont="1" applyBorder="1" applyAlignment="1">
      <alignment horizontal="center" vertical="top"/>
    </xf>
    <xf numFmtId="0" fontId="18" fillId="0" borderId="28" xfId="4" applyFont="1" applyBorder="1" applyAlignment="1">
      <alignment horizontal="center" vertical="top"/>
    </xf>
    <xf numFmtId="0" fontId="18" fillId="0" borderId="5" xfId="4" applyFont="1" applyBorder="1" applyAlignment="1">
      <alignment horizontal="center" vertical="top"/>
    </xf>
  </cellXfs>
  <cellStyles count="5">
    <cellStyle name="Currency" xfId="1" builtinId="4"/>
    <cellStyle name="Hyperlink" xfId="3" builtinId="8"/>
    <cellStyle name="Normal" xfId="0" builtinId="0"/>
    <cellStyle name="Normal 2" xfId="2"/>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Overall Cost for SDC</a:t>
            </a:r>
            <a:r>
              <a:rPr lang="en-US" baseline="0"/>
              <a:t> Platform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'USDOT SDC Overall'!$A$47</c:f>
              <c:strCache>
                <c:ptCount val="1"/>
                <c:pt idx="0">
                  <c:v>Cloud Consumption Costs (Mandatory)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'USDOT SDC Overall'!$B$46:$G$46</c:f>
              <c:strCache>
                <c:ptCount val="6"/>
                <c:pt idx="1">
                  <c:v>Year 1</c:v>
                </c:pt>
                <c:pt idx="2">
                  <c:v>Year 2</c:v>
                </c:pt>
                <c:pt idx="3">
                  <c:v>Year 3</c:v>
                </c:pt>
                <c:pt idx="4">
                  <c:v>Year 4</c:v>
                </c:pt>
                <c:pt idx="5">
                  <c:v>Year 5</c:v>
                </c:pt>
              </c:strCache>
            </c:strRef>
          </c:cat>
          <c:val>
            <c:numRef>
              <c:f>'USDOT SDC Overall'!$B$47:$G$47</c:f>
              <c:numCache>
                <c:formatCode>_("$"* #,##0_);_("$"* \(#,##0\);_("$"* "-"??_);_(@_)</c:formatCode>
                <c:ptCount val="6"/>
                <c:pt idx="1">
                  <c:v>33392.26</c:v>
                </c:pt>
                <c:pt idx="2">
                  <c:v>33392.26</c:v>
                </c:pt>
                <c:pt idx="3">
                  <c:v>33392.26</c:v>
                </c:pt>
                <c:pt idx="4">
                  <c:v>33392.26</c:v>
                </c:pt>
                <c:pt idx="5">
                  <c:v>33392.26</c:v>
                </c:pt>
              </c:numCache>
            </c:numRef>
          </c:val>
          <c:extLst>
            <c:ext xmlns:c16="http://schemas.microsoft.com/office/drawing/2014/chart" uri="{C3380CC4-5D6E-409C-BE32-E72D297353CC}">
              <c16:uniqueId val="{00000000-8800-45FE-BDCE-F4C79C7A9C7D}"/>
            </c:ext>
          </c:extLst>
        </c:ser>
        <c:ser>
          <c:idx val="1"/>
          <c:order val="1"/>
          <c:tx>
            <c:strRef>
              <c:f>'USDOT SDC Overall'!$A$49</c:f>
              <c:strCache>
                <c:ptCount val="1"/>
                <c:pt idx="0">
                  <c:v>IT Services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'USDOT SDC Overall'!$B$46:$G$46</c:f>
              <c:strCache>
                <c:ptCount val="6"/>
                <c:pt idx="1">
                  <c:v>Year 1</c:v>
                </c:pt>
                <c:pt idx="2">
                  <c:v>Year 2</c:v>
                </c:pt>
                <c:pt idx="3">
                  <c:v>Year 3</c:v>
                </c:pt>
                <c:pt idx="4">
                  <c:v>Year 4</c:v>
                </c:pt>
                <c:pt idx="5">
                  <c:v>Year 5</c:v>
                </c:pt>
              </c:strCache>
            </c:strRef>
          </c:cat>
          <c:val>
            <c:numRef>
              <c:f>'USDOT SDC Overall'!$B$49:$G$49</c:f>
              <c:numCache>
                <c:formatCode>_("$"* #,##0_);_("$"* \(#,##0\);_("$"* "-"??_);_(@_)</c:formatCode>
                <c:ptCount val="6"/>
                <c:pt idx="1">
                  <c:v>146466.66666666669</c:v>
                </c:pt>
                <c:pt idx="2">
                  <c:v>135200</c:v>
                </c:pt>
                <c:pt idx="3">
                  <c:v>135200</c:v>
                </c:pt>
                <c:pt idx="4">
                  <c:v>135200</c:v>
                </c:pt>
                <c:pt idx="5">
                  <c:v>135200</c:v>
                </c:pt>
              </c:numCache>
            </c:numRef>
          </c:val>
          <c:extLst>
            <c:ext xmlns:c16="http://schemas.microsoft.com/office/drawing/2014/chart" uri="{C3380CC4-5D6E-409C-BE32-E72D297353CC}">
              <c16:uniqueId val="{00000001-8800-45FE-BDCE-F4C79C7A9C7D}"/>
            </c:ext>
          </c:extLst>
        </c:ser>
        <c:ser>
          <c:idx val="2"/>
          <c:order val="2"/>
          <c:tx>
            <c:strRef>
              <c:f>'USDOT SDC Overall'!$A$50</c:f>
              <c:strCache>
                <c:ptCount val="1"/>
                <c:pt idx="0">
                  <c:v>Enablement Services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'USDOT SDC Overall'!$B$46:$G$46</c:f>
              <c:strCache>
                <c:ptCount val="6"/>
                <c:pt idx="1">
                  <c:v>Year 1</c:v>
                </c:pt>
                <c:pt idx="2">
                  <c:v>Year 2</c:v>
                </c:pt>
                <c:pt idx="3">
                  <c:v>Year 3</c:v>
                </c:pt>
                <c:pt idx="4">
                  <c:v>Year 4</c:v>
                </c:pt>
                <c:pt idx="5">
                  <c:v>Year 5</c:v>
                </c:pt>
              </c:strCache>
            </c:strRef>
          </c:cat>
          <c:val>
            <c:numRef>
              <c:f>'USDOT SDC Overall'!$B$50:$G$50</c:f>
              <c:numCache>
                <c:formatCode>_("$"* #,##0_);_("$"* \(#,##0\);_("$"* "-"??_);_(@_)</c:formatCode>
                <c:ptCount val="6"/>
                <c:pt idx="1">
                  <c:v>157733.33333333331</c:v>
                </c:pt>
                <c:pt idx="2">
                  <c:v>145600</c:v>
                </c:pt>
                <c:pt idx="3">
                  <c:v>145600</c:v>
                </c:pt>
                <c:pt idx="4">
                  <c:v>145600</c:v>
                </c:pt>
                <c:pt idx="5">
                  <c:v>145600</c:v>
                </c:pt>
              </c:numCache>
            </c:numRef>
          </c:val>
          <c:extLst>
            <c:ext xmlns:c16="http://schemas.microsoft.com/office/drawing/2014/chart" uri="{C3380CC4-5D6E-409C-BE32-E72D297353CC}">
              <c16:uniqueId val="{00000002-8800-45FE-BDCE-F4C79C7A9C7D}"/>
            </c:ext>
          </c:extLst>
        </c:ser>
        <c:dLbls>
          <c:dLblPos val="ctr"/>
          <c:showLegendKey val="0"/>
          <c:showVal val="1"/>
          <c:showCatName val="0"/>
          <c:showSerName val="0"/>
          <c:showPercent val="0"/>
          <c:showBubbleSize val="0"/>
        </c:dLbls>
        <c:gapWidth val="150"/>
        <c:overlap val="100"/>
        <c:axId val="357704336"/>
        <c:axId val="556832816"/>
      </c:barChart>
      <c:catAx>
        <c:axId val="357704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6832816"/>
        <c:crosses val="autoZero"/>
        <c:auto val="1"/>
        <c:lblAlgn val="ctr"/>
        <c:lblOffset val="100"/>
        <c:noMultiLvlLbl val="0"/>
      </c:catAx>
      <c:valAx>
        <c:axId val="556832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7704336"/>
        <c:crosses val="autoZero"/>
        <c:crossBetween val="between"/>
      </c:valAx>
      <c:spPr>
        <a:noFill/>
        <a:ln>
          <a:noFill/>
        </a:ln>
        <a:effectLst/>
      </c:spPr>
    </c:plotArea>
    <c:legend>
      <c:legendPos val="b"/>
      <c:layout>
        <c:manualLayout>
          <c:xMode val="edge"/>
          <c:yMode val="edge"/>
          <c:x val="1.2888079534955712E-2"/>
          <c:y val="0.1485204675103331"/>
          <c:w val="0.17027024538303581"/>
          <c:h val="0.299807239966715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1174833</xdr:colOff>
      <xdr:row>24</xdr:row>
      <xdr:rowOff>71415</xdr:rowOff>
    </xdr:from>
    <xdr:to>
      <xdr:col>20</xdr:col>
      <xdr:colOff>554181</xdr:colOff>
      <xdr:row>52</xdr:row>
      <xdr:rowOff>155862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opLeftCell="A4" zoomScale="95" zoomScaleNormal="95" workbookViewId="0">
      <selection activeCell="L17" sqref="L17"/>
    </sheetView>
  </sheetViews>
  <sheetFormatPr defaultRowHeight="14.4" x14ac:dyDescent="0.3"/>
  <cols>
    <col min="1" max="1" width="9.6640625" customWidth="1"/>
    <col min="11" max="11" width="3.6640625" customWidth="1"/>
    <col min="14" max="14" width="17.33203125" customWidth="1"/>
    <col min="15" max="15" width="8.6640625" customWidth="1"/>
    <col min="16" max="16" width="3.88671875" customWidth="1"/>
  </cols>
  <sheetData>
    <row r="1" spans="1:20" x14ac:dyDescent="0.3">
      <c r="A1" s="10"/>
      <c r="B1" s="10"/>
      <c r="C1" s="10"/>
      <c r="D1" s="10"/>
      <c r="E1" s="10"/>
      <c r="F1" s="10"/>
      <c r="G1" s="10"/>
      <c r="H1" s="10"/>
      <c r="I1" s="10"/>
      <c r="J1" s="10"/>
      <c r="K1" s="10"/>
      <c r="L1" s="10"/>
    </row>
    <row r="2" spans="1:20" x14ac:dyDescent="0.3">
      <c r="A2" s="10"/>
      <c r="B2" s="10"/>
      <c r="C2" s="10"/>
      <c r="D2" s="10"/>
      <c r="E2" s="10"/>
      <c r="F2" s="10"/>
      <c r="G2" s="10"/>
      <c r="H2" s="10"/>
      <c r="I2" s="10"/>
      <c r="J2" s="10"/>
      <c r="K2" s="10"/>
      <c r="L2" s="10"/>
    </row>
    <row r="3" spans="1:20" x14ac:dyDescent="0.3">
      <c r="A3" s="10"/>
      <c r="B3" s="10"/>
      <c r="C3" s="10"/>
      <c r="D3" s="10"/>
      <c r="E3" s="10"/>
      <c r="F3" s="10"/>
      <c r="G3" s="10"/>
      <c r="H3" s="10"/>
      <c r="I3" s="10"/>
      <c r="J3" s="10"/>
      <c r="K3" s="10"/>
      <c r="L3" s="10"/>
    </row>
    <row r="4" spans="1:20" x14ac:dyDescent="0.3">
      <c r="A4" s="10"/>
      <c r="B4" s="10"/>
      <c r="C4" s="10"/>
      <c r="D4" s="10"/>
      <c r="E4" s="10"/>
      <c r="F4" s="10"/>
      <c r="G4" s="10"/>
      <c r="H4" s="10"/>
      <c r="I4" s="10"/>
      <c r="J4" s="10"/>
      <c r="K4" s="10"/>
      <c r="L4" s="10"/>
    </row>
    <row r="5" spans="1:20" x14ac:dyDescent="0.3">
      <c r="A5" s="10"/>
      <c r="B5" s="10"/>
      <c r="C5" s="10"/>
      <c r="D5" s="10"/>
      <c r="E5" s="10"/>
      <c r="F5" s="9"/>
      <c r="G5" s="9"/>
      <c r="H5" s="9"/>
      <c r="I5" s="9"/>
      <c r="J5" s="9"/>
      <c r="K5" s="9"/>
      <c r="L5" s="9"/>
      <c r="M5" s="3"/>
      <c r="N5" s="3"/>
      <c r="O5" s="3"/>
      <c r="P5" s="3"/>
      <c r="Q5" s="3"/>
      <c r="R5" s="3"/>
      <c r="S5" s="3"/>
      <c r="T5" s="3"/>
    </row>
    <row r="6" spans="1:20" ht="36.6" x14ac:dyDescent="0.7">
      <c r="A6" s="10"/>
      <c r="B6" s="10"/>
      <c r="C6" s="10"/>
      <c r="D6" s="10"/>
      <c r="E6" s="10"/>
      <c r="F6" s="9"/>
      <c r="G6" s="9"/>
      <c r="H6" s="9"/>
      <c r="I6" s="11" t="s">
        <v>15</v>
      </c>
      <c r="J6" s="9"/>
      <c r="K6" s="9"/>
      <c r="L6" s="9"/>
      <c r="M6" s="3"/>
      <c r="N6" s="3"/>
      <c r="O6" s="3"/>
      <c r="P6" s="3"/>
      <c r="Q6" s="3"/>
      <c r="R6" s="3"/>
      <c r="S6" s="3"/>
      <c r="T6" s="3"/>
    </row>
    <row r="7" spans="1:20" ht="31.2" x14ac:dyDescent="0.6">
      <c r="A7" s="10"/>
      <c r="B7" s="10"/>
      <c r="C7" s="10"/>
      <c r="D7" s="10"/>
      <c r="E7" s="10"/>
      <c r="F7" s="9"/>
      <c r="G7" s="9"/>
      <c r="H7" s="9"/>
      <c r="I7" s="9"/>
      <c r="J7" s="9"/>
      <c r="K7" s="9"/>
      <c r="L7" s="13" t="s">
        <v>16</v>
      </c>
      <c r="M7" s="3"/>
      <c r="N7" s="3"/>
      <c r="O7" s="3"/>
      <c r="P7" s="3"/>
      <c r="Q7" s="3"/>
      <c r="R7" s="3"/>
      <c r="S7" s="3"/>
      <c r="T7" s="3"/>
    </row>
    <row r="8" spans="1:20" x14ac:dyDescent="0.3">
      <c r="A8" s="10"/>
      <c r="B8" s="10"/>
      <c r="C8" s="10"/>
      <c r="D8" s="10"/>
      <c r="E8" s="10"/>
      <c r="F8" s="9"/>
      <c r="G8" s="9"/>
      <c r="H8" s="9"/>
      <c r="I8" s="9"/>
      <c r="J8" s="9"/>
      <c r="K8" s="9"/>
      <c r="L8" s="9"/>
      <c r="M8" s="3" t="s">
        <v>17</v>
      </c>
      <c r="N8" s="3"/>
      <c r="O8" s="3"/>
      <c r="P8" s="3"/>
      <c r="Q8" s="3"/>
      <c r="R8" s="3"/>
      <c r="S8" s="3"/>
      <c r="T8" s="3"/>
    </row>
    <row r="9" spans="1:20" x14ac:dyDescent="0.3">
      <c r="A9" s="10"/>
      <c r="B9" s="10"/>
      <c r="C9" s="10"/>
      <c r="D9" s="10"/>
      <c r="E9" s="10"/>
      <c r="F9" s="9"/>
      <c r="G9" s="9"/>
      <c r="H9" s="9"/>
      <c r="I9" s="9"/>
      <c r="J9" s="12"/>
      <c r="K9" s="12"/>
      <c r="L9" s="3"/>
      <c r="M9" s="14"/>
      <c r="N9" s="14"/>
      <c r="O9" s="3"/>
      <c r="P9" s="3"/>
      <c r="Q9" s="3"/>
      <c r="R9" s="3"/>
      <c r="S9" s="3"/>
      <c r="T9" s="3"/>
    </row>
    <row r="10" spans="1:20" x14ac:dyDescent="0.3">
      <c r="A10" s="10"/>
      <c r="B10" s="10"/>
      <c r="C10" s="10"/>
      <c r="D10" s="10"/>
      <c r="E10" s="10"/>
      <c r="F10" s="9"/>
      <c r="G10" s="9" t="s">
        <v>18</v>
      </c>
      <c r="H10" s="3"/>
      <c r="I10" s="9"/>
      <c r="J10" s="9"/>
      <c r="K10" s="9"/>
      <c r="L10" s="9"/>
      <c r="M10" s="3"/>
      <c r="N10" s="3"/>
      <c r="O10" s="3"/>
      <c r="P10" s="3"/>
      <c r="Q10" s="3"/>
      <c r="R10" s="3"/>
      <c r="S10" s="3"/>
      <c r="T10" s="3"/>
    </row>
    <row r="11" spans="1:20" x14ac:dyDescent="0.3">
      <c r="A11" s="10"/>
      <c r="B11" s="10"/>
      <c r="C11" s="10"/>
      <c r="D11" s="10"/>
      <c r="E11" s="10"/>
      <c r="F11" s="9"/>
      <c r="G11" s="9" t="s">
        <v>19</v>
      </c>
      <c r="H11" s="9"/>
      <c r="I11" s="9"/>
      <c r="J11" s="9"/>
      <c r="K11" s="9"/>
      <c r="L11" s="9"/>
      <c r="M11" s="3"/>
      <c r="N11" s="3"/>
      <c r="O11" s="3"/>
      <c r="P11" s="3"/>
      <c r="Q11" s="3"/>
      <c r="R11" s="3"/>
      <c r="S11" s="3"/>
      <c r="T11" s="3"/>
    </row>
    <row r="12" spans="1:20" x14ac:dyDescent="0.3">
      <c r="A12" s="10"/>
      <c r="B12" s="10"/>
      <c r="C12" s="10"/>
      <c r="D12" s="10"/>
      <c r="E12" s="10"/>
      <c r="F12" s="9"/>
      <c r="G12" s="9"/>
      <c r="H12" s="9"/>
      <c r="I12" s="9"/>
      <c r="J12" s="9"/>
      <c r="K12" s="9"/>
      <c r="L12" s="9"/>
      <c r="M12" s="3"/>
      <c r="N12" s="3"/>
      <c r="O12" s="3"/>
      <c r="P12" s="3"/>
      <c r="Q12" s="3"/>
      <c r="R12" s="3"/>
      <c r="S12" s="3"/>
      <c r="T12" s="3"/>
    </row>
    <row r="13" spans="1:20" x14ac:dyDescent="0.3">
      <c r="A13" s="10"/>
      <c r="B13" s="10"/>
      <c r="C13" s="10"/>
      <c r="D13" s="10"/>
      <c r="E13" s="10"/>
      <c r="F13" s="9"/>
      <c r="G13" s="9" t="s">
        <v>20</v>
      </c>
      <c r="H13" s="9"/>
      <c r="I13" s="9"/>
      <c r="J13" s="9"/>
      <c r="L13" s="16" t="s">
        <v>23</v>
      </c>
      <c r="M13" s="3"/>
      <c r="N13" s="3"/>
      <c r="O13" s="3"/>
      <c r="P13" s="187"/>
      <c r="Q13" s="2" t="s">
        <v>24</v>
      </c>
      <c r="R13" s="2"/>
      <c r="S13" s="2"/>
      <c r="T13" s="2"/>
    </row>
    <row r="14" spans="1:20" x14ac:dyDescent="0.3">
      <c r="A14" s="10"/>
      <c r="B14" s="10"/>
      <c r="C14" s="10"/>
      <c r="D14" s="10"/>
      <c r="E14" s="10"/>
      <c r="F14" s="9"/>
      <c r="G14" s="9"/>
      <c r="H14" s="9" t="s">
        <v>27</v>
      </c>
      <c r="I14" s="9"/>
      <c r="J14" s="9"/>
      <c r="K14" s="9"/>
      <c r="L14" s="9"/>
      <c r="M14" s="3"/>
      <c r="N14" s="3"/>
      <c r="O14" s="3"/>
      <c r="P14" s="187"/>
      <c r="Q14" s="2" t="s">
        <v>25</v>
      </c>
      <c r="R14" s="2"/>
      <c r="S14" s="2"/>
      <c r="T14" s="2"/>
    </row>
    <row r="15" spans="1:20" x14ac:dyDescent="0.3">
      <c r="A15" s="10"/>
      <c r="B15" s="10"/>
      <c r="C15" s="10"/>
      <c r="D15" s="10"/>
      <c r="E15" s="10"/>
      <c r="F15" s="9"/>
      <c r="G15" s="9"/>
      <c r="H15" s="9"/>
      <c r="I15" s="9"/>
      <c r="J15" s="9"/>
      <c r="K15" s="9"/>
      <c r="L15" s="9"/>
      <c r="M15" s="3"/>
      <c r="N15" s="3"/>
      <c r="O15" s="3"/>
      <c r="P15" s="187"/>
      <c r="Q15" s="2" t="s">
        <v>26</v>
      </c>
      <c r="R15" s="2"/>
      <c r="S15" s="2"/>
      <c r="T15" s="2"/>
    </row>
    <row r="16" spans="1:20" x14ac:dyDescent="0.3">
      <c r="A16" s="10"/>
      <c r="B16" s="10"/>
      <c r="C16" s="10"/>
      <c r="D16" s="10"/>
      <c r="E16" s="10"/>
      <c r="F16" s="9"/>
      <c r="G16" s="9"/>
      <c r="H16" s="9"/>
      <c r="I16" s="9"/>
      <c r="J16" s="9"/>
      <c r="K16" s="9"/>
      <c r="L16" s="9"/>
      <c r="M16" s="3"/>
      <c r="N16" s="3"/>
      <c r="O16" s="3"/>
      <c r="P16" s="187"/>
      <c r="Q16" s="2" t="s">
        <v>2</v>
      </c>
      <c r="R16" s="2"/>
      <c r="S16" s="2"/>
      <c r="T16" s="2"/>
    </row>
    <row r="17" spans="1:20" x14ac:dyDescent="0.3">
      <c r="A17" s="10"/>
      <c r="B17" s="10"/>
      <c r="C17" s="10"/>
      <c r="D17" s="10"/>
      <c r="E17" s="10"/>
      <c r="F17" s="9"/>
      <c r="G17" s="9" t="s">
        <v>21</v>
      </c>
      <c r="H17" s="9"/>
      <c r="I17" s="9"/>
      <c r="J17" s="9"/>
      <c r="L17" s="16" t="s">
        <v>23</v>
      </c>
      <c r="M17" s="3"/>
      <c r="N17" s="3"/>
      <c r="O17" s="3"/>
      <c r="P17" s="3"/>
      <c r="Q17" s="3"/>
      <c r="R17" s="3"/>
      <c r="S17" s="3"/>
      <c r="T17" s="3"/>
    </row>
    <row r="18" spans="1:20" x14ac:dyDescent="0.3">
      <c r="A18" s="10"/>
      <c r="B18" s="10"/>
      <c r="C18" s="10"/>
      <c r="D18" s="10"/>
      <c r="E18" s="10"/>
      <c r="F18" s="9"/>
      <c r="G18" s="9"/>
      <c r="H18" s="9" t="s">
        <v>28</v>
      </c>
      <c r="I18" s="9"/>
      <c r="J18" s="9"/>
      <c r="K18" s="9"/>
      <c r="L18" s="9"/>
      <c r="M18" s="3"/>
      <c r="N18" s="3"/>
      <c r="O18" s="3"/>
      <c r="P18" s="108"/>
      <c r="Q18" s="3" t="s">
        <v>464</v>
      </c>
      <c r="R18" s="3"/>
      <c r="S18" s="3"/>
      <c r="T18" s="3"/>
    </row>
    <row r="19" spans="1:20" x14ac:dyDescent="0.3">
      <c r="A19" s="10"/>
      <c r="B19" s="10"/>
      <c r="C19" s="10"/>
      <c r="D19" s="10"/>
      <c r="E19" s="10"/>
      <c r="F19" s="9"/>
      <c r="G19" s="9"/>
      <c r="H19" s="9" t="s">
        <v>259</v>
      </c>
      <c r="I19" s="9"/>
      <c r="J19" s="9"/>
      <c r="K19" s="9"/>
      <c r="L19" s="9"/>
      <c r="M19" s="3"/>
      <c r="N19" s="3"/>
      <c r="O19" s="3"/>
      <c r="P19" s="3"/>
      <c r="Q19" s="3"/>
      <c r="R19" s="3"/>
      <c r="S19" s="3"/>
      <c r="T19" s="3"/>
    </row>
    <row r="20" spans="1:20" x14ac:dyDescent="0.3">
      <c r="A20" s="10"/>
      <c r="B20" s="10"/>
      <c r="C20" s="10"/>
      <c r="D20" s="10"/>
      <c r="E20" s="10"/>
      <c r="F20" s="9"/>
      <c r="G20" s="9"/>
      <c r="H20" s="9"/>
      <c r="I20" s="9"/>
      <c r="J20" s="9"/>
      <c r="K20" s="9"/>
      <c r="L20" s="9"/>
      <c r="M20" s="3"/>
      <c r="N20" s="3"/>
      <c r="O20" s="3"/>
      <c r="P20" s="3"/>
      <c r="Q20" s="3"/>
      <c r="R20" s="3"/>
      <c r="S20" s="3"/>
      <c r="T20" s="3"/>
    </row>
    <row r="21" spans="1:20" x14ac:dyDescent="0.3">
      <c r="A21" s="10"/>
      <c r="B21" s="10"/>
      <c r="C21" s="10"/>
      <c r="D21" s="10"/>
      <c r="E21" s="10"/>
      <c r="F21" s="9"/>
      <c r="G21" s="9"/>
      <c r="H21" s="9"/>
      <c r="I21" s="9"/>
      <c r="J21" s="9"/>
      <c r="K21" s="9"/>
      <c r="L21" s="9"/>
      <c r="M21" s="3"/>
      <c r="N21" s="3"/>
      <c r="O21" s="3"/>
      <c r="P21" s="3"/>
      <c r="Q21" s="3"/>
      <c r="R21" s="3"/>
      <c r="S21" s="3"/>
      <c r="T21" s="3"/>
    </row>
    <row r="22" spans="1:20" x14ac:dyDescent="0.3">
      <c r="A22" s="10"/>
      <c r="B22" s="10"/>
      <c r="C22" s="10"/>
      <c r="D22" s="10"/>
      <c r="E22" s="10"/>
      <c r="F22" s="9"/>
      <c r="G22" s="9" t="s">
        <v>22</v>
      </c>
      <c r="H22" s="9"/>
      <c r="I22" s="9"/>
      <c r="J22" s="9"/>
      <c r="L22" s="16" t="s">
        <v>23</v>
      </c>
      <c r="M22" s="3"/>
      <c r="N22" s="3"/>
      <c r="O22" s="3"/>
      <c r="P22" s="3"/>
      <c r="Q22" s="3"/>
      <c r="R22" s="3"/>
      <c r="S22" s="3"/>
      <c r="T22" s="3"/>
    </row>
    <row r="23" spans="1:20" x14ac:dyDescent="0.3">
      <c r="A23" s="10"/>
      <c r="B23" s="10"/>
      <c r="C23" s="10"/>
      <c r="D23" s="10"/>
      <c r="E23" s="10"/>
      <c r="F23" s="9"/>
      <c r="G23" s="9"/>
      <c r="H23" s="9" t="s">
        <v>29</v>
      </c>
      <c r="I23" s="9"/>
      <c r="J23" s="9"/>
      <c r="K23" s="9"/>
      <c r="L23" s="9"/>
      <c r="M23" s="3"/>
      <c r="N23" s="3"/>
      <c r="O23" s="3"/>
      <c r="P23" s="3"/>
      <c r="Q23" s="3"/>
      <c r="R23" s="3"/>
      <c r="S23" s="3"/>
      <c r="T23" s="3"/>
    </row>
    <row r="24" spans="1:20" x14ac:dyDescent="0.3">
      <c r="A24" s="10"/>
      <c r="B24" s="10"/>
      <c r="C24" s="10"/>
      <c r="D24" s="10"/>
      <c r="E24" s="10"/>
      <c r="F24" s="9"/>
      <c r="G24" s="9"/>
      <c r="H24" s="9" t="s">
        <v>260</v>
      </c>
      <c r="I24" s="9"/>
      <c r="J24" s="9"/>
      <c r="K24" s="9"/>
      <c r="L24" s="9"/>
      <c r="M24" s="3"/>
      <c r="N24" s="3"/>
      <c r="O24" s="3"/>
      <c r="P24" s="3"/>
      <c r="Q24" s="3"/>
      <c r="R24" s="3"/>
      <c r="S24" s="3"/>
      <c r="T24" s="3"/>
    </row>
    <row r="25" spans="1:20" x14ac:dyDescent="0.3">
      <c r="A25" s="10"/>
      <c r="B25" s="10"/>
      <c r="C25" s="10"/>
      <c r="D25" s="10"/>
      <c r="E25" s="10"/>
      <c r="F25" s="9"/>
      <c r="G25" s="3"/>
      <c r="H25" s="3"/>
      <c r="I25" s="3"/>
      <c r="J25" s="3"/>
      <c r="K25" s="3"/>
      <c r="L25" s="3"/>
      <c r="M25" s="3"/>
      <c r="N25" s="3"/>
      <c r="O25" s="3"/>
      <c r="P25" s="3"/>
      <c r="Q25" s="3"/>
      <c r="R25" s="3"/>
      <c r="S25" s="3"/>
      <c r="T25" s="3"/>
    </row>
    <row r="26" spans="1:20" x14ac:dyDescent="0.3">
      <c r="A26" s="10"/>
      <c r="B26" s="10"/>
      <c r="C26" s="10"/>
      <c r="D26" s="10"/>
      <c r="E26" s="10"/>
      <c r="F26" s="9"/>
      <c r="G26" s="9" t="s">
        <v>294</v>
      </c>
      <c r="H26" s="9"/>
      <c r="I26" s="9"/>
      <c r="J26" s="9"/>
      <c r="L26" s="16" t="s">
        <v>23</v>
      </c>
      <c r="M26" s="3"/>
      <c r="N26" s="3"/>
      <c r="O26" s="3"/>
      <c r="P26" s="3"/>
      <c r="Q26" s="3"/>
      <c r="R26" s="3"/>
      <c r="S26" s="3"/>
      <c r="T26" s="3"/>
    </row>
    <row r="27" spans="1:20" x14ac:dyDescent="0.3">
      <c r="A27" s="10"/>
      <c r="B27" s="10"/>
      <c r="C27" s="10"/>
      <c r="D27" s="10"/>
      <c r="E27" s="10"/>
      <c r="F27" s="9"/>
      <c r="G27" s="9"/>
      <c r="H27" s="9" t="s">
        <v>295</v>
      </c>
      <c r="I27" s="9"/>
      <c r="J27" s="9"/>
      <c r="K27" s="9"/>
      <c r="L27" s="9"/>
      <c r="M27" s="3"/>
      <c r="N27" s="3"/>
      <c r="O27" s="3"/>
      <c r="P27" s="3"/>
      <c r="Q27" s="3"/>
      <c r="R27" s="3"/>
      <c r="S27" s="3"/>
      <c r="T27" s="3"/>
    </row>
    <row r="28" spans="1:20" x14ac:dyDescent="0.3">
      <c r="F28" s="3"/>
      <c r="G28" s="3"/>
      <c r="H28" s="115" t="s">
        <v>331</v>
      </c>
      <c r="I28" s="3"/>
      <c r="J28" s="3"/>
      <c r="K28" s="3"/>
      <c r="L28" s="3"/>
      <c r="M28" s="3"/>
      <c r="N28" s="3"/>
      <c r="O28" s="3"/>
      <c r="P28" s="3"/>
      <c r="Q28" s="3"/>
      <c r="R28" s="3"/>
      <c r="S28" s="3"/>
      <c r="T28" s="3"/>
    </row>
    <row r="29" spans="1:20" x14ac:dyDescent="0.3">
      <c r="F29" s="3"/>
      <c r="G29" s="3"/>
      <c r="H29" s="3"/>
      <c r="I29" s="3"/>
      <c r="J29" s="3"/>
      <c r="K29" s="3"/>
      <c r="L29" s="3"/>
      <c r="M29" s="3"/>
      <c r="N29" s="3"/>
      <c r="O29" s="3"/>
      <c r="P29" s="3"/>
      <c r="Q29" s="3"/>
      <c r="R29" s="3"/>
      <c r="S29" s="3"/>
      <c r="T29" s="3"/>
    </row>
  </sheetData>
  <hyperlinks>
    <hyperlink ref="L13" location="'USDOT SDC Overall'!A1" display="Click Here"/>
    <hyperlink ref="L17" location="'SDC Project'!A1" display="Click Here"/>
    <hyperlink ref="L22" location="'SDC User'!A1" display="Click Here"/>
    <hyperlink ref="L26" location="'Set-up + Definitions'!A1" display="Click Here"/>
  </hyperlinks>
  <pageMargins left="0.7" right="0.7" top="0.75" bottom="0.75" header="0.3" footer="0.3"/>
  <pageSetup orientation="portrait" horizontalDpi="1200" verticalDpi="1200"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zoomScale="59" zoomScaleNormal="59" workbookViewId="0">
      <selection activeCell="B64" sqref="B64"/>
    </sheetView>
  </sheetViews>
  <sheetFormatPr defaultRowHeight="14.4" x14ac:dyDescent="0.3"/>
  <cols>
    <col min="1" max="1" width="51.109375" customWidth="1"/>
    <col min="2" max="2" width="77.5546875" customWidth="1"/>
    <col min="3" max="3" width="13.44140625" customWidth="1"/>
    <col min="4" max="5" width="14.33203125" customWidth="1"/>
    <col min="6" max="6" width="12.33203125" customWidth="1"/>
    <col min="7" max="7" width="30.88671875" customWidth="1"/>
    <col min="8" max="8" width="15.5546875" customWidth="1"/>
    <col min="9" max="9" width="14" bestFit="1" customWidth="1"/>
    <col min="14" max="15" width="0" hidden="1" customWidth="1"/>
    <col min="17" max="17" width="0" hidden="1" customWidth="1"/>
    <col min="18" max="18" width="9.109375" hidden="1" customWidth="1"/>
    <col min="19" max="19" width="0" hidden="1" customWidth="1"/>
  </cols>
  <sheetData>
    <row r="1" spans="1:9" ht="31.2" x14ac:dyDescent="0.6">
      <c r="A1" s="77" t="s">
        <v>296</v>
      </c>
      <c r="B1" s="15"/>
      <c r="C1" s="15"/>
      <c r="D1" s="15"/>
      <c r="E1" s="15"/>
      <c r="F1" s="15"/>
      <c r="G1" s="15"/>
      <c r="H1" s="15"/>
    </row>
    <row r="2" spans="1:9" x14ac:dyDescent="0.3">
      <c r="A2" s="204" t="s">
        <v>317</v>
      </c>
      <c r="B2" s="204"/>
      <c r="C2" s="204"/>
      <c r="D2" s="204"/>
      <c r="E2" s="204"/>
      <c r="F2" s="204"/>
      <c r="G2" s="204"/>
      <c r="H2" s="15"/>
    </row>
    <row r="3" spans="1:9" ht="46.5" customHeight="1" x14ac:dyDescent="0.3">
      <c r="A3" s="204"/>
      <c r="B3" s="204"/>
      <c r="C3" s="204"/>
      <c r="D3" s="204"/>
      <c r="E3" s="204"/>
      <c r="F3" s="204"/>
      <c r="G3" s="204"/>
      <c r="H3" s="15"/>
    </row>
    <row r="5" spans="1:9" x14ac:dyDescent="0.3">
      <c r="A5" s="7" t="s">
        <v>297</v>
      </c>
      <c r="B5" s="7" t="s">
        <v>298</v>
      </c>
      <c r="C5" s="7" t="s">
        <v>300</v>
      </c>
      <c r="D5" s="6"/>
      <c r="E5" s="175"/>
    </row>
    <row r="6" spans="1:9" ht="28.8" x14ac:dyDescent="0.3">
      <c r="A6" s="4" t="s">
        <v>303</v>
      </c>
      <c r="B6" s="5" t="s">
        <v>299</v>
      </c>
      <c r="C6" s="116">
        <v>130</v>
      </c>
      <c r="D6" s="117"/>
      <c r="E6" s="177"/>
    </row>
    <row r="7" spans="1:9" ht="43.2" x14ac:dyDescent="0.3">
      <c r="A7" s="110" t="s">
        <v>301</v>
      </c>
      <c r="B7" s="5" t="s">
        <v>302</v>
      </c>
      <c r="C7" s="116">
        <v>140</v>
      </c>
      <c r="D7" s="117"/>
      <c r="E7" s="177"/>
    </row>
    <row r="9" spans="1:9" ht="66.75" customHeight="1" x14ac:dyDescent="0.3">
      <c r="A9" s="202" t="s">
        <v>318</v>
      </c>
      <c r="B9" s="203"/>
      <c r="C9" s="201" t="s">
        <v>306</v>
      </c>
      <c r="D9" s="201"/>
      <c r="E9" s="151" t="s">
        <v>458</v>
      </c>
      <c r="G9" s="201" t="s">
        <v>201</v>
      </c>
      <c r="H9" s="201"/>
    </row>
    <row r="10" spans="1:9" ht="28.8" x14ac:dyDescent="0.3">
      <c r="A10" s="5" t="s">
        <v>307</v>
      </c>
      <c r="B10" s="4" t="s">
        <v>298</v>
      </c>
      <c r="C10" s="5" t="s">
        <v>305</v>
      </c>
      <c r="D10" s="5" t="s">
        <v>332</v>
      </c>
      <c r="E10" s="178"/>
      <c r="G10" s="4" t="s">
        <v>298</v>
      </c>
      <c r="H10" s="5" t="s">
        <v>305</v>
      </c>
      <c r="I10" s="118" t="s">
        <v>459</v>
      </c>
    </row>
    <row r="11" spans="1:9" x14ac:dyDescent="0.3">
      <c r="A11" s="4" t="s">
        <v>200</v>
      </c>
      <c r="B11" s="4" t="s">
        <v>311</v>
      </c>
      <c r="C11" s="109">
        <v>1</v>
      </c>
      <c r="D11" s="109">
        <v>2</v>
      </c>
      <c r="E11" s="179">
        <f>C11*D11*(52*40/12)*$C$6</f>
        <v>45066.666666666672</v>
      </c>
      <c r="G11" s="4" t="s">
        <v>314</v>
      </c>
      <c r="H11" s="109">
        <v>1</v>
      </c>
      <c r="I11" s="138">
        <f>H11*(52*40/12)*$C$6</f>
        <v>22533.333333333336</v>
      </c>
    </row>
    <row r="12" spans="1:9" x14ac:dyDescent="0.3">
      <c r="A12" s="4" t="s">
        <v>304</v>
      </c>
      <c r="B12" s="4" t="s">
        <v>312</v>
      </c>
      <c r="C12" s="109">
        <v>1</v>
      </c>
      <c r="D12" s="109">
        <v>1</v>
      </c>
      <c r="E12" s="179">
        <f t="shared" ref="E12:E13" si="0">C12*D12*(52*40/12)*$C$6</f>
        <v>22533.333333333336</v>
      </c>
      <c r="G12" s="4" t="s">
        <v>315</v>
      </c>
      <c r="H12" s="109">
        <v>0.5</v>
      </c>
      <c r="I12" s="138">
        <f t="shared" ref="I12:I13" si="1">H12*(52*40/12)*$C$6</f>
        <v>11266.666666666668</v>
      </c>
    </row>
    <row r="13" spans="1:9" x14ac:dyDescent="0.3">
      <c r="A13" s="4" t="s">
        <v>6</v>
      </c>
      <c r="B13" s="4" t="s">
        <v>313</v>
      </c>
      <c r="C13" s="109">
        <v>0.5</v>
      </c>
      <c r="D13" s="109">
        <v>1</v>
      </c>
      <c r="E13" s="179">
        <f t="shared" si="0"/>
        <v>11266.666666666668</v>
      </c>
      <c r="G13" s="4" t="s">
        <v>316</v>
      </c>
      <c r="H13" s="109">
        <v>0.25</v>
      </c>
      <c r="I13" s="138">
        <f t="shared" si="1"/>
        <v>5633.3333333333339</v>
      </c>
    </row>
    <row r="14" spans="1:9" x14ac:dyDescent="0.3">
      <c r="A14" s="8"/>
      <c r="B14" s="8"/>
      <c r="C14" s="112"/>
      <c r="D14" s="112"/>
      <c r="E14" s="112"/>
      <c r="F14" s="112"/>
    </row>
    <row r="16" spans="1:9" ht="30" customHeight="1" x14ac:dyDescent="0.3">
      <c r="A16" s="202" t="s">
        <v>309</v>
      </c>
      <c r="B16" s="203"/>
      <c r="C16" s="201" t="s">
        <v>306</v>
      </c>
      <c r="D16" s="201"/>
      <c r="E16" s="151"/>
      <c r="G16" s="201" t="s">
        <v>201</v>
      </c>
      <c r="H16" s="201"/>
    </row>
    <row r="17" spans="1:18" ht="28.8" x14ac:dyDescent="0.3">
      <c r="A17" s="5" t="s">
        <v>308</v>
      </c>
      <c r="B17" s="4" t="s">
        <v>298</v>
      </c>
      <c r="C17" s="5" t="s">
        <v>305</v>
      </c>
      <c r="D17" s="5" t="s">
        <v>332</v>
      </c>
      <c r="E17" s="178"/>
      <c r="G17" s="4" t="s">
        <v>298</v>
      </c>
      <c r="H17" s="5" t="s">
        <v>305</v>
      </c>
      <c r="I17" t="s">
        <v>459</v>
      </c>
    </row>
    <row r="18" spans="1:18" x14ac:dyDescent="0.3">
      <c r="A18" s="4" t="s">
        <v>200</v>
      </c>
      <c r="B18" s="5" t="s">
        <v>335</v>
      </c>
      <c r="C18" s="109">
        <v>1</v>
      </c>
      <c r="D18" s="109">
        <v>2</v>
      </c>
      <c r="E18" s="179">
        <f>C18*D18*(52*40/12)*$C$7</f>
        <v>48533.333333333336</v>
      </c>
      <c r="G18" s="4" t="s">
        <v>314</v>
      </c>
      <c r="H18" s="109">
        <v>1</v>
      </c>
      <c r="I18" s="138">
        <f>H18*(52*40/12)*$C$7</f>
        <v>24266.666666666668</v>
      </c>
    </row>
    <row r="19" spans="1:18" x14ac:dyDescent="0.3">
      <c r="A19" s="4" t="s">
        <v>304</v>
      </c>
      <c r="B19" s="5" t="s">
        <v>336</v>
      </c>
      <c r="C19" s="109">
        <v>1</v>
      </c>
      <c r="D19" s="109">
        <v>1</v>
      </c>
      <c r="E19" s="179">
        <f t="shared" ref="E19:E20" si="2">C19*D19*(52*40/12)*$C$7</f>
        <v>24266.666666666668</v>
      </c>
      <c r="G19" s="4" t="s">
        <v>315</v>
      </c>
      <c r="H19" s="109">
        <v>0.5</v>
      </c>
      <c r="I19" s="138">
        <f t="shared" ref="I19:I20" si="3">H19*(52*40/12)*$C$7</f>
        <v>12133.333333333334</v>
      </c>
    </row>
    <row r="20" spans="1:18" ht="28.8" x14ac:dyDescent="0.3">
      <c r="A20" s="4" t="s">
        <v>6</v>
      </c>
      <c r="B20" s="5" t="s">
        <v>337</v>
      </c>
      <c r="C20" s="109">
        <v>0.5</v>
      </c>
      <c r="D20" s="109">
        <v>1</v>
      </c>
      <c r="E20" s="179">
        <f t="shared" si="2"/>
        <v>12133.333333333334</v>
      </c>
      <c r="G20" s="4" t="s">
        <v>316</v>
      </c>
      <c r="H20" s="109">
        <v>0.25</v>
      </c>
      <c r="I20" s="138">
        <f t="shared" si="3"/>
        <v>6066.666666666667</v>
      </c>
      <c r="R20" t="s">
        <v>200</v>
      </c>
    </row>
    <row r="21" spans="1:18" x14ac:dyDescent="0.3">
      <c r="R21" t="s">
        <v>5</v>
      </c>
    </row>
    <row r="22" spans="1:18" x14ac:dyDescent="0.3">
      <c r="R22" t="s">
        <v>6</v>
      </c>
    </row>
    <row r="23" spans="1:18" ht="48" customHeight="1" x14ac:dyDescent="0.3">
      <c r="A23" s="205" t="s">
        <v>319</v>
      </c>
      <c r="B23" s="206"/>
      <c r="C23" s="201" t="s">
        <v>306</v>
      </c>
      <c r="D23" s="201"/>
      <c r="E23" s="95"/>
      <c r="G23" s="201" t="s">
        <v>201</v>
      </c>
      <c r="H23" s="201"/>
    </row>
    <row r="24" spans="1:18" ht="28.8" x14ac:dyDescent="0.3">
      <c r="A24" s="5" t="s">
        <v>310</v>
      </c>
      <c r="B24" s="4" t="s">
        <v>298</v>
      </c>
      <c r="C24" s="5" t="s">
        <v>305</v>
      </c>
      <c r="D24" s="5" t="s">
        <v>332</v>
      </c>
      <c r="E24" s="181"/>
      <c r="G24" s="4" t="s">
        <v>298</v>
      </c>
      <c r="H24" s="5" t="s">
        <v>305</v>
      </c>
      <c r="I24" s="180" t="s">
        <v>459</v>
      </c>
    </row>
    <row r="25" spans="1:18" x14ac:dyDescent="0.3">
      <c r="A25" s="4" t="s">
        <v>200</v>
      </c>
      <c r="B25" s="4" t="s">
        <v>361</v>
      </c>
      <c r="C25" s="209" t="s">
        <v>333</v>
      </c>
      <c r="D25" s="210"/>
      <c r="E25" s="95"/>
      <c r="G25" s="4" t="s">
        <v>314</v>
      </c>
      <c r="H25" s="109">
        <v>0.75</v>
      </c>
      <c r="I25" s="138">
        <f>H25*(52*40/12)*$C$6</f>
        <v>16900</v>
      </c>
    </row>
    <row r="26" spans="1:18" x14ac:dyDescent="0.3">
      <c r="A26" s="4" t="s">
        <v>304</v>
      </c>
      <c r="B26" s="4" t="s">
        <v>362</v>
      </c>
      <c r="C26" s="211"/>
      <c r="D26" s="212"/>
      <c r="E26" s="95"/>
      <c r="G26" s="4" t="s">
        <v>315</v>
      </c>
      <c r="H26" s="109">
        <v>0.5</v>
      </c>
      <c r="I26" s="138">
        <f t="shared" ref="I26:I27" si="4">H26*(52*40/12)*$C$6</f>
        <v>11266.666666666668</v>
      </c>
    </row>
    <row r="27" spans="1:18" x14ac:dyDescent="0.3">
      <c r="A27" s="4" t="s">
        <v>6</v>
      </c>
      <c r="B27" s="4" t="s">
        <v>363</v>
      </c>
      <c r="C27" s="213"/>
      <c r="D27" s="214"/>
      <c r="E27" s="95"/>
      <c r="G27" s="4" t="s">
        <v>316</v>
      </c>
      <c r="H27" s="109">
        <v>0.25</v>
      </c>
      <c r="I27" s="138">
        <f t="shared" si="4"/>
        <v>5633.3333333333339</v>
      </c>
    </row>
    <row r="28" spans="1:18" x14ac:dyDescent="0.3">
      <c r="A28" s="8"/>
      <c r="B28" s="8"/>
      <c r="C28" s="112"/>
      <c r="D28" s="112"/>
      <c r="E28" s="112"/>
      <c r="F28" s="112"/>
    </row>
    <row r="30" spans="1:18" ht="59.25" customHeight="1" x14ac:dyDescent="0.3">
      <c r="A30" s="205" t="s">
        <v>320</v>
      </c>
      <c r="B30" s="206"/>
      <c r="C30" s="201" t="s">
        <v>306</v>
      </c>
      <c r="D30" s="201"/>
      <c r="E30" s="95"/>
      <c r="G30" s="201" t="s">
        <v>201</v>
      </c>
      <c r="H30" s="201"/>
    </row>
    <row r="31" spans="1:18" ht="28.8" x14ac:dyDescent="0.3">
      <c r="A31" s="5" t="s">
        <v>308</v>
      </c>
      <c r="B31" s="4" t="s">
        <v>298</v>
      </c>
      <c r="C31" s="5" t="s">
        <v>305</v>
      </c>
      <c r="D31" s="5" t="s">
        <v>332</v>
      </c>
      <c r="E31" s="181"/>
      <c r="G31" s="4" t="s">
        <v>298</v>
      </c>
      <c r="H31" s="5" t="s">
        <v>305</v>
      </c>
    </row>
    <row r="32" spans="1:18" x14ac:dyDescent="0.3">
      <c r="A32" s="4" t="s">
        <v>200</v>
      </c>
      <c r="B32" s="5" t="s">
        <v>335</v>
      </c>
      <c r="C32" s="220" t="s">
        <v>333</v>
      </c>
      <c r="D32" s="221"/>
      <c r="E32" s="182"/>
      <c r="G32" s="4" t="s">
        <v>314</v>
      </c>
      <c r="H32" s="109">
        <v>0.75</v>
      </c>
      <c r="I32" s="138">
        <f>H32*(52*40/12)*$C$7</f>
        <v>18200</v>
      </c>
    </row>
    <row r="33" spans="1:14" x14ac:dyDescent="0.3">
      <c r="A33" s="4" t="s">
        <v>304</v>
      </c>
      <c r="B33" s="5" t="s">
        <v>336</v>
      </c>
      <c r="C33" s="222"/>
      <c r="D33" s="223"/>
      <c r="E33" s="182"/>
      <c r="G33" s="4" t="s">
        <v>315</v>
      </c>
      <c r="H33" s="109">
        <v>0.5</v>
      </c>
      <c r="I33" s="138">
        <f t="shared" ref="I33:I34" si="5">H33*(52*40/12)*$C$7</f>
        <v>12133.333333333334</v>
      </c>
    </row>
    <row r="34" spans="1:14" ht="28.8" x14ac:dyDescent="0.3">
      <c r="A34" s="4" t="s">
        <v>6</v>
      </c>
      <c r="B34" s="5" t="s">
        <v>337</v>
      </c>
      <c r="C34" s="224"/>
      <c r="D34" s="225"/>
      <c r="E34" s="182"/>
      <c r="G34" s="4" t="s">
        <v>316</v>
      </c>
      <c r="H34" s="109">
        <v>0.25</v>
      </c>
      <c r="I34" s="138">
        <f t="shared" si="5"/>
        <v>6066.666666666667</v>
      </c>
    </row>
    <row r="38" spans="1:14" ht="65.25" customHeight="1" x14ac:dyDescent="0.3">
      <c r="A38" s="205" t="s">
        <v>351</v>
      </c>
      <c r="B38" s="206"/>
      <c r="C38" s="207" t="s">
        <v>201</v>
      </c>
      <c r="D38" s="208"/>
      <c r="E38" s="208"/>
      <c r="F38" s="208"/>
    </row>
    <row r="39" spans="1:14" x14ac:dyDescent="0.3">
      <c r="A39" s="5" t="s">
        <v>326</v>
      </c>
      <c r="B39" s="4"/>
      <c r="C39" s="114" t="s">
        <v>200</v>
      </c>
      <c r="D39" s="114" t="s">
        <v>5</v>
      </c>
      <c r="E39" s="109" t="s">
        <v>6</v>
      </c>
      <c r="F39" t="s">
        <v>387</v>
      </c>
    </row>
    <row r="40" spans="1:14" ht="63.75" customHeight="1" x14ac:dyDescent="0.3">
      <c r="A40" s="4" t="s">
        <v>327</v>
      </c>
      <c r="B40" s="5" t="s">
        <v>330</v>
      </c>
      <c r="C40" s="109">
        <v>100</v>
      </c>
      <c r="D40" s="109">
        <v>50</v>
      </c>
      <c r="E40" s="109">
        <v>25</v>
      </c>
      <c r="F40" t="s">
        <v>438</v>
      </c>
    </row>
    <row r="41" spans="1:14" ht="56.25" customHeight="1" x14ac:dyDescent="0.3">
      <c r="A41" s="4" t="s">
        <v>341</v>
      </c>
      <c r="B41" s="120" t="s">
        <v>342</v>
      </c>
      <c r="C41" s="109">
        <v>50</v>
      </c>
      <c r="D41" s="109">
        <v>25</v>
      </c>
      <c r="E41" s="109">
        <v>10</v>
      </c>
      <c r="F41" t="s">
        <v>344</v>
      </c>
    </row>
    <row r="42" spans="1:14" ht="56.25" customHeight="1" x14ac:dyDescent="0.3">
      <c r="A42" s="4" t="s">
        <v>334</v>
      </c>
      <c r="B42" s="120" t="s">
        <v>343</v>
      </c>
      <c r="C42" s="109">
        <v>100</v>
      </c>
      <c r="D42" s="109">
        <v>50</v>
      </c>
      <c r="E42" s="109">
        <v>25</v>
      </c>
      <c r="F42" t="s">
        <v>344</v>
      </c>
    </row>
    <row r="43" spans="1:14" ht="28.8" x14ac:dyDescent="0.3">
      <c r="A43" s="217" t="s">
        <v>328</v>
      </c>
      <c r="B43" s="122" t="s">
        <v>350</v>
      </c>
      <c r="C43" s="109">
        <v>40</v>
      </c>
      <c r="D43" s="109">
        <v>15</v>
      </c>
      <c r="E43" s="109">
        <v>5</v>
      </c>
      <c r="F43" t="s">
        <v>346</v>
      </c>
    </row>
    <row r="44" spans="1:14" x14ac:dyDescent="0.3">
      <c r="A44" s="218"/>
      <c r="B44" s="123" t="s">
        <v>345</v>
      </c>
      <c r="C44" s="109">
        <v>10</v>
      </c>
      <c r="D44" s="109">
        <v>10</v>
      </c>
      <c r="E44" s="109">
        <v>5</v>
      </c>
      <c r="F44" t="s">
        <v>347</v>
      </c>
    </row>
    <row r="45" spans="1:14" ht="28.8" x14ac:dyDescent="0.3">
      <c r="A45" s="219"/>
      <c r="B45" s="123" t="s">
        <v>349</v>
      </c>
      <c r="C45" s="117">
        <v>0.1</v>
      </c>
      <c r="D45" s="117">
        <v>0.1</v>
      </c>
      <c r="E45" s="117">
        <v>0.1</v>
      </c>
      <c r="F45" t="s">
        <v>348</v>
      </c>
    </row>
    <row r="46" spans="1:14" ht="30" customHeight="1" x14ac:dyDescent="0.3">
      <c r="A46" s="216" t="s">
        <v>329</v>
      </c>
      <c r="B46" s="215" t="s">
        <v>338</v>
      </c>
      <c r="C46" s="109">
        <v>5</v>
      </c>
      <c r="D46" s="109">
        <v>3</v>
      </c>
      <c r="E46" s="109">
        <v>2</v>
      </c>
      <c r="F46" t="s">
        <v>340</v>
      </c>
    </row>
    <row r="47" spans="1:14" x14ac:dyDescent="0.3">
      <c r="A47" s="216"/>
      <c r="B47" s="215"/>
      <c r="C47" s="109">
        <v>2000</v>
      </c>
      <c r="D47" s="109">
        <v>2000</v>
      </c>
      <c r="E47" s="109">
        <v>160</v>
      </c>
      <c r="F47" t="s">
        <v>352</v>
      </c>
      <c r="N47">
        <v>2000</v>
      </c>
    </row>
    <row r="48" spans="1:14" x14ac:dyDescent="0.3">
      <c r="N48">
        <v>160</v>
      </c>
    </row>
  </sheetData>
  <mergeCells count="20">
    <mergeCell ref="A23:B23"/>
    <mergeCell ref="C23:D23"/>
    <mergeCell ref="A30:B30"/>
    <mergeCell ref="C30:D30"/>
    <mergeCell ref="G9:H9"/>
    <mergeCell ref="G16:H16"/>
    <mergeCell ref="G23:H23"/>
    <mergeCell ref="G30:H30"/>
    <mergeCell ref="A38:B38"/>
    <mergeCell ref="C38:F38"/>
    <mergeCell ref="C25:D27"/>
    <mergeCell ref="B46:B47"/>
    <mergeCell ref="A46:A47"/>
    <mergeCell ref="A43:A45"/>
    <mergeCell ref="C32:D34"/>
    <mergeCell ref="C9:D9"/>
    <mergeCell ref="C16:D16"/>
    <mergeCell ref="A16:B16"/>
    <mergeCell ref="A9:B9"/>
    <mergeCell ref="A2:G3"/>
  </mergeCells>
  <dataValidations count="2">
    <dataValidation type="whole" allowBlank="1" showInputMessage="1" showErrorMessage="1" sqref="C40:E40">
      <formula1>0</formula1>
      <formula2>450</formula2>
    </dataValidation>
    <dataValidation type="list" allowBlank="1" showInputMessage="1" showErrorMessage="1" sqref="C47:E47">
      <formula1>$N$47:$N$48</formula1>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55" zoomScaleNormal="55" workbookViewId="0">
      <selection activeCell="H16" sqref="H16"/>
    </sheetView>
  </sheetViews>
  <sheetFormatPr defaultRowHeight="14.4" outlineLevelRow="1" x14ac:dyDescent="0.3"/>
  <cols>
    <col min="1" max="1" width="41.6640625" customWidth="1"/>
    <col min="2" max="2" width="38.33203125" customWidth="1"/>
    <col min="3" max="3" width="16.33203125" bestFit="1" customWidth="1"/>
    <col min="4" max="4" width="18.33203125" bestFit="1" customWidth="1"/>
    <col min="5" max="5" width="17.33203125" bestFit="1" customWidth="1"/>
    <col min="6" max="6" width="17.88671875" bestFit="1" customWidth="1"/>
    <col min="7" max="7" width="19" customWidth="1"/>
    <col min="8" max="8" width="18.6640625" customWidth="1"/>
    <col min="9" max="9" width="27.88671875" customWidth="1"/>
    <col min="10" max="10" width="18.109375" customWidth="1"/>
    <col min="11" max="11" width="13.44140625" customWidth="1"/>
    <col min="12" max="12" width="11.88671875" customWidth="1"/>
    <col min="13" max="13" width="10.6640625" customWidth="1"/>
    <col min="15" max="15" width="22.6640625" customWidth="1"/>
    <col min="16" max="16" width="12.44140625" customWidth="1"/>
    <col min="24" max="26" width="12.88671875" bestFit="1" customWidth="1"/>
    <col min="27" max="27" width="14.5546875" customWidth="1"/>
    <col min="28" max="28" width="23.44140625" customWidth="1"/>
    <col min="29" max="29" width="11.5546875" bestFit="1" customWidth="1"/>
    <col min="30" max="30" width="10.44140625" bestFit="1" customWidth="1"/>
  </cols>
  <sheetData>
    <row r="1" spans="1:30" ht="31.2" x14ac:dyDescent="0.6">
      <c r="A1" s="75" t="s">
        <v>209</v>
      </c>
    </row>
    <row r="2" spans="1:30" ht="21" x14ac:dyDescent="0.4">
      <c r="A2" s="228" t="s">
        <v>210</v>
      </c>
      <c r="B2" s="228"/>
      <c r="C2" s="228"/>
      <c r="D2" s="228"/>
      <c r="E2" s="228"/>
      <c r="F2" s="228"/>
      <c r="G2" s="228"/>
      <c r="H2" s="76"/>
    </row>
    <row r="3" spans="1:30" ht="21" x14ac:dyDescent="0.4">
      <c r="A3" s="227" t="s">
        <v>211</v>
      </c>
      <c r="B3" s="227"/>
      <c r="C3" s="227"/>
      <c r="D3" s="227"/>
      <c r="E3" s="227"/>
      <c r="F3" s="227"/>
      <c r="G3" s="227"/>
      <c r="H3" s="76"/>
    </row>
    <row r="4" spans="1:30" ht="18.75" customHeight="1" x14ac:dyDescent="0.4">
      <c r="A4" s="226" t="s">
        <v>212</v>
      </c>
      <c r="B4" s="226"/>
      <c r="C4" s="226"/>
      <c r="D4" s="226"/>
      <c r="E4" s="226"/>
      <c r="F4" s="226"/>
      <c r="G4" s="226"/>
      <c r="H4" s="226"/>
    </row>
    <row r="5" spans="1:30" ht="31.2" x14ac:dyDescent="0.6">
      <c r="A5" s="77"/>
      <c r="B5" s="15"/>
      <c r="C5" s="15"/>
      <c r="D5" s="15"/>
      <c r="E5" s="15"/>
      <c r="F5" s="15"/>
      <c r="G5" s="15"/>
      <c r="H5" s="15"/>
    </row>
    <row r="6" spans="1:30" ht="21" customHeight="1" x14ac:dyDescent="0.3">
      <c r="A6" t="s">
        <v>208</v>
      </c>
      <c r="I6" s="8"/>
      <c r="J6" s="8"/>
      <c r="K6" s="8"/>
      <c r="L6" s="8"/>
      <c r="M6" s="8"/>
      <c r="N6" s="8"/>
    </row>
    <row r="7" spans="1:30" s="131" customFormat="1" ht="18.75" customHeight="1" x14ac:dyDescent="0.3">
      <c r="A7" s="137" t="s">
        <v>388</v>
      </c>
      <c r="I7" s="132"/>
      <c r="J7" s="132"/>
      <c r="K7" s="132"/>
      <c r="L7" s="132"/>
      <c r="M7" s="132"/>
      <c r="N7" s="132"/>
    </row>
    <row r="8" spans="1:30" ht="18.75" customHeight="1" outlineLevel="1" x14ac:dyDescent="0.3">
      <c r="A8" s="4" t="s">
        <v>359</v>
      </c>
      <c r="B8" s="109" t="s">
        <v>6</v>
      </c>
      <c r="C8" s="136" t="s">
        <v>364</v>
      </c>
      <c r="I8" s="8"/>
      <c r="J8" s="8"/>
      <c r="K8" s="8"/>
      <c r="L8" s="8"/>
      <c r="M8" s="8"/>
      <c r="N8" s="8"/>
    </row>
    <row r="9" spans="1:30" outlineLevel="1" x14ac:dyDescent="0.3">
      <c r="A9" s="4" t="s">
        <v>360</v>
      </c>
      <c r="B9" s="109" t="s">
        <v>6</v>
      </c>
      <c r="C9" s="136" t="s">
        <v>364</v>
      </c>
      <c r="I9" s="8"/>
      <c r="J9" s="8"/>
      <c r="K9" s="8"/>
      <c r="L9" s="8"/>
      <c r="M9" s="8"/>
      <c r="N9" s="8"/>
    </row>
    <row r="10" spans="1:30" outlineLevel="1" x14ac:dyDescent="0.3">
      <c r="B10" s="3"/>
      <c r="C10" s="133"/>
      <c r="I10" s="8"/>
      <c r="J10" s="8"/>
      <c r="K10" s="8"/>
      <c r="L10" s="8"/>
      <c r="M10" s="8"/>
      <c r="N10" s="8"/>
    </row>
    <row r="11" spans="1:30" ht="40.5" customHeight="1" outlineLevel="1" x14ac:dyDescent="0.3">
      <c r="A11" s="230" t="s">
        <v>321</v>
      </c>
      <c r="B11" s="229"/>
      <c r="C11" s="113" t="s">
        <v>322</v>
      </c>
      <c r="D11" s="113"/>
      <c r="E11" s="197" t="s">
        <v>324</v>
      </c>
      <c r="F11" s="197"/>
      <c r="G11" s="197"/>
      <c r="H11" s="232" t="s">
        <v>380</v>
      </c>
      <c r="I11" s="232"/>
      <c r="J11" s="232"/>
      <c r="K11" s="232"/>
      <c r="L11" s="232"/>
      <c r="O11" s="237" t="s">
        <v>368</v>
      </c>
      <c r="P11" s="237" t="s">
        <v>202</v>
      </c>
      <c r="Q11" s="237" t="s">
        <v>203</v>
      </c>
      <c r="R11" s="233" t="s">
        <v>204</v>
      </c>
      <c r="S11" s="233" t="s">
        <v>205</v>
      </c>
      <c r="T11" s="233" t="s">
        <v>206</v>
      </c>
      <c r="W11" s="5" t="s">
        <v>470</v>
      </c>
      <c r="X11" s="234" t="s">
        <v>322</v>
      </c>
      <c r="Y11" s="235"/>
      <c r="Z11" s="234" t="s">
        <v>324</v>
      </c>
      <c r="AA11" s="236"/>
      <c r="AB11" s="236"/>
      <c r="AC11" s="236"/>
      <c r="AD11" s="235"/>
    </row>
    <row r="12" spans="1:30" outlineLevel="1" x14ac:dyDescent="0.3">
      <c r="A12" s="231"/>
      <c r="B12" s="229"/>
      <c r="C12" s="113" t="s">
        <v>323</v>
      </c>
      <c r="D12" s="113" t="s">
        <v>3</v>
      </c>
      <c r="E12" s="198" t="s">
        <v>325</v>
      </c>
      <c r="F12" s="198" t="s">
        <v>3</v>
      </c>
      <c r="G12" s="198" t="s">
        <v>0</v>
      </c>
      <c r="H12" s="198" t="s">
        <v>374</v>
      </c>
      <c r="I12" s="198" t="s">
        <v>375</v>
      </c>
      <c r="J12" s="198" t="s">
        <v>376</v>
      </c>
      <c r="K12" s="198" t="s">
        <v>377</v>
      </c>
      <c r="L12" s="198" t="s">
        <v>378</v>
      </c>
      <c r="O12" s="237"/>
      <c r="P12" s="237"/>
      <c r="Q12" s="237"/>
      <c r="R12" s="233"/>
      <c r="S12" s="233"/>
      <c r="T12" s="233"/>
      <c r="W12" s="4"/>
      <c r="X12" s="4" t="s">
        <v>323</v>
      </c>
      <c r="Y12" s="4" t="s">
        <v>3</v>
      </c>
      <c r="Z12" s="5" t="s">
        <v>325</v>
      </c>
      <c r="AA12" s="5" t="s">
        <v>3</v>
      </c>
      <c r="AB12" s="5" t="s">
        <v>0</v>
      </c>
      <c r="AC12" s="140" t="s">
        <v>117</v>
      </c>
      <c r="AD12" s="140" t="s">
        <v>119</v>
      </c>
    </row>
    <row r="13" spans="1:30" ht="28.8" outlineLevel="1" x14ac:dyDescent="0.3">
      <c r="A13" s="88" t="s">
        <v>4</v>
      </c>
      <c r="B13" s="195" t="s">
        <v>389</v>
      </c>
      <c r="C13" s="109" t="s">
        <v>200</v>
      </c>
      <c r="D13" s="109" t="s">
        <v>200</v>
      </c>
      <c r="E13" s="109" t="s">
        <v>200</v>
      </c>
      <c r="F13" s="109" t="s">
        <v>200</v>
      </c>
      <c r="G13" s="109" t="s">
        <v>200</v>
      </c>
      <c r="H13" s="109"/>
      <c r="I13" s="109"/>
      <c r="J13" s="109"/>
      <c r="K13" s="109"/>
      <c r="L13" s="109"/>
      <c r="O13" s="140" t="s">
        <v>4</v>
      </c>
      <c r="P13" s="4">
        <f>H13</f>
        <v>0</v>
      </c>
      <c r="Q13" s="4">
        <f>P13+I13</f>
        <v>0</v>
      </c>
      <c r="R13" s="4">
        <f>Q13+J13</f>
        <v>0</v>
      </c>
      <c r="S13" s="4">
        <f>R13+K13</f>
        <v>0</v>
      </c>
      <c r="T13" s="4">
        <f>S13+L13</f>
        <v>0</v>
      </c>
      <c r="W13" s="4" t="s">
        <v>4</v>
      </c>
      <c r="X13" s="74">
        <f>IF(C13="High",'Set-up + Definitions'!$E$11,IF(C13="Medium",'Set-up + Definitions'!$E$12,'Set-up + Definitions'!$E$13))</f>
        <v>45066.666666666672</v>
      </c>
      <c r="Y13" s="74">
        <f>IF(D13="High",'Set-up + Definitions'!$E$18,IF(D13="Medium",'Set-up + Definitions'!$E$19,'Set-up + Definitions'!$E$20))</f>
        <v>48533.333333333336</v>
      </c>
      <c r="Z13" s="74">
        <f>IF(E13="High",'Set-up + Definitions'!$I$11, IF(E13="Medium",'Set-up + Definitions'!$I$12,'Set-up + Definitions'!$I$13))</f>
        <v>22533.333333333336</v>
      </c>
      <c r="AA13" s="74">
        <f>IF(F13="High",'Set-up + Definitions'!$I$18,IF(F13="Medium",'Set-up + Definitions'!$I$19,'Set-up + Definitions'!$I$20))</f>
        <v>24266.666666666668</v>
      </c>
      <c r="AB13" s="74">
        <f>IF(G13="High",UnitCosts!$H$30,IF(G13="Medium",UnitCosts!$I$30,UnitCosts!$J$30))</f>
        <v>15427.340000000004</v>
      </c>
      <c r="AC13" s="72">
        <f>IF(G13="High",UnitCosts!$K$30,IF(G13="Medium",UnitCosts!$L$30,UnitCosts!$M$30))</f>
        <v>10561.68</v>
      </c>
      <c r="AD13" s="72">
        <f>IF(G13="High",UnitCosts!$N$30,IF(G13="Medium",UnitCosts!$O$30,UnitCosts!$P$30))</f>
        <v>4865.66</v>
      </c>
    </row>
    <row r="14" spans="1:30" ht="28.8" outlineLevel="1" x14ac:dyDescent="0.3">
      <c r="A14" s="88" t="s">
        <v>5</v>
      </c>
      <c r="B14" s="195" t="s">
        <v>389</v>
      </c>
      <c r="C14" s="109" t="s">
        <v>5</v>
      </c>
      <c r="D14" s="109" t="s">
        <v>5</v>
      </c>
      <c r="E14" s="109" t="s">
        <v>5</v>
      </c>
      <c r="F14" s="109" t="s">
        <v>5</v>
      </c>
      <c r="G14" s="109" t="s">
        <v>5</v>
      </c>
      <c r="H14" s="109"/>
      <c r="I14" s="109"/>
      <c r="J14" s="109"/>
      <c r="K14" s="109"/>
      <c r="L14" s="109"/>
      <c r="O14" s="135" t="s">
        <v>5</v>
      </c>
      <c r="P14" s="4">
        <f t="shared" ref="P14:P16" si="0">H14</f>
        <v>0</v>
      </c>
      <c r="Q14" s="4">
        <f t="shared" ref="Q14:T14" si="1">P14+I14</f>
        <v>0</v>
      </c>
      <c r="R14" s="4">
        <f t="shared" si="1"/>
        <v>0</v>
      </c>
      <c r="S14" s="4">
        <f t="shared" si="1"/>
        <v>0</v>
      </c>
      <c r="T14" s="4">
        <f t="shared" si="1"/>
        <v>0</v>
      </c>
      <c r="W14" s="4" t="s">
        <v>5</v>
      </c>
      <c r="X14" s="74">
        <f>IF(C14="High",'Set-up + Definitions'!$E$11,IF(C14="Medium",'Set-up + Definitions'!$E$12,'Set-up + Definitions'!$E$13))</f>
        <v>22533.333333333336</v>
      </c>
      <c r="Y14" s="74">
        <f>IF(D14="High",'Set-up + Definitions'!$E$18,IF(D14="Medium",'Set-up + Definitions'!$E$19,'Set-up + Definitions'!$E$20))</f>
        <v>24266.666666666668</v>
      </c>
      <c r="Z14" s="74">
        <f>IF(E14="High",'Set-up + Definitions'!$I$11, IF(E14="Medium",'Set-up + Definitions'!$I$12,'Set-up + Definitions'!$I$13))</f>
        <v>11266.666666666668</v>
      </c>
      <c r="AA14" s="74">
        <f>IF(F14="High",'Set-up + Definitions'!$I$18,IF(F14="Medium",'Set-up + Definitions'!$I$19,'Set-up + Definitions'!$I$20))</f>
        <v>12133.333333333334</v>
      </c>
      <c r="AB14" s="74">
        <f>IF(G14="High",UnitCosts!$H$30,IF(G14="Medium",UnitCosts!$I$30,UnitCosts!$J$30))</f>
        <v>7940.83</v>
      </c>
      <c r="AC14" s="72">
        <f>IF(G14="High",UnitCosts!$K$30,IF(G14="Medium",UnitCosts!$L$30,UnitCosts!$M$30))</f>
        <v>5754.6500000000005</v>
      </c>
      <c r="AD14" s="72">
        <f>IF(G14="High",UnitCosts!$N$30,IF(G14="Medium",UnitCosts!$O$30,UnitCosts!$P$30))</f>
        <v>2186.1800000000003</v>
      </c>
    </row>
    <row r="15" spans="1:30" ht="28.8" outlineLevel="1" x14ac:dyDescent="0.3">
      <c r="A15" s="88" t="s">
        <v>7</v>
      </c>
      <c r="B15" s="195" t="s">
        <v>389</v>
      </c>
      <c r="C15" s="109" t="s">
        <v>6</v>
      </c>
      <c r="D15" s="109" t="s">
        <v>6</v>
      </c>
      <c r="E15" s="109" t="s">
        <v>6</v>
      </c>
      <c r="F15" s="109" t="s">
        <v>6</v>
      </c>
      <c r="G15" s="109" t="s">
        <v>6</v>
      </c>
      <c r="H15" s="109">
        <v>1</v>
      </c>
      <c r="I15" s="109"/>
      <c r="J15" s="109"/>
      <c r="K15" s="109"/>
      <c r="L15" s="109"/>
      <c r="O15" s="135" t="s">
        <v>7</v>
      </c>
      <c r="P15" s="4">
        <f t="shared" si="0"/>
        <v>1</v>
      </c>
      <c r="Q15" s="4">
        <f t="shared" ref="Q15:T15" si="2">P15+I15</f>
        <v>1</v>
      </c>
      <c r="R15" s="4">
        <f t="shared" si="2"/>
        <v>1</v>
      </c>
      <c r="S15" s="4">
        <f t="shared" si="2"/>
        <v>1</v>
      </c>
      <c r="T15" s="4">
        <f t="shared" si="2"/>
        <v>1</v>
      </c>
      <c r="W15" s="4" t="s">
        <v>7</v>
      </c>
      <c r="X15" s="74">
        <f>IF(C15="High",'Set-up + Definitions'!$E$11,IF(C15="Medium",'Set-up + Definitions'!$E$12,'Set-up + Definitions'!$E$13))</f>
        <v>11266.666666666668</v>
      </c>
      <c r="Y15" s="74">
        <f>IF(D15="High",'Set-up + Definitions'!$E$18,IF(D15="Medium",'Set-up + Definitions'!$E$19,'Set-up + Definitions'!$E$20))</f>
        <v>12133.333333333334</v>
      </c>
      <c r="Z15" s="74">
        <f>IF(E15="High",'Set-up + Definitions'!$I$11, IF(E15="Medium",'Set-up + Definitions'!$I$12,'Set-up + Definitions'!$I$13))</f>
        <v>5633.3333333333339</v>
      </c>
      <c r="AA15" s="74">
        <f>IF(F15="High",'Set-up + Definitions'!$I$18,IF(F15="Medium",'Set-up + Definitions'!$I$19,'Set-up + Definitions'!$I$20))</f>
        <v>6066.666666666667</v>
      </c>
      <c r="AB15" s="74">
        <f>IF(G15="High",UnitCosts!$H$30,IF(G15="Medium",UnitCosts!$I$30,UnitCosts!$J$30))</f>
        <v>2962.0250000000001</v>
      </c>
      <c r="AC15" s="72">
        <f>IF(G15="High",UnitCosts!$K$30,IF(G15="Medium",UnitCosts!$L$30,UnitCosts!$M$30))</f>
        <v>2378.355</v>
      </c>
      <c r="AD15" s="72">
        <f>IF(G15="High",UnitCosts!$N$30,IF(G15="Medium",UnitCosts!$O$30,UnitCosts!$P$30))</f>
        <v>583.66999999999996</v>
      </c>
    </row>
    <row r="16" spans="1:30" outlineLevel="1" x14ac:dyDescent="0.3">
      <c r="A16" s="88" t="s">
        <v>365</v>
      </c>
      <c r="B16" s="196" t="s">
        <v>379</v>
      </c>
      <c r="C16" s="109"/>
      <c r="D16" s="109"/>
      <c r="E16" s="109"/>
      <c r="F16" s="109"/>
      <c r="G16" s="109"/>
      <c r="H16" s="109"/>
      <c r="I16" s="109"/>
      <c r="J16" s="109"/>
      <c r="K16" s="109"/>
      <c r="L16" s="109"/>
      <c r="O16" s="135" t="s">
        <v>365</v>
      </c>
      <c r="P16" s="4">
        <f t="shared" si="0"/>
        <v>0</v>
      </c>
      <c r="Q16" s="4">
        <f t="shared" ref="Q16:T16" si="3">P16+I16</f>
        <v>0</v>
      </c>
      <c r="R16" s="4">
        <f t="shared" si="3"/>
        <v>0</v>
      </c>
      <c r="S16" s="4">
        <f t="shared" si="3"/>
        <v>0</v>
      </c>
      <c r="T16" s="4">
        <f t="shared" si="3"/>
        <v>0</v>
      </c>
      <c r="W16" s="4" t="s">
        <v>365</v>
      </c>
      <c r="X16" s="74">
        <f>IF(C16="High",'Set-up + Definitions'!$E$11,IF(C16="Medium",'Set-up + Definitions'!$E$12,'Set-up + Definitions'!$E$13))</f>
        <v>11266.666666666668</v>
      </c>
      <c r="Y16" s="74">
        <f>IF(D16="High",'Set-up + Definitions'!$E$18,IF(D16="Medium",'Set-up + Definitions'!$E$19,'Set-up + Definitions'!$E$20))</f>
        <v>12133.333333333334</v>
      </c>
      <c r="Z16" s="74">
        <f>IF(E16="High",'Set-up + Definitions'!$I$11, IF(E16="Medium",'Set-up + Definitions'!$I$12,'Set-up + Definitions'!$I$13))</f>
        <v>5633.3333333333339</v>
      </c>
      <c r="AA16" s="74">
        <f>IF(F16="High",'Set-up + Definitions'!$I$18,IF(F16="Medium",'Set-up + Definitions'!$I$19,'Set-up + Definitions'!$I$20))</f>
        <v>6066.666666666667</v>
      </c>
      <c r="AB16" s="74">
        <f>IF(G16="High",UnitCosts!$H$30,IF(G16="Medium",UnitCosts!$I$30,UnitCosts!$J$30))</f>
        <v>2962.0250000000001</v>
      </c>
      <c r="AC16" s="72">
        <f>IF(G16="High",UnitCosts!$K$30,IF(G16="Medium",UnitCosts!$L$30,UnitCosts!$M$30))</f>
        <v>2378.355</v>
      </c>
      <c r="AD16" s="72">
        <f>IF(G16="High",UnitCosts!$N$30,IF(G16="Medium",UnitCosts!$O$30,UnitCosts!$P$30))</f>
        <v>583.66999999999996</v>
      </c>
    </row>
    <row r="17" spans="1:20" x14ac:dyDescent="0.3">
      <c r="I17" s="8"/>
      <c r="J17" s="8"/>
      <c r="K17" s="8"/>
      <c r="L17" s="8"/>
      <c r="M17" s="8"/>
      <c r="N17" s="8"/>
      <c r="O17" s="135" t="s">
        <v>369</v>
      </c>
      <c r="P17" s="4">
        <f>SUM(P13:P16)</f>
        <v>1</v>
      </c>
      <c r="Q17" s="4">
        <f t="shared" ref="Q17:T17" si="4">SUM(Q13:Q16)</f>
        <v>1</v>
      </c>
      <c r="R17" s="4">
        <f t="shared" si="4"/>
        <v>1</v>
      </c>
      <c r="S17" s="4">
        <f t="shared" si="4"/>
        <v>1</v>
      </c>
      <c r="T17" s="4">
        <f t="shared" si="4"/>
        <v>1</v>
      </c>
    </row>
    <row r="18" spans="1:20" x14ac:dyDescent="0.3">
      <c r="A18" s="113" t="s">
        <v>367</v>
      </c>
      <c r="B18" s="113"/>
      <c r="C18" s="113" t="s">
        <v>202</v>
      </c>
      <c r="D18" s="113" t="s">
        <v>203</v>
      </c>
      <c r="E18" s="113" t="s">
        <v>204</v>
      </c>
      <c r="F18" s="113" t="s">
        <v>205</v>
      </c>
      <c r="G18" s="113" t="s">
        <v>206</v>
      </c>
      <c r="I18" s="8"/>
      <c r="J18" s="8"/>
      <c r="K18" s="8"/>
      <c r="L18" s="8"/>
      <c r="M18" s="8"/>
      <c r="N18" s="8"/>
    </row>
    <row r="19" spans="1:20" x14ac:dyDescent="0.3">
      <c r="A19" s="4" t="s">
        <v>25</v>
      </c>
      <c r="B19" s="4" t="s">
        <v>372</v>
      </c>
      <c r="C19" s="74">
        <f>UnitCosts!$E$169+(UnitCosts!$F$169*12)</f>
        <v>4852</v>
      </c>
      <c r="D19" s="74">
        <f>UnitCosts!$E$169+(UnitCosts!$F$169*12)</f>
        <v>4852</v>
      </c>
      <c r="E19" s="74">
        <f>UnitCosts!$E$169+(UnitCosts!$F$169*12)</f>
        <v>4852</v>
      </c>
      <c r="F19" s="74">
        <f>UnitCosts!$E$169+(UnitCosts!$F$169*12)</f>
        <v>4852</v>
      </c>
      <c r="G19" s="74">
        <f>UnitCosts!$E$169+(UnitCosts!$F$169*12)</f>
        <v>4852</v>
      </c>
      <c r="I19" s="8"/>
      <c r="J19" s="8"/>
      <c r="K19" s="8"/>
      <c r="L19" s="8"/>
      <c r="M19" s="8"/>
      <c r="N19" s="8"/>
    </row>
    <row r="20" spans="1:20" x14ac:dyDescent="0.3">
      <c r="A20" s="4" t="s">
        <v>1</v>
      </c>
      <c r="B20" s="4" t="str">
        <f>B8</f>
        <v>Low</v>
      </c>
      <c r="C20" s="72">
        <f>IF($B$8="High",'Set-up + Definitions'!$I$25*12,IF($B$8="Medium",'Set-up + Definitions'!$I$26*12,'Set-up + Definitions'!$I$27*12))</f>
        <v>67600</v>
      </c>
      <c r="D20" s="72">
        <f>IF($B$8="High",'Set-up + Definitions'!$I$25*12,IF($B$8="Medium",'Set-up + Definitions'!$I$26*12,'Set-up + Definitions'!$I$27*12))</f>
        <v>67600</v>
      </c>
      <c r="E20" s="72">
        <f>IF($B$8="High",'Set-up + Definitions'!$I$25*12,IF($B$8="Medium",'Set-up + Definitions'!$I$26*12,'Set-up + Definitions'!$I$27*12))</f>
        <v>67600</v>
      </c>
      <c r="F20" s="72">
        <f>IF($B$8="High",'Set-up + Definitions'!$I$25*12,IF($B$8="Medium",'Set-up + Definitions'!$I$26*12,'Set-up + Definitions'!$I$27*12))</f>
        <v>67600</v>
      </c>
      <c r="G20" s="72">
        <f>IF($B$8="High",'Set-up + Definitions'!$I$25*12,IF($B$8="Medium",'Set-up + Definitions'!$I$26*12,'Set-up + Definitions'!$I$27*12))</f>
        <v>67600</v>
      </c>
      <c r="I20" s="8"/>
      <c r="J20" s="8"/>
      <c r="K20" s="8"/>
      <c r="L20" s="8"/>
      <c r="M20" s="8"/>
      <c r="N20" s="8"/>
    </row>
    <row r="21" spans="1:20" x14ac:dyDescent="0.3">
      <c r="A21" s="4" t="s">
        <v>366</v>
      </c>
      <c r="B21" s="4" t="str">
        <f>B9</f>
        <v>Low</v>
      </c>
      <c r="C21" s="72">
        <f>IF($B9="High",'Set-up + Definitions'!$I$32*12,IF($B9="Medium",'Set-up + Definitions'!$I$33*12,'Set-up + Definitions'!$I$34*12))</f>
        <v>72800</v>
      </c>
      <c r="D21" s="72">
        <f>IF($B9="High",'Set-up + Definitions'!$I$32*12,IF($B9="Medium",'Set-up + Definitions'!$I$33*12,'Set-up + Definitions'!$I$34*12))</f>
        <v>72800</v>
      </c>
      <c r="E21" s="72">
        <f>IF($B9="High",'Set-up + Definitions'!$I$32*12,IF($B9="Medium",'Set-up + Definitions'!$I$33*12,'Set-up + Definitions'!$I$34*12))</f>
        <v>72800</v>
      </c>
      <c r="F21" s="72">
        <f>IF($B9="High",'Set-up + Definitions'!$I$32*12,IF($B9="Medium",'Set-up + Definitions'!$I$33*12,'Set-up + Definitions'!$I$34*12))</f>
        <v>72800</v>
      </c>
      <c r="G21" s="72">
        <f>IF($B9="High",'Set-up + Definitions'!$I$32*12,IF($B9="Medium",'Set-up + Definitions'!$I$33*12,'Set-up + Definitions'!$I$34*12))</f>
        <v>72800</v>
      </c>
      <c r="I21" s="8"/>
      <c r="J21" s="8"/>
      <c r="K21" s="8"/>
      <c r="L21" s="8"/>
      <c r="M21" s="8"/>
      <c r="N21" s="8"/>
    </row>
    <row r="22" spans="1:20" x14ac:dyDescent="0.3">
      <c r="A22" s="4" t="s">
        <v>207</v>
      </c>
      <c r="B22" s="4"/>
      <c r="C22" s="72">
        <f>SUM(C19:C21)</f>
        <v>145252</v>
      </c>
      <c r="D22" s="72">
        <f t="shared" ref="D22:G22" si="5">SUM(D19:D21)</f>
        <v>145252</v>
      </c>
      <c r="E22" s="72">
        <f t="shared" si="5"/>
        <v>145252</v>
      </c>
      <c r="F22" s="72">
        <f t="shared" si="5"/>
        <v>145252</v>
      </c>
      <c r="G22" s="72">
        <f t="shared" si="5"/>
        <v>145252</v>
      </c>
      <c r="I22" s="8"/>
      <c r="J22" s="8"/>
      <c r="K22" s="8"/>
      <c r="L22" s="8"/>
      <c r="M22" s="8"/>
      <c r="N22" s="8"/>
    </row>
    <row r="23" spans="1:20" x14ac:dyDescent="0.3">
      <c r="I23" s="8"/>
      <c r="J23" s="8"/>
      <c r="K23" s="8"/>
      <c r="L23" s="8"/>
      <c r="M23" s="8"/>
      <c r="N23" s="8"/>
    </row>
    <row r="24" spans="1:20" s="131" customFormat="1" x14ac:dyDescent="0.3">
      <c r="A24" s="132" t="s">
        <v>383</v>
      </c>
      <c r="B24" s="132"/>
      <c r="C24" s="142"/>
      <c r="D24" s="142"/>
      <c r="E24" s="142"/>
      <c r="F24" s="142"/>
      <c r="G24" s="142"/>
      <c r="I24" s="132"/>
      <c r="J24" s="132"/>
      <c r="K24" s="132"/>
      <c r="L24" s="132"/>
      <c r="M24" s="132"/>
      <c r="N24" s="132"/>
    </row>
    <row r="25" spans="1:20" outlineLevel="1" x14ac:dyDescent="0.3">
      <c r="I25" s="8"/>
      <c r="J25" s="8"/>
      <c r="K25" s="8"/>
      <c r="L25" s="8"/>
      <c r="M25" s="8"/>
      <c r="N25" s="8"/>
    </row>
    <row r="26" spans="1:20" outlineLevel="1" x14ac:dyDescent="0.3">
      <c r="A26" s="113" t="s">
        <v>370</v>
      </c>
      <c r="B26" s="113"/>
      <c r="C26" s="113" t="s">
        <v>202</v>
      </c>
      <c r="D26" s="113" t="s">
        <v>203</v>
      </c>
      <c r="E26" s="113" t="s">
        <v>204</v>
      </c>
      <c r="F26" s="113" t="s">
        <v>205</v>
      </c>
      <c r="G26" s="113" t="s">
        <v>206</v>
      </c>
      <c r="I26" s="8"/>
      <c r="J26" s="8"/>
      <c r="K26" s="8"/>
      <c r="L26" s="8"/>
      <c r="M26" s="8"/>
      <c r="N26" s="8"/>
    </row>
    <row r="27" spans="1:20" outlineLevel="1" x14ac:dyDescent="0.3">
      <c r="A27" s="134" t="s">
        <v>25</v>
      </c>
      <c r="B27" s="134"/>
      <c r="C27" s="183"/>
      <c r="D27" s="183"/>
      <c r="E27" s="183"/>
      <c r="F27" s="183"/>
      <c r="G27" s="183"/>
      <c r="I27" s="8"/>
      <c r="J27" s="8"/>
      <c r="K27" s="8"/>
      <c r="L27" s="8"/>
      <c r="M27" s="8"/>
      <c r="N27" s="8"/>
    </row>
    <row r="28" spans="1:20" outlineLevel="1" x14ac:dyDescent="0.3">
      <c r="A28" s="4" t="s">
        <v>1</v>
      </c>
      <c r="B28" s="4"/>
      <c r="C28" s="72">
        <f>H13*$X$13+H14*$X$14+H15*$X$15+H16*$X$16</f>
        <v>11266.666666666668</v>
      </c>
      <c r="D28" s="72">
        <f t="shared" ref="D28:G28" si="6">I13*$X$13+I14*$X$14+I15*$X$15+I16*$X$16</f>
        <v>0</v>
      </c>
      <c r="E28" s="72">
        <f t="shared" si="6"/>
        <v>0</v>
      </c>
      <c r="F28" s="72">
        <f t="shared" si="6"/>
        <v>0</v>
      </c>
      <c r="G28" s="72">
        <f t="shared" si="6"/>
        <v>0</v>
      </c>
      <c r="I28" s="8"/>
      <c r="J28" s="8"/>
      <c r="K28" s="8"/>
      <c r="L28" s="8"/>
      <c r="M28" s="8"/>
      <c r="N28" s="8"/>
    </row>
    <row r="29" spans="1:20" outlineLevel="1" x14ac:dyDescent="0.3">
      <c r="A29" s="4" t="s">
        <v>366</v>
      </c>
      <c r="B29" s="4"/>
      <c r="C29" s="72">
        <f>H13*$Y$13+H14*$Y$14+H15*$Y$15+H16*$Y$16</f>
        <v>12133.333333333334</v>
      </c>
      <c r="D29" s="72">
        <f t="shared" ref="D29:G29" si="7">I13*$Y$13+I14*$Y$14+I15*$Y$15+I16*$Y$16</f>
        <v>0</v>
      </c>
      <c r="E29" s="72">
        <f t="shared" si="7"/>
        <v>0</v>
      </c>
      <c r="F29" s="72">
        <f t="shared" si="7"/>
        <v>0</v>
      </c>
      <c r="G29" s="72">
        <f t="shared" si="7"/>
        <v>0</v>
      </c>
      <c r="I29" s="8"/>
      <c r="J29" s="8"/>
      <c r="K29" s="8"/>
      <c r="L29" s="8"/>
      <c r="M29" s="8"/>
      <c r="N29" s="8"/>
    </row>
    <row r="30" spans="1:20" outlineLevel="1" x14ac:dyDescent="0.3">
      <c r="A30" s="4" t="s">
        <v>207</v>
      </c>
      <c r="B30" s="4"/>
      <c r="C30" s="72">
        <f>SUM(C28:C29)</f>
        <v>23400</v>
      </c>
      <c r="D30" s="72">
        <f t="shared" ref="D30:G30" si="8">SUM(D28:D29)</f>
        <v>0</v>
      </c>
      <c r="E30" s="72">
        <f t="shared" si="8"/>
        <v>0</v>
      </c>
      <c r="F30" s="72">
        <f t="shared" si="8"/>
        <v>0</v>
      </c>
      <c r="G30" s="72">
        <f t="shared" si="8"/>
        <v>0</v>
      </c>
      <c r="I30" s="8"/>
      <c r="J30" s="8"/>
      <c r="K30" s="8"/>
      <c r="L30" s="8"/>
      <c r="M30" s="8"/>
      <c r="N30" s="8"/>
    </row>
    <row r="31" spans="1:20" outlineLevel="1" x14ac:dyDescent="0.3">
      <c r="C31" s="127"/>
      <c r="D31" s="127"/>
      <c r="E31" s="127"/>
      <c r="F31" s="127"/>
      <c r="G31" s="127"/>
      <c r="I31" s="8"/>
      <c r="J31" s="8"/>
      <c r="K31" s="8"/>
      <c r="L31" s="8"/>
      <c r="M31" s="8"/>
      <c r="N31" s="8"/>
    </row>
    <row r="32" spans="1:20" outlineLevel="1" x14ac:dyDescent="0.3">
      <c r="A32" s="113" t="s">
        <v>371</v>
      </c>
      <c r="B32" s="113"/>
      <c r="C32" s="184" t="s">
        <v>202</v>
      </c>
      <c r="D32" s="184" t="s">
        <v>203</v>
      </c>
      <c r="E32" s="184" t="s">
        <v>204</v>
      </c>
      <c r="F32" s="184" t="s">
        <v>205</v>
      </c>
      <c r="G32" s="184" t="s">
        <v>206</v>
      </c>
      <c r="I32" s="8"/>
      <c r="J32" s="8"/>
      <c r="K32" s="8"/>
      <c r="L32" s="8"/>
      <c r="M32" s="8"/>
      <c r="N32" s="8"/>
    </row>
    <row r="33" spans="1:14" outlineLevel="1" x14ac:dyDescent="0.3">
      <c r="A33" s="4" t="s">
        <v>382</v>
      </c>
      <c r="B33" s="4"/>
      <c r="C33" s="74">
        <f>(P13*$AC$13+P14*$AC$14+P15*$AC$15+P16*$AC$16)*12</f>
        <v>28540.260000000002</v>
      </c>
      <c r="D33" s="74">
        <f t="shared" ref="D33:G33" si="9">(Q13*$AC$13+Q14*$AC$14+Q15*$AC$15+Q16*$AC$16)*12</f>
        <v>28540.260000000002</v>
      </c>
      <c r="E33" s="74">
        <f t="shared" si="9"/>
        <v>28540.260000000002</v>
      </c>
      <c r="F33" s="74">
        <f t="shared" si="9"/>
        <v>28540.260000000002</v>
      </c>
      <c r="G33" s="74">
        <f t="shared" si="9"/>
        <v>28540.260000000002</v>
      </c>
      <c r="I33" s="8"/>
      <c r="J33" s="8"/>
      <c r="K33" s="8"/>
      <c r="L33" s="8"/>
      <c r="M33" s="8"/>
      <c r="N33" s="8"/>
    </row>
    <row r="34" spans="1:14" outlineLevel="1" x14ac:dyDescent="0.3">
      <c r="A34" s="4" t="s">
        <v>381</v>
      </c>
      <c r="B34" s="4"/>
      <c r="C34" s="74">
        <f>(P13*$AD$13+P14*$AD$14+P15*$AD$15+P16*$AD$16)*12</f>
        <v>7004.0399999999991</v>
      </c>
      <c r="D34" s="74">
        <f t="shared" ref="D34:G34" si="10">(Q13*$AD$13+Q14*$AD$14+Q15*$AD$15+Q16*$AD$16)*12</f>
        <v>7004.0399999999991</v>
      </c>
      <c r="E34" s="74">
        <f t="shared" si="10"/>
        <v>7004.0399999999991</v>
      </c>
      <c r="F34" s="74">
        <f t="shared" si="10"/>
        <v>7004.0399999999991</v>
      </c>
      <c r="G34" s="74">
        <f t="shared" si="10"/>
        <v>7004.0399999999991</v>
      </c>
      <c r="I34" s="8"/>
      <c r="J34" s="8"/>
      <c r="K34" s="8"/>
      <c r="L34" s="8"/>
      <c r="M34" s="8"/>
      <c r="N34" s="8"/>
    </row>
    <row r="35" spans="1:14" outlineLevel="1" x14ac:dyDescent="0.3">
      <c r="A35" s="4" t="s">
        <v>1</v>
      </c>
      <c r="B35" s="4"/>
      <c r="C35" s="72">
        <f>(P13*$Z$13+P14*$Z$14+P15*$Z$15+P16*$Z$16)*12</f>
        <v>67600</v>
      </c>
      <c r="D35" s="72">
        <f t="shared" ref="D35:G35" si="11">(Q13*$Z$13+Q14*$Z$14+Q15*$Z$15+Q16*$Z$16)*12</f>
        <v>67600</v>
      </c>
      <c r="E35" s="72">
        <f t="shared" si="11"/>
        <v>67600</v>
      </c>
      <c r="F35" s="72">
        <f t="shared" si="11"/>
        <v>67600</v>
      </c>
      <c r="G35" s="72">
        <f t="shared" si="11"/>
        <v>67600</v>
      </c>
      <c r="I35" s="8"/>
      <c r="J35" s="8"/>
      <c r="K35" s="8"/>
      <c r="L35" s="8"/>
      <c r="M35" s="8"/>
      <c r="N35" s="8"/>
    </row>
    <row r="36" spans="1:14" outlineLevel="1" x14ac:dyDescent="0.3">
      <c r="A36" s="4" t="s">
        <v>366</v>
      </c>
      <c r="B36" s="4"/>
      <c r="C36" s="72">
        <f>(P13*$AA$13+P14*$AA$14+P15*$AA$15+P16*$AA$16)*12</f>
        <v>72800</v>
      </c>
      <c r="D36" s="72">
        <f t="shared" ref="D36:G36" si="12">(Q13*$AA$13+Q14*$AA$14+Q15*$AA$15+Q16*$AA$16)*12</f>
        <v>72800</v>
      </c>
      <c r="E36" s="72">
        <f t="shared" si="12"/>
        <v>72800</v>
      </c>
      <c r="F36" s="72">
        <f t="shared" si="12"/>
        <v>72800</v>
      </c>
      <c r="G36" s="72">
        <f t="shared" si="12"/>
        <v>72800</v>
      </c>
      <c r="I36" s="8"/>
      <c r="J36" s="8"/>
      <c r="K36" s="8"/>
      <c r="L36" s="8"/>
      <c r="M36" s="8"/>
      <c r="N36" s="8"/>
    </row>
    <row r="37" spans="1:14" outlineLevel="1" x14ac:dyDescent="0.3">
      <c r="A37" s="4" t="s">
        <v>207</v>
      </c>
      <c r="B37" s="4"/>
      <c r="C37" s="72">
        <f>SUM(C33:C36)</f>
        <v>175944.3</v>
      </c>
      <c r="D37" s="72">
        <f t="shared" ref="D37:G37" si="13">SUM(D33:D36)</f>
        <v>175944.3</v>
      </c>
      <c r="E37" s="72">
        <f t="shared" si="13"/>
        <v>175944.3</v>
      </c>
      <c r="F37" s="72">
        <f t="shared" si="13"/>
        <v>175944.3</v>
      </c>
      <c r="G37" s="72">
        <f t="shared" si="13"/>
        <v>175944.3</v>
      </c>
      <c r="I37" s="8"/>
      <c r="J37" s="8"/>
      <c r="K37" s="8"/>
      <c r="L37" s="8"/>
      <c r="M37" s="8"/>
      <c r="N37" s="8"/>
    </row>
    <row r="38" spans="1:14" outlineLevel="1" x14ac:dyDescent="0.3">
      <c r="C38" s="127"/>
      <c r="D38" s="127"/>
      <c r="E38" s="127"/>
      <c r="F38" s="127"/>
      <c r="G38" s="127"/>
      <c r="I38" s="8"/>
      <c r="J38" s="8"/>
      <c r="K38" s="8"/>
      <c r="L38" s="8"/>
      <c r="M38" s="8"/>
      <c r="N38" s="8"/>
    </row>
    <row r="39" spans="1:14" outlineLevel="1" x14ac:dyDescent="0.3">
      <c r="A39" s="113" t="s">
        <v>373</v>
      </c>
      <c r="B39" s="113"/>
      <c r="C39" s="184" t="s">
        <v>202</v>
      </c>
      <c r="D39" s="184" t="s">
        <v>203</v>
      </c>
      <c r="E39" s="184" t="s">
        <v>204</v>
      </c>
      <c r="F39" s="184" t="s">
        <v>205</v>
      </c>
      <c r="G39" s="184" t="s">
        <v>206</v>
      </c>
      <c r="I39" s="8"/>
      <c r="J39" s="8"/>
      <c r="K39" s="8"/>
      <c r="L39" s="8"/>
      <c r="M39" s="8"/>
      <c r="N39" s="8"/>
    </row>
    <row r="40" spans="1:14" outlineLevel="1" x14ac:dyDescent="0.3">
      <c r="A40" s="4" t="s">
        <v>382</v>
      </c>
      <c r="B40" s="4"/>
      <c r="C40" s="74">
        <f>C27+C33</f>
        <v>28540.260000000002</v>
      </c>
      <c r="D40" s="74">
        <f>D27+D33</f>
        <v>28540.260000000002</v>
      </c>
      <c r="E40" s="74">
        <f>E27+E33</f>
        <v>28540.260000000002</v>
      </c>
      <c r="F40" s="74">
        <f>F27+F33</f>
        <v>28540.260000000002</v>
      </c>
      <c r="G40" s="74">
        <f>G27+G33</f>
        <v>28540.260000000002</v>
      </c>
      <c r="I40" s="8"/>
      <c r="J40" s="8"/>
      <c r="K40" s="8"/>
      <c r="L40" s="8"/>
      <c r="M40" s="8"/>
      <c r="N40" s="8"/>
    </row>
    <row r="41" spans="1:14" outlineLevel="1" x14ac:dyDescent="0.3">
      <c r="A41" s="4" t="s">
        <v>381</v>
      </c>
      <c r="B41" s="4"/>
      <c r="C41" s="74">
        <f>C34</f>
        <v>7004.0399999999991</v>
      </c>
      <c r="D41" s="74">
        <f>D34</f>
        <v>7004.0399999999991</v>
      </c>
      <c r="E41" s="74">
        <f>E34</f>
        <v>7004.0399999999991</v>
      </c>
      <c r="F41" s="74">
        <f>F34</f>
        <v>7004.0399999999991</v>
      </c>
      <c r="G41" s="74">
        <f>G34</f>
        <v>7004.0399999999991</v>
      </c>
      <c r="I41" s="8"/>
      <c r="J41" s="8"/>
      <c r="K41" s="8"/>
      <c r="L41" s="8"/>
      <c r="M41" s="8"/>
      <c r="N41" s="8"/>
    </row>
    <row r="42" spans="1:14" outlineLevel="1" x14ac:dyDescent="0.3">
      <c r="A42" s="4" t="s">
        <v>1</v>
      </c>
      <c r="B42" s="4"/>
      <c r="C42" s="74">
        <f t="shared" ref="C42:G43" si="14">C28+C35</f>
        <v>78866.666666666672</v>
      </c>
      <c r="D42" s="74">
        <f t="shared" si="14"/>
        <v>67600</v>
      </c>
      <c r="E42" s="74">
        <f t="shared" si="14"/>
        <v>67600</v>
      </c>
      <c r="F42" s="74">
        <f t="shared" si="14"/>
        <v>67600</v>
      </c>
      <c r="G42" s="74">
        <f t="shared" si="14"/>
        <v>67600</v>
      </c>
      <c r="I42" s="8"/>
      <c r="J42" s="8"/>
      <c r="K42" s="8"/>
      <c r="L42" s="8"/>
      <c r="M42" s="8"/>
      <c r="N42" s="8"/>
    </row>
    <row r="43" spans="1:14" outlineLevel="1" x14ac:dyDescent="0.3">
      <c r="A43" s="4" t="s">
        <v>366</v>
      </c>
      <c r="B43" s="4"/>
      <c r="C43" s="74">
        <f t="shared" si="14"/>
        <v>84933.333333333328</v>
      </c>
      <c r="D43" s="74">
        <f t="shared" si="14"/>
        <v>72800</v>
      </c>
      <c r="E43" s="74">
        <f t="shared" si="14"/>
        <v>72800</v>
      </c>
      <c r="F43" s="74">
        <f t="shared" si="14"/>
        <v>72800</v>
      </c>
      <c r="G43" s="74">
        <f t="shared" si="14"/>
        <v>72800</v>
      </c>
      <c r="I43" s="8"/>
      <c r="J43" s="8"/>
      <c r="K43" s="8"/>
      <c r="L43" s="8"/>
      <c r="M43" s="8"/>
      <c r="N43" s="8"/>
    </row>
    <row r="44" spans="1:14" outlineLevel="1" x14ac:dyDescent="0.3">
      <c r="A44" s="4" t="s">
        <v>207</v>
      </c>
      <c r="B44" s="4"/>
      <c r="C44" s="72">
        <f>SUM(C40:C43)</f>
        <v>199344.3</v>
      </c>
      <c r="D44" s="72">
        <f>SUM(D40:D43)</f>
        <v>175944.3</v>
      </c>
      <c r="E44" s="72">
        <f>SUM(E40:E43)</f>
        <v>175944.3</v>
      </c>
      <c r="F44" s="72">
        <f>SUM(F40:F43)</f>
        <v>175944.3</v>
      </c>
      <c r="G44" s="72">
        <f>SUM(G40:G43)</f>
        <v>175944.3</v>
      </c>
      <c r="I44" s="8"/>
      <c r="J44" s="8"/>
      <c r="K44" s="8"/>
      <c r="L44" s="8"/>
      <c r="M44" s="8"/>
      <c r="N44" s="8"/>
    </row>
    <row r="45" spans="1:14" outlineLevel="1" x14ac:dyDescent="0.3">
      <c r="A45" s="8"/>
      <c r="B45" s="8"/>
      <c r="C45" s="141"/>
      <c r="D45" s="141"/>
      <c r="E45" s="141"/>
      <c r="F45" s="141"/>
      <c r="G45" s="141"/>
      <c r="I45" s="8"/>
      <c r="J45" s="8"/>
      <c r="K45" s="8"/>
      <c r="L45" s="8"/>
      <c r="M45" s="8"/>
      <c r="N45" s="8"/>
    </row>
    <row r="46" spans="1:14" outlineLevel="1" x14ac:dyDescent="0.3">
      <c r="A46" s="113" t="s">
        <v>384</v>
      </c>
      <c r="B46" s="113"/>
      <c r="C46" s="184" t="s">
        <v>202</v>
      </c>
      <c r="D46" s="184" t="s">
        <v>203</v>
      </c>
      <c r="E46" s="184" t="s">
        <v>204</v>
      </c>
      <c r="F46" s="184" t="s">
        <v>205</v>
      </c>
      <c r="G46" s="184" t="s">
        <v>206</v>
      </c>
      <c r="I46" s="8"/>
      <c r="J46" s="8"/>
      <c r="K46" s="8"/>
      <c r="L46" s="8"/>
      <c r="M46" s="8"/>
      <c r="N46" s="8"/>
    </row>
    <row r="47" spans="1:14" outlineLevel="1" x14ac:dyDescent="0.3">
      <c r="A47" s="4" t="s">
        <v>382</v>
      </c>
      <c r="B47" s="4"/>
      <c r="C47" s="74">
        <f>C19+C40</f>
        <v>33392.26</v>
      </c>
      <c r="D47" s="74">
        <f>D19+D40</f>
        <v>33392.26</v>
      </c>
      <c r="E47" s="74">
        <f>E19+E40</f>
        <v>33392.26</v>
      </c>
      <c r="F47" s="74">
        <f>F19+F40</f>
        <v>33392.26</v>
      </c>
      <c r="G47" s="74">
        <f>G19+G40</f>
        <v>33392.26</v>
      </c>
      <c r="I47" s="8"/>
      <c r="J47" s="8"/>
      <c r="K47" s="8"/>
      <c r="L47" s="8"/>
      <c r="M47" s="8"/>
      <c r="N47" s="8"/>
    </row>
    <row r="48" spans="1:14" outlineLevel="1" x14ac:dyDescent="0.3">
      <c r="A48" s="4" t="s">
        <v>381</v>
      </c>
      <c r="B48" s="4"/>
      <c r="C48" s="74">
        <f>C41</f>
        <v>7004.0399999999991</v>
      </c>
      <c r="D48" s="74">
        <f t="shared" ref="D48:G48" si="15">D41</f>
        <v>7004.0399999999991</v>
      </c>
      <c r="E48" s="74">
        <f t="shared" si="15"/>
        <v>7004.0399999999991</v>
      </c>
      <c r="F48" s="74">
        <f t="shared" si="15"/>
        <v>7004.0399999999991</v>
      </c>
      <c r="G48" s="74">
        <f t="shared" si="15"/>
        <v>7004.0399999999991</v>
      </c>
      <c r="I48" s="8"/>
      <c r="J48" s="8"/>
      <c r="K48" s="8"/>
      <c r="L48" s="8"/>
      <c r="M48" s="8"/>
      <c r="N48" s="8"/>
    </row>
    <row r="49" spans="1:14" outlineLevel="1" x14ac:dyDescent="0.3">
      <c r="A49" s="4" t="s">
        <v>1</v>
      </c>
      <c r="B49" s="4"/>
      <c r="C49" s="74">
        <f t="shared" ref="C49:G50" si="16">C20+C42</f>
        <v>146466.66666666669</v>
      </c>
      <c r="D49" s="74">
        <f t="shared" si="16"/>
        <v>135200</v>
      </c>
      <c r="E49" s="74">
        <f t="shared" si="16"/>
        <v>135200</v>
      </c>
      <c r="F49" s="74">
        <f t="shared" si="16"/>
        <v>135200</v>
      </c>
      <c r="G49" s="74">
        <f t="shared" si="16"/>
        <v>135200</v>
      </c>
      <c r="I49" s="8"/>
      <c r="J49" s="8"/>
      <c r="K49" s="8"/>
      <c r="L49" s="8"/>
      <c r="M49" s="8"/>
      <c r="N49" s="8"/>
    </row>
    <row r="50" spans="1:14" outlineLevel="1" x14ac:dyDescent="0.3">
      <c r="A50" s="4" t="s">
        <v>366</v>
      </c>
      <c r="B50" s="4"/>
      <c r="C50" s="74">
        <f t="shared" si="16"/>
        <v>157733.33333333331</v>
      </c>
      <c r="D50" s="74">
        <f t="shared" si="16"/>
        <v>145600</v>
      </c>
      <c r="E50" s="74">
        <f t="shared" si="16"/>
        <v>145600</v>
      </c>
      <c r="F50" s="74">
        <f t="shared" si="16"/>
        <v>145600</v>
      </c>
      <c r="G50" s="74">
        <f t="shared" si="16"/>
        <v>145600</v>
      </c>
      <c r="I50" s="8"/>
      <c r="J50" s="8"/>
      <c r="K50" s="8"/>
      <c r="L50" s="8"/>
      <c r="M50" s="8"/>
      <c r="N50" s="8"/>
    </row>
    <row r="51" spans="1:14" outlineLevel="1" x14ac:dyDescent="0.3">
      <c r="A51" s="143" t="s">
        <v>385</v>
      </c>
      <c r="B51" s="143"/>
      <c r="C51" s="144">
        <f>C47+C49+C50</f>
        <v>337592.26</v>
      </c>
      <c r="D51" s="144">
        <f t="shared" ref="D51:G51" si="17">D47+D49+D50</f>
        <v>314192.26</v>
      </c>
      <c r="E51" s="144">
        <f t="shared" si="17"/>
        <v>314192.26</v>
      </c>
      <c r="F51" s="144">
        <f t="shared" si="17"/>
        <v>314192.26</v>
      </c>
      <c r="G51" s="144">
        <f t="shared" si="17"/>
        <v>314192.26</v>
      </c>
      <c r="I51" s="8"/>
      <c r="J51" s="8"/>
      <c r="K51" s="8"/>
      <c r="L51" s="8"/>
      <c r="M51" s="8"/>
      <c r="N51" s="8"/>
    </row>
    <row r="52" spans="1:14" outlineLevel="1" x14ac:dyDescent="0.3">
      <c r="A52" s="146" t="s">
        <v>386</v>
      </c>
      <c r="B52" s="147"/>
      <c r="C52" s="148">
        <f>C48+C49+C50+C47</f>
        <v>344596.30000000005</v>
      </c>
      <c r="D52" s="148">
        <f t="shared" ref="D52:G52" si="18">D48+D49+D50+D47</f>
        <v>321196.30000000005</v>
      </c>
      <c r="E52" s="148">
        <f t="shared" si="18"/>
        <v>321196.30000000005</v>
      </c>
      <c r="F52" s="148">
        <f t="shared" si="18"/>
        <v>321196.30000000005</v>
      </c>
      <c r="G52" s="148">
        <f t="shared" si="18"/>
        <v>321196.30000000005</v>
      </c>
      <c r="I52" s="8"/>
      <c r="J52" s="8"/>
      <c r="K52" s="8"/>
      <c r="L52" s="8"/>
      <c r="M52" s="8"/>
      <c r="N52" s="8"/>
    </row>
    <row r="53" spans="1:14" x14ac:dyDescent="0.3">
      <c r="A53" s="8"/>
      <c r="B53" s="8"/>
      <c r="C53" s="141"/>
      <c r="D53" s="141"/>
      <c r="E53" s="141"/>
      <c r="F53" s="141"/>
      <c r="G53" s="141"/>
      <c r="I53" s="8"/>
      <c r="J53" s="8"/>
      <c r="K53" s="8"/>
      <c r="L53" s="8"/>
      <c r="M53" s="8"/>
      <c r="N53" s="8"/>
    </row>
    <row r="54" spans="1:14" s="131" customFormat="1" x14ac:dyDescent="0.3">
      <c r="A54" s="131" t="s">
        <v>397</v>
      </c>
    </row>
    <row r="55" spans="1:14" x14ac:dyDescent="0.3">
      <c r="A55" t="s">
        <v>398</v>
      </c>
    </row>
    <row r="56" spans="1:14" x14ac:dyDescent="0.3">
      <c r="A56" t="s">
        <v>399</v>
      </c>
    </row>
    <row r="57" spans="1:14" x14ac:dyDescent="0.3">
      <c r="A57" t="s">
        <v>402</v>
      </c>
    </row>
    <row r="58" spans="1:14" x14ac:dyDescent="0.3">
      <c r="A58" t="s">
        <v>437</v>
      </c>
    </row>
    <row r="59" spans="1:14" x14ac:dyDescent="0.3">
      <c r="A59" t="s">
        <v>462</v>
      </c>
    </row>
  </sheetData>
  <mergeCells count="14">
    <mergeCell ref="T11:T12"/>
    <mergeCell ref="X11:Y11"/>
    <mergeCell ref="Z11:AD11"/>
    <mergeCell ref="O11:O12"/>
    <mergeCell ref="P11:P12"/>
    <mergeCell ref="Q11:Q12"/>
    <mergeCell ref="R11:R12"/>
    <mergeCell ref="S11:S12"/>
    <mergeCell ref="A4:H4"/>
    <mergeCell ref="A3:G3"/>
    <mergeCell ref="A2:G2"/>
    <mergeCell ref="B11:B12"/>
    <mergeCell ref="A11:A12"/>
    <mergeCell ref="H11:L11"/>
  </mergeCells>
  <hyperlinks>
    <hyperlink ref="C8" location="'Set-up + Definitions'!A23" display="See link"/>
    <hyperlink ref="C9" location="'Set-up + Definitions'!A30" display="See link"/>
  </hyperlink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 + Definitions'!$R$20:$R$22</xm:f>
          </x14:formula1>
          <xm:sqref>B8:B10 C13:G16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4"/>
  <sheetViews>
    <sheetView tabSelected="1" topLeftCell="A81" zoomScale="66" zoomScaleNormal="66" workbookViewId="0">
      <selection activeCell="B112" sqref="B112"/>
    </sheetView>
  </sheetViews>
  <sheetFormatPr defaultRowHeight="14.4" outlineLevelRow="2" x14ac:dyDescent="0.3"/>
  <cols>
    <col min="1" max="1" width="80.44140625" customWidth="1"/>
    <col min="2" max="2" width="20.109375" style="103" customWidth="1"/>
    <col min="3" max="3" width="16.5546875" style="103" customWidth="1"/>
    <col min="4" max="4" width="14.33203125" customWidth="1"/>
    <col min="5" max="6" width="9.109375" hidden="1" customWidth="1"/>
    <col min="7" max="7" width="16.6640625" customWidth="1"/>
    <col min="8" max="8" width="9.109375" customWidth="1"/>
    <col min="9" max="9" width="33.5546875" customWidth="1"/>
    <col min="10" max="10" width="17.5546875" customWidth="1"/>
    <col min="11" max="11" width="15.109375" customWidth="1"/>
    <col min="12" max="12" width="16.88671875" customWidth="1"/>
    <col min="13" max="13" width="14" customWidth="1"/>
    <col min="14" max="14" width="25.88671875" customWidth="1"/>
    <col min="15" max="15" width="27.88671875" customWidth="1"/>
    <col min="16" max="16" width="10.109375" bestFit="1" customWidth="1"/>
    <col min="17" max="17" width="27.33203125" customWidth="1"/>
    <col min="19" max="19" width="20.109375" customWidth="1"/>
    <col min="20" max="20" width="14.44140625" bestFit="1" customWidth="1"/>
    <col min="21" max="21" width="18.5546875" customWidth="1"/>
  </cols>
  <sheetData>
    <row r="1" spans="1:20" ht="31.2" x14ac:dyDescent="0.6">
      <c r="A1" s="78" t="s">
        <v>215</v>
      </c>
      <c r="B1" s="105"/>
      <c r="C1" s="105"/>
      <c r="D1" s="1"/>
      <c r="E1" s="1"/>
      <c r="F1" s="1"/>
    </row>
    <row r="2" spans="1:20" ht="64.5" customHeight="1" x14ac:dyDescent="0.3">
      <c r="A2" s="252" t="s">
        <v>279</v>
      </c>
      <c r="B2" s="252"/>
      <c r="C2" s="252"/>
      <c r="D2" s="252"/>
      <c r="E2" s="252"/>
      <c r="F2" s="252"/>
      <c r="G2" s="252"/>
      <c r="H2" s="252"/>
      <c r="I2" s="252"/>
      <c r="J2" s="252"/>
      <c r="K2" s="252"/>
    </row>
    <row r="3" spans="1:20" x14ac:dyDescent="0.3">
      <c r="A3" s="79"/>
      <c r="B3" s="106"/>
      <c r="C3" s="106"/>
      <c r="D3" s="3"/>
      <c r="E3" s="3"/>
      <c r="F3" s="3"/>
      <c r="G3" s="3"/>
      <c r="H3" s="3"/>
      <c r="I3" s="3"/>
      <c r="J3" s="3"/>
      <c r="K3" s="3"/>
    </row>
    <row r="4" spans="1:20" x14ac:dyDescent="0.3">
      <c r="A4" s="254" t="s">
        <v>213</v>
      </c>
      <c r="B4" s="255"/>
      <c r="C4" s="255"/>
      <c r="D4" s="255"/>
      <c r="E4" s="255"/>
      <c r="F4" s="256"/>
      <c r="G4" s="253"/>
      <c r="H4" s="253"/>
      <c r="I4" s="253"/>
    </row>
    <row r="5" spans="1:20" x14ac:dyDescent="0.3">
      <c r="A5" s="254" t="s">
        <v>214</v>
      </c>
      <c r="B5" s="255"/>
      <c r="C5" s="255"/>
      <c r="D5" s="255"/>
      <c r="E5" s="255"/>
      <c r="F5" s="256"/>
      <c r="G5" s="253"/>
      <c r="H5" s="253"/>
      <c r="I5" s="253"/>
    </row>
    <row r="6" spans="1:20" ht="16.5" customHeight="1" x14ac:dyDescent="0.3">
      <c r="A6" s="246" t="s">
        <v>392</v>
      </c>
      <c r="B6" s="247"/>
      <c r="C6" s="247"/>
      <c r="D6" s="248"/>
      <c r="E6" s="80"/>
      <c r="F6" s="80"/>
      <c r="G6" s="249"/>
      <c r="H6" s="250"/>
      <c r="I6" s="251"/>
    </row>
    <row r="7" spans="1:20" x14ac:dyDescent="0.3">
      <c r="A7" s="93"/>
      <c r="B7" s="94"/>
      <c r="C7" s="92"/>
      <c r="D7" s="92"/>
      <c r="E7" s="92"/>
      <c r="F7" s="92"/>
      <c r="G7" s="95"/>
      <c r="H7" s="95"/>
      <c r="I7" s="95"/>
    </row>
    <row r="8" spans="1:20" s="155" customFormat="1" ht="13.5" customHeight="1" x14ac:dyDescent="0.3">
      <c r="A8" s="152" t="s">
        <v>395</v>
      </c>
      <c r="B8" s="153" t="s">
        <v>393</v>
      </c>
      <c r="C8" s="150"/>
      <c r="D8" s="150"/>
      <c r="E8" s="150"/>
      <c r="F8" s="150"/>
      <c r="G8" s="154"/>
      <c r="H8" s="154"/>
      <c r="K8" s="137" t="s">
        <v>403</v>
      </c>
    </row>
    <row r="9" spans="1:20" x14ac:dyDescent="0.3">
      <c r="H9" s="119"/>
      <c r="J9" s="145" t="s">
        <v>406</v>
      </c>
    </row>
    <row r="10" spans="1:20" outlineLevel="1" x14ac:dyDescent="0.3">
      <c r="A10" s="90" t="s">
        <v>216</v>
      </c>
      <c r="B10" s="104"/>
      <c r="C10" s="104"/>
      <c r="D10" s="90"/>
      <c r="E10" s="88"/>
      <c r="F10" s="88">
        <f>SUM(F12,F15,F19,F23,F27)</f>
        <v>0</v>
      </c>
      <c r="H10" s="119"/>
      <c r="J10" s="234" t="s">
        <v>404</v>
      </c>
      <c r="K10" s="235"/>
      <c r="L10" s="234" t="s">
        <v>405</v>
      </c>
      <c r="M10" s="236"/>
      <c r="N10" s="235"/>
    </row>
    <row r="11" spans="1:20" ht="49.5" customHeight="1" outlineLevel="1" x14ac:dyDescent="0.3">
      <c r="A11" s="87" t="s">
        <v>220</v>
      </c>
      <c r="B11" s="244" t="s">
        <v>236</v>
      </c>
      <c r="C11" s="245"/>
      <c r="D11" s="82" t="s">
        <v>278</v>
      </c>
      <c r="E11" s="81"/>
      <c r="F11" s="81">
        <f>SUM(F12:F14)</f>
        <v>0</v>
      </c>
      <c r="H11" s="119"/>
      <c r="J11" s="4" t="s">
        <v>323</v>
      </c>
      <c r="K11" s="4" t="s">
        <v>3</v>
      </c>
      <c r="L11" s="5" t="s">
        <v>325</v>
      </c>
      <c r="M11" s="5" t="s">
        <v>3</v>
      </c>
      <c r="N11" s="5" t="s">
        <v>0</v>
      </c>
    </row>
    <row r="12" spans="1:20" ht="46.5" customHeight="1" outlineLevel="1" x14ac:dyDescent="0.3">
      <c r="A12" s="83" t="s">
        <v>390</v>
      </c>
      <c r="B12" s="240"/>
      <c r="C12" s="241"/>
      <c r="D12" s="109"/>
      <c r="E12" s="4">
        <v>3</v>
      </c>
      <c r="F12" s="4">
        <f>IF(COUNTA(D12),E12,0)</f>
        <v>0</v>
      </c>
      <c r="H12" s="119"/>
      <c r="J12" s="135" t="str">
        <f>IF((F33+F37+F45+F49)&gt;9,"High",IF((F33+F37+F45+F49)&gt;5,"Medium","Low"))</f>
        <v>Low</v>
      </c>
      <c r="K12" s="135" t="str">
        <f>IF((F63+F71+F59)&gt;7,"High",IF((F63+F71+F59)&gt;4,"Medium","Low"))</f>
        <v>Low</v>
      </c>
      <c r="L12" s="135" t="str">
        <f>IF(F41&gt;2,"High",IF(F41&gt;1,"Medium","Low"))</f>
        <v>Low</v>
      </c>
      <c r="M12" s="135" t="str">
        <f>IF((F55+F63)&gt;4,"High",IF((F55+F63)&gt;3,"Medium","Low"))</f>
        <v>Low</v>
      </c>
      <c r="N12" s="135" t="str">
        <f>IF(F10&gt;12,"High",IF(F10&gt;8,"Medium","Low"))</f>
        <v>Low</v>
      </c>
      <c r="O12" s="97"/>
      <c r="P12" s="97"/>
      <c r="Q12" s="97"/>
      <c r="R12" s="97"/>
      <c r="S12" s="97"/>
      <c r="T12" s="97"/>
    </row>
    <row r="13" spans="1:20" outlineLevel="1" x14ac:dyDescent="0.3">
      <c r="A13" s="83" t="s">
        <v>391</v>
      </c>
      <c r="B13" s="240"/>
      <c r="C13" s="241"/>
      <c r="D13" s="109"/>
      <c r="E13" s="4">
        <v>2</v>
      </c>
      <c r="F13" s="4">
        <f t="shared" ref="F13:F14" si="0">IF(COUNTA(D13),E13,0)</f>
        <v>0</v>
      </c>
      <c r="H13" s="119"/>
      <c r="O13" s="268"/>
      <c r="P13" s="268"/>
      <c r="Q13" s="97"/>
      <c r="R13" s="97"/>
      <c r="S13" s="97"/>
      <c r="T13" s="97"/>
    </row>
    <row r="14" spans="1:20" outlineLevel="1" x14ac:dyDescent="0.3">
      <c r="A14" s="83" t="s">
        <v>219</v>
      </c>
      <c r="B14" s="240"/>
      <c r="C14" s="241"/>
      <c r="D14" s="109"/>
      <c r="E14" s="4">
        <v>1</v>
      </c>
      <c r="F14" s="4">
        <f t="shared" si="0"/>
        <v>0</v>
      </c>
      <c r="H14" s="119"/>
      <c r="I14" s="131" t="s">
        <v>418</v>
      </c>
      <c r="J14" s="189">
        <f>SUM(J20:O20)</f>
        <v>23400</v>
      </c>
      <c r="K14" s="131"/>
      <c r="L14" s="131"/>
      <c r="M14" s="131"/>
      <c r="N14" s="132"/>
      <c r="O14" s="132"/>
      <c r="P14" s="97"/>
      <c r="Q14" s="97"/>
      <c r="R14" s="97"/>
      <c r="S14" s="97"/>
      <c r="T14" s="97"/>
    </row>
    <row r="15" spans="1:20" outlineLevel="1" x14ac:dyDescent="0.3">
      <c r="A15" s="86" t="s">
        <v>221</v>
      </c>
      <c r="B15" s="244"/>
      <c r="C15" s="245"/>
      <c r="D15" s="81"/>
      <c r="E15" s="81"/>
      <c r="F15" s="81">
        <f>SUM(F16:F18)</f>
        <v>0</v>
      </c>
      <c r="H15" s="119"/>
      <c r="K15" s="97"/>
      <c r="L15" s="97"/>
      <c r="M15" s="97"/>
      <c r="N15" s="97"/>
      <c r="O15" s="98"/>
      <c r="P15" s="98"/>
    </row>
    <row r="16" spans="1:20" outlineLevel="1" x14ac:dyDescent="0.3">
      <c r="A16" s="83" t="s">
        <v>222</v>
      </c>
      <c r="B16" s="240"/>
      <c r="C16" s="241"/>
      <c r="D16" s="109"/>
      <c r="E16" s="4">
        <v>3</v>
      </c>
      <c r="F16" s="4">
        <f>IF(COUNTA(D16),E16,0)</f>
        <v>0</v>
      </c>
      <c r="H16" s="119"/>
      <c r="I16" s="7"/>
      <c r="J16" s="265" t="s">
        <v>404</v>
      </c>
      <c r="K16" s="267"/>
      <c r="L16" s="265" t="s">
        <v>405</v>
      </c>
      <c r="M16" s="266"/>
      <c r="N16" s="266"/>
      <c r="O16" s="267"/>
      <c r="P16" s="97"/>
      <c r="Q16" s="7" t="s">
        <v>411</v>
      </c>
      <c r="R16" s="7"/>
      <c r="S16" s="7" t="s">
        <v>412</v>
      </c>
      <c r="T16" s="7" t="s">
        <v>413</v>
      </c>
    </row>
    <row r="17" spans="1:20" ht="17.25" customHeight="1" outlineLevel="1" x14ac:dyDescent="0.3">
      <c r="A17" s="83" t="s">
        <v>223</v>
      </c>
      <c r="B17" s="240"/>
      <c r="C17" s="241"/>
      <c r="D17" s="109"/>
      <c r="E17" s="4">
        <v>2</v>
      </c>
      <c r="F17" s="4">
        <f t="shared" ref="F17:F18" si="1">IF(COUNTA(D17),E17,0)</f>
        <v>0</v>
      </c>
      <c r="H17" s="119"/>
      <c r="I17" s="7"/>
      <c r="J17" s="6" t="s">
        <v>323</v>
      </c>
      <c r="K17" s="6" t="s">
        <v>3</v>
      </c>
      <c r="L17" s="6" t="s">
        <v>325</v>
      </c>
      <c r="M17" s="6" t="s">
        <v>3</v>
      </c>
      <c r="N17" s="6" t="s">
        <v>416</v>
      </c>
      <c r="O17" s="160" t="s">
        <v>417</v>
      </c>
      <c r="P17" s="98"/>
      <c r="Q17" s="4" t="s">
        <v>414</v>
      </c>
      <c r="R17" s="70"/>
      <c r="S17" s="174">
        <f>IF($N$12="High",UnitCosts!K52,IF($N$12="Medium",UnitCosts!L52,UnitCosts!M52))</f>
        <v>884</v>
      </c>
      <c r="T17" s="174">
        <f>S17*12*$G$6</f>
        <v>0</v>
      </c>
    </row>
    <row r="18" spans="1:20" outlineLevel="1" x14ac:dyDescent="0.3">
      <c r="A18" s="83" t="s">
        <v>224</v>
      </c>
      <c r="B18" s="240"/>
      <c r="C18" s="241"/>
      <c r="D18" s="109"/>
      <c r="E18" s="4">
        <v>1</v>
      </c>
      <c r="F18" s="4">
        <f t="shared" si="1"/>
        <v>0</v>
      </c>
      <c r="H18" s="119"/>
      <c r="I18" s="4" t="s">
        <v>408</v>
      </c>
      <c r="J18" s="74">
        <f>IF(J12="High",'Set-up + Definitions'!E11,IF(J12="Medium",'Set-up + Definitions'!E12,'Set-up + Definitions'!E13))</f>
        <v>11266.666666666668</v>
      </c>
      <c r="K18" s="159">
        <f>IF(K12="High",'Set-up + Definitions'!E18,IF(K12="Medium",'Set-up + Definitions'!E19,'Set-up + Definitions'!E20))</f>
        <v>12133.333333333334</v>
      </c>
      <c r="L18" s="159"/>
      <c r="M18" s="159"/>
      <c r="N18" s="159"/>
      <c r="O18" s="159"/>
      <c r="P18" s="97"/>
      <c r="Q18" s="4" t="s">
        <v>415</v>
      </c>
      <c r="R18" s="70"/>
      <c r="S18" s="174">
        <f>IF($N$12="High",UnitCosts!K53,IF($N$12="Medium",UnitCosts!L53,UnitCosts!M53))</f>
        <v>822.51499999999999</v>
      </c>
      <c r="T18" s="174">
        <f t="shared" ref="T18:T20" si="2">S18*12*$G$6</f>
        <v>0</v>
      </c>
    </row>
    <row r="19" spans="1:20" outlineLevel="1" x14ac:dyDescent="0.3">
      <c r="A19" s="86" t="s">
        <v>225</v>
      </c>
      <c r="B19" s="244"/>
      <c r="C19" s="245"/>
      <c r="D19" s="81"/>
      <c r="E19" s="81"/>
      <c r="F19" s="81">
        <f>SUM(F20:F22)</f>
        <v>0</v>
      </c>
      <c r="H19" s="119"/>
      <c r="I19" s="4" t="s">
        <v>409</v>
      </c>
      <c r="J19" s="74"/>
      <c r="K19" s="159"/>
      <c r="L19" s="159">
        <f>IF(L12="High",'Set-up + Definitions'!I11,IF(L12="Medium",'Set-up + Definitions'!I12,'Set-up + Definitions'!I13))</f>
        <v>5633.3333333333339</v>
      </c>
      <c r="M19" s="159">
        <f>IF(M12="High",'Set-up + Definitions'!I18,IF(M12="Medium",'Set-up + Definitions'!I19,'Set-up + Definitions'!I20))</f>
        <v>6066.666666666667</v>
      </c>
      <c r="N19" s="159">
        <f>IF(N12="High",UnitCosts!K30,IF(N12="Medium",UnitCosts!L30,UnitCosts!M30))</f>
        <v>2378.355</v>
      </c>
      <c r="O19" s="159">
        <f>IF(N12="High",UnitCosts!N30,IF(N12="Medium",UnitCosts!O30,UnitCosts!P30))</f>
        <v>583.66999999999996</v>
      </c>
      <c r="P19" s="98"/>
      <c r="Q19" s="139" t="s">
        <v>467</v>
      </c>
      <c r="R19" s="4"/>
      <c r="S19" s="174">
        <f>IF($N$12="High",UnitCosts!K54,IF($N$12="Medium",UnitCosts!L54,UnitCosts!M54))</f>
        <v>671.84</v>
      </c>
      <c r="T19" s="174">
        <f t="shared" si="2"/>
        <v>0</v>
      </c>
    </row>
    <row r="20" spans="1:20" outlineLevel="1" x14ac:dyDescent="0.3">
      <c r="A20" s="83" t="s">
        <v>226</v>
      </c>
      <c r="B20" s="240"/>
      <c r="C20" s="241"/>
      <c r="D20" s="109"/>
      <c r="E20" s="4">
        <v>3</v>
      </c>
      <c r="F20" s="4">
        <f>IF(COUNTA(D20),E20,0)</f>
        <v>0</v>
      </c>
      <c r="H20" s="119"/>
      <c r="I20" s="4" t="s">
        <v>410</v>
      </c>
      <c r="J20" s="72">
        <f>SUM(J18:J19)</f>
        <v>11266.666666666668</v>
      </c>
      <c r="K20" s="72">
        <f>SUM(K18:K19)</f>
        <v>12133.333333333334</v>
      </c>
      <c r="L20" s="188">
        <f>L19*12*$G$6</f>
        <v>0</v>
      </c>
      <c r="M20" s="188">
        <f t="shared" ref="M20:O20" si="3">M19*12*$G$6</f>
        <v>0</v>
      </c>
      <c r="N20" s="188">
        <f t="shared" si="3"/>
        <v>0</v>
      </c>
      <c r="O20" s="188">
        <f t="shared" si="3"/>
        <v>0</v>
      </c>
      <c r="P20" s="97"/>
      <c r="Q20" s="139" t="s">
        <v>432</v>
      </c>
      <c r="R20" s="4"/>
      <c r="S20" s="174">
        <f>IF($N$12="High",UnitCosts!K55,IF($N$12="Medium",UnitCosts!L55,UnitCosts!M55))</f>
        <v>583.66999999999996</v>
      </c>
      <c r="T20" s="174">
        <f t="shared" si="2"/>
        <v>0</v>
      </c>
    </row>
    <row r="21" spans="1:20" outlineLevel="1" x14ac:dyDescent="0.3">
      <c r="A21" s="83" t="s">
        <v>227</v>
      </c>
      <c r="B21" s="240"/>
      <c r="C21" s="241"/>
      <c r="D21" s="109"/>
      <c r="E21" s="4">
        <v>2</v>
      </c>
      <c r="F21" s="4">
        <f t="shared" ref="F21:F22" si="4">IF(COUNTA(D21),E21,0)</f>
        <v>0</v>
      </c>
      <c r="H21" s="119"/>
      <c r="K21" s="97"/>
      <c r="L21" s="97"/>
      <c r="M21" s="97"/>
      <c r="N21" s="97"/>
      <c r="O21" s="97"/>
      <c r="P21" s="97"/>
      <c r="Q21" s="139" t="s">
        <v>207</v>
      </c>
      <c r="R21" s="4"/>
      <c r="S21" s="174">
        <f>SUM(S17:S20)</f>
        <v>2962.0250000000001</v>
      </c>
      <c r="T21" s="174">
        <f>SUM(T17:T20)</f>
        <v>0</v>
      </c>
    </row>
    <row r="22" spans="1:20" outlineLevel="1" x14ac:dyDescent="0.3">
      <c r="A22" s="83" t="s">
        <v>228</v>
      </c>
      <c r="B22" s="240"/>
      <c r="C22" s="241"/>
      <c r="D22" s="109"/>
      <c r="E22" s="4">
        <v>1</v>
      </c>
      <c r="F22" s="4">
        <f t="shared" si="4"/>
        <v>0</v>
      </c>
      <c r="H22" s="119"/>
      <c r="I22" t="s">
        <v>407</v>
      </c>
      <c r="J22" t="s">
        <v>471</v>
      </c>
      <c r="K22" t="s">
        <v>472</v>
      </c>
    </row>
    <row r="23" spans="1:20" outlineLevel="1" x14ac:dyDescent="0.3">
      <c r="A23" s="85" t="s">
        <v>218</v>
      </c>
      <c r="B23" s="242"/>
      <c r="C23" s="243"/>
      <c r="D23" s="81"/>
      <c r="E23" s="81"/>
      <c r="F23" s="81">
        <f>SUM(F24:F26)</f>
        <v>0</v>
      </c>
      <c r="H23" s="119"/>
      <c r="I23" t="s">
        <v>0</v>
      </c>
      <c r="J23" s="127">
        <f>N20</f>
        <v>0</v>
      </c>
      <c r="K23" s="127">
        <f>N20+O20</f>
        <v>0</v>
      </c>
    </row>
    <row r="24" spans="1:20" outlineLevel="1" x14ac:dyDescent="0.3">
      <c r="A24" s="84" t="s">
        <v>229</v>
      </c>
      <c r="B24" s="238"/>
      <c r="C24" s="239"/>
      <c r="D24" s="109"/>
      <c r="E24" s="4">
        <v>3</v>
      </c>
      <c r="F24" s="4">
        <f>IF(COUNTA(D24),E24,0)</f>
        <v>0</v>
      </c>
      <c r="H24" s="119"/>
      <c r="I24" t="s">
        <v>1</v>
      </c>
      <c r="J24" s="127">
        <f>J20+L20</f>
        <v>11266.666666666668</v>
      </c>
      <c r="K24" s="127">
        <f>J24</f>
        <v>11266.666666666668</v>
      </c>
    </row>
    <row r="25" spans="1:20" outlineLevel="1" x14ac:dyDescent="0.3">
      <c r="A25" s="84" t="s">
        <v>230</v>
      </c>
      <c r="B25" s="238"/>
      <c r="C25" s="239"/>
      <c r="D25" s="109"/>
      <c r="E25" s="4">
        <v>2</v>
      </c>
      <c r="F25" s="4">
        <f t="shared" ref="F25:F26" si="5">IF(COUNTA(D25),E25,0)</f>
        <v>0</v>
      </c>
      <c r="H25" s="119"/>
      <c r="I25" t="s">
        <v>3</v>
      </c>
      <c r="J25" s="127">
        <f>K20+M20</f>
        <v>12133.333333333334</v>
      </c>
      <c r="K25" s="127">
        <f>J25</f>
        <v>12133.333333333334</v>
      </c>
    </row>
    <row r="26" spans="1:20" outlineLevel="1" x14ac:dyDescent="0.3">
      <c r="A26" s="83" t="s">
        <v>231</v>
      </c>
      <c r="B26" s="240"/>
      <c r="C26" s="241"/>
      <c r="D26" s="109"/>
      <c r="E26" s="4">
        <v>1</v>
      </c>
      <c r="F26" s="4">
        <f t="shared" si="5"/>
        <v>0</v>
      </c>
      <c r="H26" s="119"/>
    </row>
    <row r="27" spans="1:20" outlineLevel="1" x14ac:dyDescent="0.3">
      <c r="A27" s="85" t="s">
        <v>232</v>
      </c>
      <c r="B27" s="242"/>
      <c r="C27" s="243"/>
      <c r="D27" s="81"/>
      <c r="E27" s="81"/>
      <c r="F27" s="81">
        <f>SUM(F28:F30)</f>
        <v>0</v>
      </c>
      <c r="H27" s="119"/>
    </row>
    <row r="28" spans="1:20" outlineLevel="1" x14ac:dyDescent="0.3">
      <c r="A28" s="84" t="s">
        <v>233</v>
      </c>
      <c r="B28" s="238"/>
      <c r="C28" s="239"/>
      <c r="D28" s="109"/>
      <c r="E28" s="4">
        <v>3</v>
      </c>
      <c r="F28" s="4">
        <f>IF(COUNTA(D28),E28,0)</f>
        <v>0</v>
      </c>
      <c r="H28" s="119"/>
    </row>
    <row r="29" spans="1:20" outlineLevel="1" x14ac:dyDescent="0.3">
      <c r="A29" s="84" t="s">
        <v>234</v>
      </c>
      <c r="B29" s="238"/>
      <c r="C29" s="239"/>
      <c r="D29" s="109"/>
      <c r="E29" s="4">
        <v>2</v>
      </c>
      <c r="F29" s="4">
        <f t="shared" ref="F29:F30" si="6">IF(COUNTA(D29),E29,0)</f>
        <v>0</v>
      </c>
      <c r="H29" s="119"/>
    </row>
    <row r="30" spans="1:20" outlineLevel="1" x14ac:dyDescent="0.3">
      <c r="A30" s="83" t="s">
        <v>235</v>
      </c>
      <c r="B30" s="240"/>
      <c r="C30" s="241"/>
      <c r="D30" s="109"/>
      <c r="E30" s="4">
        <v>1</v>
      </c>
      <c r="F30" s="4">
        <f t="shared" si="6"/>
        <v>0</v>
      </c>
      <c r="H30" s="119"/>
    </row>
    <row r="31" spans="1:20" outlineLevel="1" x14ac:dyDescent="0.3">
      <c r="H31" s="119"/>
    </row>
    <row r="32" spans="1:20" outlineLevel="1" x14ac:dyDescent="0.3">
      <c r="A32" s="90" t="s">
        <v>1</v>
      </c>
      <c r="B32" s="104"/>
      <c r="C32" s="104"/>
      <c r="D32" s="90"/>
      <c r="E32" s="88"/>
      <c r="F32" s="88">
        <f>SUM(F34,F37,F41,F45,F49)</f>
        <v>0</v>
      </c>
      <c r="H32" s="119"/>
    </row>
    <row r="33" spans="1:8" ht="47.25" customHeight="1" outlineLevel="1" x14ac:dyDescent="0.3">
      <c r="A33" s="87" t="s">
        <v>245</v>
      </c>
      <c r="B33" s="244" t="s">
        <v>236</v>
      </c>
      <c r="C33" s="245"/>
      <c r="D33" s="82" t="s">
        <v>278</v>
      </c>
      <c r="E33" s="81"/>
      <c r="F33" s="81">
        <f>SUM(F34:F36)</f>
        <v>0</v>
      </c>
      <c r="H33" s="119"/>
    </row>
    <row r="34" spans="1:8" outlineLevel="1" x14ac:dyDescent="0.3">
      <c r="A34" s="83" t="s">
        <v>246</v>
      </c>
      <c r="B34" s="240"/>
      <c r="C34" s="241"/>
      <c r="D34" s="109"/>
      <c r="E34" s="4">
        <v>3</v>
      </c>
      <c r="F34" s="4">
        <f>IF(COUNTA(D34),E34,0)</f>
        <v>0</v>
      </c>
      <c r="H34" s="119"/>
    </row>
    <row r="35" spans="1:8" outlineLevel="1" x14ac:dyDescent="0.3">
      <c r="A35" s="83" t="s">
        <v>247</v>
      </c>
      <c r="B35" s="240"/>
      <c r="C35" s="241"/>
      <c r="D35" s="109"/>
      <c r="E35" s="4">
        <v>2</v>
      </c>
      <c r="F35" s="4">
        <f t="shared" ref="F35:F36" si="7">IF(COUNTA(D35),E35,0)</f>
        <v>0</v>
      </c>
      <c r="H35" s="119"/>
    </row>
    <row r="36" spans="1:8" outlineLevel="1" x14ac:dyDescent="0.3">
      <c r="A36" s="83" t="s">
        <v>248</v>
      </c>
      <c r="B36" s="240"/>
      <c r="C36" s="241"/>
      <c r="D36" s="109"/>
      <c r="E36" s="4">
        <v>1</v>
      </c>
      <c r="F36" s="4">
        <f t="shared" si="7"/>
        <v>0</v>
      </c>
      <c r="H36" s="119"/>
    </row>
    <row r="37" spans="1:8" outlineLevel="1" x14ac:dyDescent="0.3">
      <c r="A37" s="86" t="s">
        <v>237</v>
      </c>
      <c r="B37" s="244"/>
      <c r="C37" s="245"/>
      <c r="D37" s="81"/>
      <c r="E37" s="81"/>
      <c r="F37" s="81">
        <f>SUM(F38:F40)</f>
        <v>0</v>
      </c>
      <c r="H37" s="119"/>
    </row>
    <row r="38" spans="1:8" outlineLevel="1" x14ac:dyDescent="0.3">
      <c r="A38" s="83" t="s">
        <v>238</v>
      </c>
      <c r="B38" s="240"/>
      <c r="C38" s="241"/>
      <c r="D38" s="109"/>
      <c r="E38" s="4">
        <v>3</v>
      </c>
      <c r="F38" s="4">
        <f>IF(COUNTA(D38),E38,0)</f>
        <v>0</v>
      </c>
      <c r="H38" s="119"/>
    </row>
    <row r="39" spans="1:8" outlineLevel="1" x14ac:dyDescent="0.3">
      <c r="A39" s="83" t="s">
        <v>239</v>
      </c>
      <c r="B39" s="240"/>
      <c r="C39" s="241"/>
      <c r="D39" s="109"/>
      <c r="E39" s="4">
        <v>2</v>
      </c>
      <c r="F39" s="4">
        <f t="shared" ref="F39:F40" si="8">IF(COUNTA(D39),E39,0)</f>
        <v>0</v>
      </c>
      <c r="H39" s="119"/>
    </row>
    <row r="40" spans="1:8" outlineLevel="1" x14ac:dyDescent="0.3">
      <c r="A40" s="83" t="s">
        <v>240</v>
      </c>
      <c r="B40" s="240"/>
      <c r="C40" s="241"/>
      <c r="D40" s="109"/>
      <c r="E40" s="4">
        <v>1</v>
      </c>
      <c r="F40" s="4">
        <f t="shared" si="8"/>
        <v>0</v>
      </c>
      <c r="H40" s="119"/>
    </row>
    <row r="41" spans="1:8" outlineLevel="1" x14ac:dyDescent="0.3">
      <c r="A41" s="86" t="s">
        <v>273</v>
      </c>
      <c r="B41" s="244"/>
      <c r="C41" s="245"/>
      <c r="D41" s="81"/>
      <c r="E41" s="81"/>
      <c r="F41" s="81">
        <f>SUM(F42:F44)</f>
        <v>0</v>
      </c>
      <c r="H41" s="119"/>
    </row>
    <row r="42" spans="1:8" outlineLevel="1" x14ac:dyDescent="0.3">
      <c r="A42" s="83" t="s">
        <v>274</v>
      </c>
      <c r="B42" s="240"/>
      <c r="C42" s="241"/>
      <c r="D42" s="109"/>
      <c r="E42" s="4">
        <v>3</v>
      </c>
      <c r="F42" s="4">
        <f>IF(COUNTA(D42),E42,0)</f>
        <v>0</v>
      </c>
      <c r="H42" s="119"/>
    </row>
    <row r="43" spans="1:8" outlineLevel="1" x14ac:dyDescent="0.3">
      <c r="A43" s="83" t="s">
        <v>276</v>
      </c>
      <c r="B43" s="240"/>
      <c r="C43" s="241"/>
      <c r="D43" s="109"/>
      <c r="E43" s="4">
        <v>2</v>
      </c>
      <c r="F43" s="4">
        <f t="shared" ref="F43:F44" si="9">IF(COUNTA(D43),E43,0)</f>
        <v>0</v>
      </c>
      <c r="H43" s="119"/>
    </row>
    <row r="44" spans="1:8" outlineLevel="1" x14ac:dyDescent="0.3">
      <c r="A44" s="83" t="s">
        <v>275</v>
      </c>
      <c r="B44" s="240"/>
      <c r="C44" s="241"/>
      <c r="D44" s="109"/>
      <c r="E44" s="4">
        <v>1</v>
      </c>
      <c r="F44" s="4">
        <f t="shared" si="9"/>
        <v>0</v>
      </c>
      <c r="H44" s="119"/>
    </row>
    <row r="45" spans="1:8" outlineLevel="1" x14ac:dyDescent="0.3">
      <c r="A45" s="86" t="s">
        <v>253</v>
      </c>
      <c r="B45" s="242"/>
      <c r="C45" s="243"/>
      <c r="D45" s="81"/>
      <c r="E45" s="81"/>
      <c r="F45" s="81">
        <f>SUM(F46:F48)</f>
        <v>0</v>
      </c>
      <c r="H45" s="119"/>
    </row>
    <row r="46" spans="1:8" outlineLevel="1" x14ac:dyDescent="0.3">
      <c r="A46" s="83" t="s">
        <v>226</v>
      </c>
      <c r="B46" s="238"/>
      <c r="C46" s="239"/>
      <c r="D46" s="109"/>
      <c r="E46" s="4">
        <v>3</v>
      </c>
      <c r="F46" s="4">
        <f>IF(COUNTA(D46),E46,0)</f>
        <v>0</v>
      </c>
      <c r="H46" s="119"/>
    </row>
    <row r="47" spans="1:8" outlineLevel="1" x14ac:dyDescent="0.3">
      <c r="A47" s="83" t="s">
        <v>227</v>
      </c>
      <c r="B47" s="238"/>
      <c r="C47" s="239"/>
      <c r="D47" s="109"/>
      <c r="E47" s="4">
        <v>2</v>
      </c>
      <c r="F47" s="4">
        <f t="shared" ref="F47:F48" si="10">IF(COUNTA(D47),E47,0)</f>
        <v>0</v>
      </c>
      <c r="H47" s="119"/>
    </row>
    <row r="48" spans="1:8" outlineLevel="1" x14ac:dyDescent="0.3">
      <c r="A48" s="83" t="s">
        <v>228</v>
      </c>
      <c r="B48" s="240"/>
      <c r="C48" s="241"/>
      <c r="D48" s="109"/>
      <c r="E48" s="4">
        <v>1</v>
      </c>
      <c r="F48" s="4">
        <f t="shared" si="10"/>
        <v>0</v>
      </c>
      <c r="H48" s="119"/>
    </row>
    <row r="49" spans="1:8" outlineLevel="1" x14ac:dyDescent="0.3">
      <c r="A49" s="85" t="s">
        <v>252</v>
      </c>
      <c r="B49" s="242"/>
      <c r="C49" s="243"/>
      <c r="D49" s="81"/>
      <c r="E49" s="81"/>
      <c r="F49" s="81">
        <f>SUM(F50:F52)</f>
        <v>0</v>
      </c>
      <c r="H49" s="119"/>
    </row>
    <row r="50" spans="1:8" outlineLevel="1" x14ac:dyDescent="0.3">
      <c r="A50" s="84" t="s">
        <v>249</v>
      </c>
      <c r="B50" s="238"/>
      <c r="C50" s="239"/>
      <c r="D50" s="109"/>
      <c r="E50" s="4">
        <v>3</v>
      </c>
      <c r="F50" s="4">
        <f>IF(COUNTA(D50),E50,0)</f>
        <v>0</v>
      </c>
      <c r="H50" s="119"/>
    </row>
    <row r="51" spans="1:8" outlineLevel="1" x14ac:dyDescent="0.3">
      <c r="A51" s="84" t="s">
        <v>250</v>
      </c>
      <c r="B51" s="238"/>
      <c r="C51" s="239"/>
      <c r="D51" s="109"/>
      <c r="E51" s="4">
        <v>2</v>
      </c>
      <c r="F51" s="4">
        <f t="shared" ref="F51:F52" si="11">IF(COUNTA(D51),E51,0)</f>
        <v>0</v>
      </c>
      <c r="H51" s="119"/>
    </row>
    <row r="52" spans="1:8" outlineLevel="1" x14ac:dyDescent="0.3">
      <c r="A52" s="83" t="s">
        <v>251</v>
      </c>
      <c r="B52" s="240"/>
      <c r="C52" s="241"/>
      <c r="D52" s="109"/>
      <c r="E52" s="4">
        <v>1</v>
      </c>
      <c r="F52" s="4">
        <f t="shared" si="11"/>
        <v>0</v>
      </c>
      <c r="H52" s="119"/>
    </row>
    <row r="53" spans="1:8" outlineLevel="1" x14ac:dyDescent="0.3">
      <c r="H53" s="119"/>
    </row>
    <row r="54" spans="1:8" outlineLevel="1" x14ac:dyDescent="0.3">
      <c r="A54" s="90" t="s">
        <v>254</v>
      </c>
      <c r="B54" s="104"/>
      <c r="C54" s="104"/>
      <c r="D54" s="90"/>
      <c r="E54" s="88"/>
      <c r="F54" s="88">
        <f>SUM(F56,F59,F63,F67,F71)</f>
        <v>0</v>
      </c>
      <c r="H54" s="119"/>
    </row>
    <row r="55" spans="1:8" ht="47.25" customHeight="1" outlineLevel="1" x14ac:dyDescent="0.3">
      <c r="A55" s="87" t="s">
        <v>255</v>
      </c>
      <c r="B55" s="244" t="s">
        <v>236</v>
      </c>
      <c r="C55" s="245"/>
      <c r="D55" s="82" t="s">
        <v>278</v>
      </c>
      <c r="E55" s="81"/>
      <c r="F55" s="81">
        <f>SUM(F56:F58)</f>
        <v>0</v>
      </c>
      <c r="H55" s="119"/>
    </row>
    <row r="56" spans="1:8" outlineLevel="1" x14ac:dyDescent="0.3">
      <c r="A56" s="83" t="s">
        <v>256</v>
      </c>
      <c r="B56" s="240"/>
      <c r="C56" s="241"/>
      <c r="D56" s="109"/>
      <c r="E56" s="4">
        <v>3</v>
      </c>
      <c r="F56" s="4">
        <f>IF(COUNTA(D56),E56,0)</f>
        <v>0</v>
      </c>
      <c r="H56" s="119"/>
    </row>
    <row r="57" spans="1:8" outlineLevel="1" x14ac:dyDescent="0.3">
      <c r="A57" s="83" t="s">
        <v>257</v>
      </c>
      <c r="B57" s="240"/>
      <c r="C57" s="241"/>
      <c r="D57" s="109"/>
      <c r="E57" s="4">
        <v>2</v>
      </c>
      <c r="F57" s="4">
        <f t="shared" ref="F57:F58" si="12">IF(COUNTA(D57),E57,0)</f>
        <v>0</v>
      </c>
      <c r="H57" s="119"/>
    </row>
    <row r="58" spans="1:8" outlineLevel="1" x14ac:dyDescent="0.3">
      <c r="A58" s="83" t="s">
        <v>258</v>
      </c>
      <c r="B58" s="240"/>
      <c r="C58" s="241"/>
      <c r="D58" s="109"/>
      <c r="E58" s="4">
        <v>1</v>
      </c>
      <c r="F58" s="4">
        <f t="shared" si="12"/>
        <v>0</v>
      </c>
      <c r="H58" s="119"/>
    </row>
    <row r="59" spans="1:8" outlineLevel="1" x14ac:dyDescent="0.3">
      <c r="A59" s="86" t="s">
        <v>269</v>
      </c>
      <c r="B59" s="244"/>
      <c r="C59" s="245"/>
      <c r="D59" s="81"/>
      <c r="E59" s="81"/>
      <c r="F59" s="81">
        <f>SUM(F60:F62)</f>
        <v>0</v>
      </c>
      <c r="H59" s="119"/>
    </row>
    <row r="60" spans="1:8" outlineLevel="1" x14ac:dyDescent="0.3">
      <c r="A60" s="83" t="s">
        <v>261</v>
      </c>
      <c r="B60" s="240"/>
      <c r="C60" s="241"/>
      <c r="D60" s="109"/>
      <c r="E60" s="4">
        <v>3</v>
      </c>
      <c r="F60" s="4">
        <f>IF(COUNTA(D60),E60,0)</f>
        <v>0</v>
      </c>
      <c r="H60" s="119"/>
    </row>
    <row r="61" spans="1:8" outlineLevel="1" x14ac:dyDescent="0.3">
      <c r="A61" s="83" t="s">
        <v>262</v>
      </c>
      <c r="B61" s="240"/>
      <c r="C61" s="241"/>
      <c r="D61" s="109"/>
      <c r="E61" s="4">
        <v>2</v>
      </c>
      <c r="F61" s="4">
        <f t="shared" ref="F61:F62" si="13">IF(COUNTA(D61),E61,0)</f>
        <v>0</v>
      </c>
      <c r="H61" s="119"/>
    </row>
    <row r="62" spans="1:8" outlineLevel="1" x14ac:dyDescent="0.3">
      <c r="A62" s="83" t="s">
        <v>263</v>
      </c>
      <c r="B62" s="240"/>
      <c r="C62" s="241"/>
      <c r="D62" s="109"/>
      <c r="E62" s="4">
        <v>1</v>
      </c>
      <c r="F62" s="4">
        <f t="shared" si="13"/>
        <v>0</v>
      </c>
      <c r="H62" s="119"/>
    </row>
    <row r="63" spans="1:8" outlineLevel="1" x14ac:dyDescent="0.3">
      <c r="A63" s="86" t="s">
        <v>264</v>
      </c>
      <c r="B63" s="244"/>
      <c r="C63" s="245"/>
      <c r="D63" s="81"/>
      <c r="E63" s="81"/>
      <c r="F63" s="81">
        <f>SUM(F64:F66)</f>
        <v>0</v>
      </c>
      <c r="H63" s="119"/>
    </row>
    <row r="64" spans="1:8" outlineLevel="1" x14ac:dyDescent="0.3">
      <c r="A64" s="83" t="s">
        <v>265</v>
      </c>
      <c r="B64" s="240"/>
      <c r="C64" s="241"/>
      <c r="D64" s="109"/>
      <c r="E64" s="4">
        <v>3</v>
      </c>
      <c r="F64" s="4">
        <f>IF(COUNTA(D64),E64,0)</f>
        <v>0</v>
      </c>
      <c r="H64" s="119"/>
    </row>
    <row r="65" spans="1:11" outlineLevel="1" x14ac:dyDescent="0.3">
      <c r="A65" s="83" t="s">
        <v>266</v>
      </c>
      <c r="B65" s="240"/>
      <c r="C65" s="241"/>
      <c r="D65" s="109"/>
      <c r="E65" s="4">
        <v>2</v>
      </c>
      <c r="F65" s="4">
        <f t="shared" ref="F65:F66" si="14">IF(COUNTA(D65),E65,0)</f>
        <v>0</v>
      </c>
      <c r="H65" s="119"/>
    </row>
    <row r="66" spans="1:11" outlineLevel="1" x14ac:dyDescent="0.3">
      <c r="A66" s="83" t="s">
        <v>267</v>
      </c>
      <c r="B66" s="240"/>
      <c r="C66" s="241"/>
      <c r="D66" s="109"/>
      <c r="E66" s="4">
        <v>1</v>
      </c>
      <c r="F66" s="4">
        <f t="shared" si="14"/>
        <v>0</v>
      </c>
      <c r="H66" s="119"/>
    </row>
    <row r="67" spans="1:11" outlineLevel="1" x14ac:dyDescent="0.3">
      <c r="A67" s="86" t="s">
        <v>268</v>
      </c>
      <c r="B67" s="242"/>
      <c r="C67" s="243"/>
      <c r="D67" s="81"/>
      <c r="E67" s="81"/>
      <c r="F67" s="81">
        <f>SUM(F68:F70)</f>
        <v>0</v>
      </c>
      <c r="H67" s="119"/>
    </row>
    <row r="68" spans="1:11" outlineLevel="1" x14ac:dyDescent="0.3">
      <c r="A68" s="83" t="s">
        <v>270</v>
      </c>
      <c r="B68" s="238"/>
      <c r="C68" s="239"/>
      <c r="D68" s="109"/>
      <c r="E68" s="4">
        <v>3</v>
      </c>
      <c r="F68" s="4">
        <f>IF(COUNTA(D68),E68,0)</f>
        <v>0</v>
      </c>
      <c r="H68" s="119"/>
    </row>
    <row r="69" spans="1:11" outlineLevel="1" x14ac:dyDescent="0.3">
      <c r="A69" s="83" t="s">
        <v>271</v>
      </c>
      <c r="B69" s="238"/>
      <c r="C69" s="239"/>
      <c r="D69" s="109"/>
      <c r="E69" s="4">
        <v>2</v>
      </c>
      <c r="F69" s="4">
        <f t="shared" ref="F69:F70" si="15">IF(COUNTA(D69),E69,0)</f>
        <v>0</v>
      </c>
      <c r="H69" s="119"/>
    </row>
    <row r="70" spans="1:11" outlineLevel="1" x14ac:dyDescent="0.3">
      <c r="A70" s="83" t="s">
        <v>272</v>
      </c>
      <c r="B70" s="240"/>
      <c r="C70" s="241"/>
      <c r="D70" s="109"/>
      <c r="E70" s="4">
        <v>1</v>
      </c>
      <c r="F70" s="4">
        <f t="shared" si="15"/>
        <v>0</v>
      </c>
      <c r="H70" s="119"/>
    </row>
    <row r="71" spans="1:11" outlineLevel="1" x14ac:dyDescent="0.3">
      <c r="A71" s="86" t="s">
        <v>241</v>
      </c>
      <c r="B71" s="242"/>
      <c r="C71" s="243"/>
      <c r="D71" s="81"/>
      <c r="E71" s="81"/>
      <c r="F71" s="81">
        <f>SUM(F72:F74)</f>
        <v>0</v>
      </c>
      <c r="H71" s="119"/>
    </row>
    <row r="72" spans="1:11" outlineLevel="1" x14ac:dyDescent="0.3">
      <c r="A72" s="83" t="s">
        <v>242</v>
      </c>
      <c r="B72" s="238"/>
      <c r="C72" s="239"/>
      <c r="D72" s="109"/>
      <c r="E72" s="4">
        <v>3</v>
      </c>
      <c r="F72" s="4">
        <f>IF(COUNTA(D72),E72,0)</f>
        <v>0</v>
      </c>
      <c r="H72" s="119"/>
    </row>
    <row r="73" spans="1:11" outlineLevel="1" x14ac:dyDescent="0.3">
      <c r="A73" s="83" t="s">
        <v>243</v>
      </c>
      <c r="B73" s="238"/>
      <c r="C73" s="239"/>
      <c r="D73" s="109"/>
      <c r="E73" s="4">
        <v>2</v>
      </c>
      <c r="F73" s="4">
        <f t="shared" ref="F73:F74" si="16">IF(COUNTA(D73),E73,0)</f>
        <v>0</v>
      </c>
      <c r="H73" s="119"/>
    </row>
    <row r="74" spans="1:11" outlineLevel="1" x14ac:dyDescent="0.3">
      <c r="A74" s="83" t="s">
        <v>244</v>
      </c>
      <c r="B74" s="240"/>
      <c r="C74" s="241"/>
      <c r="D74" s="109"/>
      <c r="E74" s="91">
        <v>1</v>
      </c>
      <c r="F74" s="91">
        <f t="shared" si="16"/>
        <v>0</v>
      </c>
      <c r="H74" s="119"/>
    </row>
    <row r="75" spans="1:11" outlineLevel="1" x14ac:dyDescent="0.3">
      <c r="H75" s="119"/>
    </row>
    <row r="76" spans="1:11" outlineLevel="1" x14ac:dyDescent="0.3">
      <c r="H76" s="119"/>
    </row>
    <row r="77" spans="1:11" x14ac:dyDescent="0.3">
      <c r="H77" s="119"/>
    </row>
    <row r="79" spans="1:11" s="137" customFormat="1" x14ac:dyDescent="0.3">
      <c r="A79" s="156" t="s">
        <v>396</v>
      </c>
      <c r="B79" s="157" t="s">
        <v>394</v>
      </c>
      <c r="C79" s="158"/>
      <c r="K79" s="137" t="s">
        <v>403</v>
      </c>
    </row>
    <row r="80" spans="1:11" x14ac:dyDescent="0.3">
      <c r="H80" s="119"/>
      <c r="J80" s="145" t="s">
        <v>425</v>
      </c>
    </row>
    <row r="81" spans="1:16" outlineLevel="1" x14ac:dyDescent="0.3">
      <c r="A81" s="262" t="s">
        <v>318</v>
      </c>
      <c r="B81" s="263"/>
      <c r="C81" s="264" t="s">
        <v>306</v>
      </c>
      <c r="D81" s="264"/>
      <c r="F81" s="264" t="s">
        <v>201</v>
      </c>
      <c r="G81" s="264"/>
      <c r="H81" s="119"/>
    </row>
    <row r="82" spans="1:16" ht="28.8" outlineLevel="1" x14ac:dyDescent="0.3">
      <c r="A82" s="5" t="s">
        <v>307</v>
      </c>
      <c r="B82" s="4" t="s">
        <v>400</v>
      </c>
      <c r="C82" s="5" t="s">
        <v>305</v>
      </c>
      <c r="D82" s="5" t="s">
        <v>332</v>
      </c>
      <c r="F82" s="4" t="s">
        <v>298</v>
      </c>
      <c r="G82" s="5" t="s">
        <v>305</v>
      </c>
      <c r="H82" s="119"/>
      <c r="I82" s="131" t="s">
        <v>468</v>
      </c>
      <c r="J82" s="131"/>
      <c r="K82" s="131"/>
      <c r="L82" s="131"/>
      <c r="M82" s="3"/>
      <c r="N82" s="97"/>
      <c r="O82" s="97"/>
      <c r="P82" s="3"/>
    </row>
    <row r="83" spans="1:16" outlineLevel="1" x14ac:dyDescent="0.3">
      <c r="A83" s="4" t="s">
        <v>311</v>
      </c>
      <c r="B83" s="4" t="s">
        <v>200</v>
      </c>
      <c r="C83" s="109"/>
      <c r="D83" s="109"/>
      <c r="F83" s="4"/>
      <c r="G83" s="109"/>
      <c r="H83" s="119"/>
    </row>
    <row r="84" spans="1:16" outlineLevel="1" x14ac:dyDescent="0.3">
      <c r="A84" s="4" t="s">
        <v>312</v>
      </c>
      <c r="B84" s="4" t="s">
        <v>5</v>
      </c>
      <c r="C84" s="109"/>
      <c r="D84" s="109"/>
      <c r="F84" s="4"/>
      <c r="G84" s="109"/>
      <c r="H84" s="119"/>
      <c r="I84" s="7"/>
      <c r="J84" s="162" t="s">
        <v>404</v>
      </c>
      <c r="K84" s="162"/>
      <c r="L84" s="7"/>
    </row>
    <row r="85" spans="1:16" outlineLevel="1" x14ac:dyDescent="0.3">
      <c r="A85" s="4" t="s">
        <v>313</v>
      </c>
      <c r="B85" s="4" t="s">
        <v>6</v>
      </c>
      <c r="C85" s="109"/>
      <c r="D85" s="109"/>
      <c r="F85" s="4"/>
      <c r="G85" s="109"/>
      <c r="H85" s="119"/>
      <c r="I85" s="135"/>
      <c r="J85" s="4" t="s">
        <v>200</v>
      </c>
      <c r="K85" s="4" t="s">
        <v>304</v>
      </c>
      <c r="L85" s="4" t="s">
        <v>6</v>
      </c>
    </row>
    <row r="86" spans="1:16" outlineLevel="1" x14ac:dyDescent="0.3">
      <c r="A86" s="8"/>
      <c r="B86" s="8"/>
      <c r="C86" s="112"/>
      <c r="D86" s="112"/>
      <c r="E86" s="112"/>
      <c r="H86" s="119"/>
      <c r="I86" s="149" t="s">
        <v>323</v>
      </c>
      <c r="J86" s="130">
        <f>C83*D83*'Set-up + Definitions'!C6*(52*40/12)</f>
        <v>0</v>
      </c>
      <c r="K86" s="130">
        <f>C84*D84*'Set-up + Definitions'!C6*(52*40/12)</f>
        <v>0</v>
      </c>
      <c r="L86" s="130">
        <f>C85*D85*'Set-up + Definitions'!C6*(52*40/12)</f>
        <v>0</v>
      </c>
    </row>
    <row r="87" spans="1:16" outlineLevel="1" x14ac:dyDescent="0.3">
      <c r="B87"/>
      <c r="C87"/>
      <c r="H87" s="119"/>
      <c r="I87" s="149" t="s">
        <v>3</v>
      </c>
      <c r="J87" s="130">
        <f>C90*D90*'Set-up + Definitions'!C7*(52*40/12)</f>
        <v>0</v>
      </c>
      <c r="K87" s="130">
        <f>C91*D91*'Set-up + Definitions'!C7*(52*40/12)</f>
        <v>0</v>
      </c>
      <c r="L87" s="130">
        <f>C92*D92*'Set-up + Definitions'!C7*(52*40/12)</f>
        <v>0</v>
      </c>
    </row>
    <row r="88" spans="1:16" outlineLevel="1" x14ac:dyDescent="0.3">
      <c r="A88" s="262" t="s">
        <v>309</v>
      </c>
      <c r="B88" s="263"/>
      <c r="C88" s="264" t="s">
        <v>306</v>
      </c>
      <c r="D88" s="264"/>
      <c r="F88" s="264" t="s">
        <v>201</v>
      </c>
      <c r="G88" s="264"/>
      <c r="H88" s="119"/>
      <c r="I88" s="4" t="s">
        <v>422</v>
      </c>
      <c r="J88" s="130">
        <f>SUM(J86:J87)</f>
        <v>0</v>
      </c>
      <c r="K88" s="130">
        <f t="shared" ref="K88:L88" si="17">SUM(K86:K87)</f>
        <v>0</v>
      </c>
      <c r="L88" s="130">
        <f t="shared" si="17"/>
        <v>0</v>
      </c>
    </row>
    <row r="89" spans="1:16" ht="28.8" outlineLevel="1" x14ac:dyDescent="0.3">
      <c r="A89" s="5" t="s">
        <v>308</v>
      </c>
      <c r="B89" s="4" t="s">
        <v>400</v>
      </c>
      <c r="C89" s="5" t="s">
        <v>305</v>
      </c>
      <c r="D89" s="5" t="s">
        <v>332</v>
      </c>
      <c r="F89" s="4" t="s">
        <v>298</v>
      </c>
      <c r="G89" s="5" t="s">
        <v>305</v>
      </c>
      <c r="H89" s="119"/>
      <c r="J89" s="111"/>
      <c r="K89" s="111"/>
      <c r="L89" s="111"/>
    </row>
    <row r="90" spans="1:16" outlineLevel="1" x14ac:dyDescent="0.3">
      <c r="A90" s="5" t="s">
        <v>335</v>
      </c>
      <c r="B90" s="5" t="s">
        <v>200</v>
      </c>
      <c r="C90" s="109"/>
      <c r="D90" s="109"/>
      <c r="F90" s="4"/>
      <c r="G90" s="109"/>
      <c r="H90" s="119"/>
      <c r="I90" s="7" t="s">
        <v>461</v>
      </c>
      <c r="J90" s="7" t="s">
        <v>200</v>
      </c>
      <c r="K90" s="7" t="s">
        <v>304</v>
      </c>
      <c r="L90" s="7" t="s">
        <v>6</v>
      </c>
    </row>
    <row r="91" spans="1:16" outlineLevel="1" x14ac:dyDescent="0.3">
      <c r="A91" s="5" t="s">
        <v>336</v>
      </c>
      <c r="B91" s="5" t="s">
        <v>5</v>
      </c>
      <c r="C91" s="109"/>
      <c r="D91" s="109"/>
      <c r="F91" s="4"/>
      <c r="G91" s="109"/>
      <c r="H91" s="119"/>
      <c r="I91" s="149" t="s">
        <v>323</v>
      </c>
      <c r="J91" s="72">
        <f>G83*(52*40/12)*'Set-up + Definitions'!C6</f>
        <v>0</v>
      </c>
      <c r="K91" s="72">
        <f>G84*(52*40/12)*'Set-up + Definitions'!C6</f>
        <v>0</v>
      </c>
      <c r="L91" s="72">
        <f>G85*(52*40/12)*'Set-up + Definitions'!C6</f>
        <v>0</v>
      </c>
    </row>
    <row r="92" spans="1:16" outlineLevel="1" x14ac:dyDescent="0.3">
      <c r="A92" s="5" t="s">
        <v>337</v>
      </c>
      <c r="B92" s="5" t="s">
        <v>6</v>
      </c>
      <c r="C92" s="109"/>
      <c r="D92" s="109"/>
      <c r="F92" s="4"/>
      <c r="G92" s="109"/>
      <c r="H92" s="119"/>
      <c r="I92" s="149" t="s">
        <v>3</v>
      </c>
      <c r="J92" s="72">
        <f>G90*(52*40/12)*'Set-up + Definitions'!C7</f>
        <v>0</v>
      </c>
      <c r="K92" s="72">
        <f>G91*(52*40/12)*'Set-up + Definitions'!C7</f>
        <v>0</v>
      </c>
      <c r="L92" s="72">
        <f>G92*(52*40/12)*'Set-up + Definitions'!C7</f>
        <v>0</v>
      </c>
    </row>
    <row r="93" spans="1:16" outlineLevel="1" x14ac:dyDescent="0.3">
      <c r="H93" s="119"/>
      <c r="I93" s="135" t="s">
        <v>0</v>
      </c>
      <c r="J93" s="72">
        <f>C124</f>
        <v>6379.15</v>
      </c>
      <c r="K93" s="72">
        <f t="shared" ref="K93" si="18">D124</f>
        <v>3346.7900000000009</v>
      </c>
      <c r="L93" s="72">
        <f>G124</f>
        <v>1275.51</v>
      </c>
    </row>
    <row r="94" spans="1:16" ht="68.25" customHeight="1" outlineLevel="1" x14ac:dyDescent="0.3">
      <c r="A94" s="257" t="s">
        <v>351</v>
      </c>
      <c r="B94" s="258"/>
      <c r="C94" s="207" t="s">
        <v>201</v>
      </c>
      <c r="D94" s="208"/>
      <c r="E94" s="208"/>
      <c r="F94" s="208"/>
      <c r="G94" s="208"/>
      <c r="H94" s="119"/>
      <c r="I94" s="4" t="s">
        <v>423</v>
      </c>
      <c r="J94" s="130">
        <f>SUM(J91:J93)</f>
        <v>6379.15</v>
      </c>
      <c r="K94" s="130">
        <f>SUM(K91:K93)</f>
        <v>3346.7900000000009</v>
      </c>
      <c r="L94" s="130">
        <f>SUM(L91:L93)</f>
        <v>1275.51</v>
      </c>
    </row>
    <row r="95" spans="1:16" outlineLevel="1" x14ac:dyDescent="0.3">
      <c r="A95" s="5" t="s">
        <v>326</v>
      </c>
      <c r="B95" s="4" t="s">
        <v>401</v>
      </c>
      <c r="C95" s="114" t="s">
        <v>200</v>
      </c>
      <c r="D95" s="114" t="s">
        <v>5</v>
      </c>
      <c r="E95" s="109"/>
      <c r="G95" s="109" t="s">
        <v>6</v>
      </c>
      <c r="H95" s="119"/>
    </row>
    <row r="96" spans="1:16" ht="57.6" outlineLevel="1" x14ac:dyDescent="0.3">
      <c r="A96" s="5" t="s">
        <v>330</v>
      </c>
      <c r="B96" s="5" t="s">
        <v>327</v>
      </c>
      <c r="C96" s="109"/>
      <c r="D96" s="109"/>
      <c r="E96" s="109"/>
      <c r="F96" s="109"/>
      <c r="G96" s="109"/>
      <c r="H96" s="119"/>
      <c r="I96" s="104" t="s">
        <v>424</v>
      </c>
      <c r="J96" s="190">
        <f>J94*$G$6*12</f>
        <v>0</v>
      </c>
      <c r="K96" s="190">
        <f t="shared" ref="K96:L96" si="19">K94*$G$6*12</f>
        <v>0</v>
      </c>
      <c r="L96" s="190">
        <f t="shared" si="19"/>
        <v>0</v>
      </c>
    </row>
    <row r="97" spans="1:13" ht="28.8" outlineLevel="1" x14ac:dyDescent="0.3">
      <c r="A97" s="161" t="s">
        <v>419</v>
      </c>
      <c r="B97" s="5" t="s">
        <v>341</v>
      </c>
      <c r="C97" s="109"/>
      <c r="D97" s="109"/>
      <c r="E97" s="109"/>
      <c r="G97" s="109"/>
      <c r="H97" s="119"/>
    </row>
    <row r="98" spans="1:13" ht="28.8" outlineLevel="1" x14ac:dyDescent="0.3">
      <c r="A98" s="161" t="s">
        <v>420</v>
      </c>
      <c r="B98" s="5" t="s">
        <v>334</v>
      </c>
      <c r="C98" s="109"/>
      <c r="D98" s="109"/>
      <c r="E98" s="109"/>
      <c r="G98" s="109"/>
      <c r="H98" s="119"/>
      <c r="I98" s="97"/>
      <c r="J98" s="97"/>
      <c r="K98" s="97"/>
      <c r="L98" s="97"/>
      <c r="M98" s="97"/>
    </row>
    <row r="99" spans="1:13" ht="28.8" outlineLevel="1" x14ac:dyDescent="0.3">
      <c r="A99" s="122" t="s">
        <v>469</v>
      </c>
      <c r="B99" s="259" t="s">
        <v>328</v>
      </c>
      <c r="C99" s="109"/>
      <c r="D99" s="109"/>
      <c r="E99" s="109"/>
      <c r="G99" s="109"/>
      <c r="H99" s="119"/>
      <c r="I99" s="97"/>
      <c r="J99" s="97"/>
      <c r="K99" s="97"/>
      <c r="L99" s="97"/>
      <c r="M99" s="97"/>
    </row>
    <row r="100" spans="1:13" outlineLevel="1" x14ac:dyDescent="0.3">
      <c r="A100" s="121" t="s">
        <v>345</v>
      </c>
      <c r="B100" s="260"/>
      <c r="C100" s="109"/>
      <c r="D100" s="109"/>
      <c r="E100" s="109"/>
      <c r="G100" s="109"/>
      <c r="H100" s="119"/>
      <c r="I100" s="97"/>
      <c r="J100" s="97"/>
      <c r="K100" s="97"/>
      <c r="L100" s="97"/>
      <c r="M100" s="97"/>
    </row>
    <row r="101" spans="1:13" ht="28.8" outlineLevel="1" x14ac:dyDescent="0.3">
      <c r="A101" s="123" t="s">
        <v>349</v>
      </c>
      <c r="B101" s="261"/>
      <c r="C101" s="117"/>
      <c r="D101" s="117"/>
      <c r="E101" s="117"/>
      <c r="G101" s="117"/>
      <c r="H101" s="119"/>
      <c r="I101" s="97"/>
      <c r="J101" s="97"/>
      <c r="K101" s="97"/>
      <c r="L101" s="97"/>
      <c r="M101" s="97"/>
    </row>
    <row r="102" spans="1:13" ht="15" customHeight="1" outlineLevel="1" x14ac:dyDescent="0.3">
      <c r="A102" s="215" t="s">
        <v>421</v>
      </c>
      <c r="B102" s="5" t="s">
        <v>339</v>
      </c>
      <c r="C102" s="109"/>
      <c r="D102" s="109"/>
      <c r="E102" s="109"/>
      <c r="G102" s="109"/>
      <c r="H102" s="119"/>
      <c r="I102" s="97"/>
      <c r="J102" s="97"/>
      <c r="K102" s="97"/>
      <c r="L102" s="97"/>
      <c r="M102" s="97"/>
    </row>
    <row r="103" spans="1:13" outlineLevel="1" x14ac:dyDescent="0.3">
      <c r="A103" s="215"/>
      <c r="B103" s="5" t="s">
        <v>34</v>
      </c>
      <c r="C103" s="109"/>
      <c r="D103" s="109"/>
      <c r="E103" s="109"/>
      <c r="F103" s="109"/>
      <c r="G103" s="109"/>
      <c r="H103" s="119"/>
    </row>
    <row r="104" spans="1:13" outlineLevel="2" x14ac:dyDescent="0.3"/>
    <row r="105" spans="1:13" outlineLevel="1" x14ac:dyDescent="0.3">
      <c r="A105" s="19"/>
      <c r="B105"/>
      <c r="C105"/>
    </row>
    <row r="106" spans="1:13" outlineLevel="1" x14ac:dyDescent="0.3">
      <c r="A106" s="164" t="s">
        <v>401</v>
      </c>
      <c r="B106" s="165" t="s">
        <v>400</v>
      </c>
      <c r="C106" s="4" t="s">
        <v>200</v>
      </c>
      <c r="D106" s="4" t="s">
        <v>5</v>
      </c>
      <c r="E106" s="4"/>
      <c r="F106" s="4"/>
      <c r="G106" s="4" t="s">
        <v>6</v>
      </c>
    </row>
    <row r="107" spans="1:13" outlineLevel="1" x14ac:dyDescent="0.3">
      <c r="A107" s="164" t="s">
        <v>34</v>
      </c>
      <c r="B107" s="4" t="s">
        <v>426</v>
      </c>
      <c r="C107" s="174">
        <f>IF(C96&lt;50,UnitCosts!$B$8*1000*C96,((C96-50)*UnitCosts!$B$9*1000)+50*UnitCosts!$B$8*1000)</f>
        <v>0</v>
      </c>
      <c r="D107" s="174">
        <f>IF(D96&lt;50,UnitCosts!$B$8*1000*D96,((D96-50)*UnitCosts!$B$9*1000)+50*UnitCosts!$B$8*1000)</f>
        <v>0</v>
      </c>
      <c r="E107" s="174"/>
      <c r="F107" s="174"/>
      <c r="G107" s="174">
        <f>IF(G96&lt;50,UnitCosts!$B$8*1000*G96,((G96-50)*UnitCosts!$B$9*1000)+50*UnitCosts!$B$8*1000)</f>
        <v>0</v>
      </c>
    </row>
    <row r="108" spans="1:13" outlineLevel="1" x14ac:dyDescent="0.3">
      <c r="A108" s="164" t="s">
        <v>427</v>
      </c>
      <c r="B108" s="4" t="s">
        <v>426</v>
      </c>
      <c r="C108" s="174">
        <f>C97*UnitCosts!$B$10*1000</f>
        <v>0</v>
      </c>
      <c r="D108" s="174">
        <f>D97*UnitCosts!$B$10*1000</f>
        <v>0</v>
      </c>
      <c r="E108" s="174"/>
      <c r="F108" s="174"/>
      <c r="G108" s="174">
        <f>G97*UnitCosts!$B$10*1000</f>
        <v>0</v>
      </c>
    </row>
    <row r="109" spans="1:13" outlineLevel="1" x14ac:dyDescent="0.3">
      <c r="A109" s="164" t="s">
        <v>439</v>
      </c>
      <c r="B109" s="4" t="s">
        <v>426</v>
      </c>
      <c r="C109" s="174">
        <f>C98*UnitCosts!$B$11*1000</f>
        <v>0</v>
      </c>
      <c r="D109" s="174">
        <f>D98*UnitCosts!$B$11*1000</f>
        <v>0</v>
      </c>
      <c r="E109" s="174"/>
      <c r="F109" s="174"/>
      <c r="G109" s="174">
        <f>G98*UnitCosts!$B$11*1000</f>
        <v>0</v>
      </c>
    </row>
    <row r="110" spans="1:13" outlineLevel="1" x14ac:dyDescent="0.3">
      <c r="A110" s="164" t="s">
        <v>428</v>
      </c>
      <c r="B110" s="128" t="s">
        <v>426</v>
      </c>
      <c r="C110" s="174">
        <f>IF(C103=2000,C102*UnitCosts!$B$22,C102*UnitCosts!$B$23)</f>
        <v>0</v>
      </c>
      <c r="D110" s="174">
        <f>IF(D103=2000,D102*UnitCosts!$B$22,D102*UnitCosts!$B$23)</f>
        <v>0</v>
      </c>
      <c r="E110" s="174"/>
      <c r="F110" s="4"/>
      <c r="G110" s="174">
        <f>IF(G103=2000,G102*UnitCosts!$B$22,G102*UnitCosts!$B$23)</f>
        <v>0</v>
      </c>
    </row>
    <row r="111" spans="1:13" outlineLevel="1" x14ac:dyDescent="0.3">
      <c r="A111" s="191" t="s">
        <v>429</v>
      </c>
      <c r="B111" s="199" t="s">
        <v>426</v>
      </c>
      <c r="C111" s="200">
        <f>UnitCosts!H17</f>
        <v>20</v>
      </c>
      <c r="D111" s="200">
        <f>UnitCosts!I17</f>
        <v>20</v>
      </c>
      <c r="E111" s="200"/>
      <c r="F111" s="200"/>
      <c r="G111" s="200">
        <f>UnitCosts!J17</f>
        <v>20</v>
      </c>
    </row>
    <row r="112" spans="1:13" outlineLevel="1" x14ac:dyDescent="0.3">
      <c r="A112" s="191" t="s">
        <v>430</v>
      </c>
      <c r="B112" s="199" t="s">
        <v>431</v>
      </c>
      <c r="C112" s="200">
        <f>UnitCosts!H18</f>
        <v>984.72</v>
      </c>
      <c r="D112" s="200">
        <f>UnitCosts!I18</f>
        <v>703.63</v>
      </c>
      <c r="E112" s="200"/>
      <c r="F112" s="200"/>
      <c r="G112" s="200">
        <f>UnitCosts!J18</f>
        <v>234.86</v>
      </c>
    </row>
    <row r="113" spans="1:8" outlineLevel="1" x14ac:dyDescent="0.3">
      <c r="A113" s="192" t="s">
        <v>433</v>
      </c>
      <c r="B113" s="199" t="s">
        <v>431</v>
      </c>
      <c r="C113" s="200">
        <f>UnitCosts!H19</f>
        <v>178.77</v>
      </c>
      <c r="D113" s="200">
        <f>UnitCosts!I19</f>
        <v>106.98</v>
      </c>
      <c r="E113" s="200"/>
      <c r="F113" s="200"/>
      <c r="G113" s="200">
        <f>UnitCosts!J19</f>
        <v>106.98</v>
      </c>
    </row>
    <row r="114" spans="1:8" outlineLevel="1" x14ac:dyDescent="0.3">
      <c r="A114" s="192" t="s">
        <v>434</v>
      </c>
      <c r="B114" s="199" t="s">
        <v>431</v>
      </c>
      <c r="C114" s="200">
        <f>UnitCosts!H20</f>
        <v>330</v>
      </c>
      <c r="D114" s="200">
        <f>UnitCosts!I20</f>
        <v>330</v>
      </c>
      <c r="E114" s="200"/>
      <c r="F114" s="200"/>
      <c r="G114" s="200">
        <f>UnitCosts!J20</f>
        <v>330</v>
      </c>
    </row>
    <row r="115" spans="1:8" outlineLevel="1" x14ac:dyDescent="0.3">
      <c r="A115" s="191" t="s">
        <v>45</v>
      </c>
      <c r="B115" s="192" t="s">
        <v>119</v>
      </c>
      <c r="C115" s="193">
        <f>UnitCosts!H21</f>
        <v>1758.8</v>
      </c>
      <c r="D115" s="193">
        <f>UnitCosts!I21</f>
        <v>879.45</v>
      </c>
      <c r="E115" s="193"/>
      <c r="F115" s="193"/>
      <c r="G115" s="193">
        <f>UnitCosts!J21</f>
        <v>131.91</v>
      </c>
      <c r="H115" t="s">
        <v>473</v>
      </c>
    </row>
    <row r="116" spans="1:8" outlineLevel="1" x14ac:dyDescent="0.3">
      <c r="A116" s="191" t="s">
        <v>129</v>
      </c>
      <c r="B116" s="192" t="s">
        <v>119</v>
      </c>
      <c r="C116" s="193">
        <f>UnitCosts!H22</f>
        <v>1000</v>
      </c>
      <c r="D116" s="193">
        <f>UnitCosts!I22</f>
        <v>500</v>
      </c>
      <c r="E116" s="193"/>
      <c r="F116" s="193"/>
      <c r="G116" s="193">
        <f>UnitCosts!J22</f>
        <v>150</v>
      </c>
      <c r="H116" t="s">
        <v>473</v>
      </c>
    </row>
    <row r="117" spans="1:8" outlineLevel="1" x14ac:dyDescent="0.3">
      <c r="A117" s="191" t="s">
        <v>132</v>
      </c>
      <c r="B117" s="192" t="s">
        <v>119</v>
      </c>
      <c r="C117" s="193">
        <f>UnitCosts!H23</f>
        <v>1116.3800000000001</v>
      </c>
      <c r="D117" s="193">
        <f>UnitCosts!I23</f>
        <v>246.76</v>
      </c>
      <c r="E117" s="193"/>
      <c r="F117" s="193"/>
      <c r="G117" s="193">
        <f>UnitCosts!J23</f>
        <v>72.78</v>
      </c>
      <c r="H117" t="s">
        <v>473</v>
      </c>
    </row>
    <row r="118" spans="1:8" outlineLevel="1" x14ac:dyDescent="0.3">
      <c r="A118" s="191" t="s">
        <v>77</v>
      </c>
      <c r="B118" s="192" t="s">
        <v>119</v>
      </c>
      <c r="C118" s="193">
        <f>UnitCosts!H24</f>
        <v>248.61</v>
      </c>
      <c r="D118" s="193">
        <f>UnitCosts!I24</f>
        <v>248.61</v>
      </c>
      <c r="E118" s="193"/>
      <c r="F118" s="193"/>
      <c r="G118" s="193">
        <f>UnitCosts!J24</f>
        <v>117.77</v>
      </c>
      <c r="H118" t="s">
        <v>473</v>
      </c>
    </row>
    <row r="119" spans="1:8" outlineLevel="1" x14ac:dyDescent="0.3">
      <c r="A119" s="191" t="s">
        <v>68</v>
      </c>
      <c r="B119" s="194" t="s">
        <v>119</v>
      </c>
      <c r="C119" s="193">
        <f>UnitCosts!H25</f>
        <v>30</v>
      </c>
      <c r="D119" s="193">
        <f>UnitCosts!I25</f>
        <v>30</v>
      </c>
      <c r="E119" s="193"/>
      <c r="F119" s="193"/>
      <c r="G119" s="193">
        <f>UnitCosts!J25</f>
        <v>30</v>
      </c>
      <c r="H119" t="s">
        <v>473</v>
      </c>
    </row>
    <row r="120" spans="1:8" outlineLevel="1" x14ac:dyDescent="0.3">
      <c r="A120" s="192" t="s">
        <v>82</v>
      </c>
      <c r="B120" s="192" t="s">
        <v>119</v>
      </c>
      <c r="C120" s="193">
        <f>UnitCosts!H26</f>
        <v>711.87</v>
      </c>
      <c r="D120" s="193">
        <f>UnitCosts!I26</f>
        <v>281.36</v>
      </c>
      <c r="E120" s="193"/>
      <c r="F120" s="193"/>
      <c r="G120" s="193">
        <f>UnitCosts!J26</f>
        <v>81.209999999999994</v>
      </c>
      <c r="H120" t="s">
        <v>473</v>
      </c>
    </row>
    <row r="121" spans="1:8" outlineLevel="1" x14ac:dyDescent="0.3">
      <c r="A121" s="23" t="s">
        <v>126</v>
      </c>
      <c r="B121" s="128" t="s">
        <v>415</v>
      </c>
      <c r="C121" s="174">
        <f>C99*(1-C101)*UnitCosts!$G$46+C99*C101*UnitCosts!$G$47+C100*(1-C101)*UnitCosts!$G$48+C100*C101*UnitCosts!$G$49</f>
        <v>0</v>
      </c>
      <c r="D121" s="174">
        <f>D99*(1-D101)*UnitCosts!$G$46+D99*D101*UnitCosts!$G$47+D100*(1-D101)*UnitCosts!$G$48+D100*D101*UnitCosts!$G$49</f>
        <v>0</v>
      </c>
      <c r="E121" s="174"/>
      <c r="F121" s="4"/>
      <c r="G121" s="174">
        <f>G99*(1-G101)*UnitCosts!$G$46+G99*G101*UnitCosts!$G$47+G100*(1-G101)*UnitCosts!$G$48+G100*G101*UnitCosts!$G$49</f>
        <v>0</v>
      </c>
    </row>
    <row r="122" spans="1:8" outlineLevel="1" x14ac:dyDescent="0.3">
      <c r="A122" s="128" t="s">
        <v>444</v>
      </c>
      <c r="B122" s="128" t="s">
        <v>415</v>
      </c>
      <c r="C122" s="174">
        <f>SUM(C99:C100)*UnitCosts!$G$50</f>
        <v>0</v>
      </c>
      <c r="D122" s="174">
        <f>SUM(D99:D100)*UnitCosts!$G$50</f>
        <v>0</v>
      </c>
      <c r="E122" s="174">
        <f>SUM(E99:E100)*UnitCosts!$G$50</f>
        <v>0</v>
      </c>
      <c r="F122" s="174">
        <f>SUM(F99:F100)*UnitCosts!$G$50</f>
        <v>0</v>
      </c>
      <c r="G122" s="174">
        <f>SUM(G99:G100)*UnitCosts!$G$50</f>
        <v>0</v>
      </c>
    </row>
    <row r="123" spans="1:8" outlineLevel="1" x14ac:dyDescent="0.3">
      <c r="A123" s="23" t="s">
        <v>49</v>
      </c>
      <c r="B123" s="128" t="s">
        <v>415</v>
      </c>
      <c r="C123" s="174">
        <f>SUM(C99:C100)*UnitCosts!$B$34</f>
        <v>0</v>
      </c>
      <c r="D123" s="174">
        <f>SUM(D99:D100)*UnitCosts!$B$34</f>
        <v>0</v>
      </c>
      <c r="E123" s="174">
        <f>SUM(E99:E100)*UnitCosts!$B$34</f>
        <v>0</v>
      </c>
      <c r="F123" s="174">
        <f>SUM(F99:F100)*UnitCosts!$B$34</f>
        <v>0</v>
      </c>
      <c r="G123" s="174">
        <f>SUM(G99:G100)*UnitCosts!$B$34</f>
        <v>0</v>
      </c>
    </row>
    <row r="124" spans="1:8" outlineLevel="1" x14ac:dyDescent="0.3">
      <c r="A124" s="164" t="s">
        <v>207</v>
      </c>
      <c r="B124" s="4"/>
      <c r="C124" s="174">
        <f>SUM(C107:C123)</f>
        <v>6379.15</v>
      </c>
      <c r="D124" s="174">
        <f>SUM(D107:D123)</f>
        <v>3346.7900000000009</v>
      </c>
      <c r="E124" s="174"/>
      <c r="F124" s="4"/>
      <c r="G124" s="174">
        <f>SUM(G107:G123)</f>
        <v>1275.51</v>
      </c>
    </row>
  </sheetData>
  <mergeCells count="82">
    <mergeCell ref="L16:O16"/>
    <mergeCell ref="J16:K16"/>
    <mergeCell ref="C94:G94"/>
    <mergeCell ref="J10:K10"/>
    <mergeCell ref="L10:N10"/>
    <mergeCell ref="F81:G81"/>
    <mergeCell ref="F88:G88"/>
    <mergeCell ref="O13:P13"/>
    <mergeCell ref="B11:C11"/>
    <mergeCell ref="B12:C12"/>
    <mergeCell ref="B13:C13"/>
    <mergeCell ref="B14:C14"/>
    <mergeCell ref="B15:C15"/>
    <mergeCell ref="B16:C16"/>
    <mergeCell ref="B17:C17"/>
    <mergeCell ref="B18:C18"/>
    <mergeCell ref="A94:B94"/>
    <mergeCell ref="B99:B101"/>
    <mergeCell ref="A102:A103"/>
    <mergeCell ref="A81:B81"/>
    <mergeCell ref="C81:D81"/>
    <mergeCell ref="A88:B88"/>
    <mergeCell ref="C88:D88"/>
    <mergeCell ref="A6:D6"/>
    <mergeCell ref="G6:I6"/>
    <mergeCell ref="A2:K2"/>
    <mergeCell ref="G4:I4"/>
    <mergeCell ref="G5:I5"/>
    <mergeCell ref="A5:F5"/>
    <mergeCell ref="A4:F4"/>
    <mergeCell ref="B19:C19"/>
    <mergeCell ref="B20:C20"/>
    <mergeCell ref="B21:C21"/>
    <mergeCell ref="B22:C22"/>
    <mergeCell ref="B23:C23"/>
    <mergeCell ref="B24:C24"/>
    <mergeCell ref="B25:C25"/>
    <mergeCell ref="B26:C26"/>
    <mergeCell ref="B27:C27"/>
    <mergeCell ref="B28:C28"/>
    <mergeCell ref="B29:C29"/>
    <mergeCell ref="B30:C30"/>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74:C74"/>
    <mergeCell ref="B69:C69"/>
    <mergeCell ref="B70:C70"/>
    <mergeCell ref="B71:C71"/>
    <mergeCell ref="B72:C72"/>
    <mergeCell ref="B73:C73"/>
  </mergeCells>
  <dataValidations disablePrompts="1" count="1">
    <dataValidation type="whole" allowBlank="1" showInputMessage="1" showErrorMessage="1" sqref="C96:G96">
      <formula1>0</formula1>
      <formula2>450</formula2>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'Set-up + Definitions'!$R$20:$R$22</xm:f>
          </x14:formula1>
          <xm:sqref>J12:N12</xm:sqref>
        </x14:dataValidation>
        <x14:dataValidation type="list" allowBlank="1" showInputMessage="1" showErrorMessage="1">
          <x14:formula1>
            <xm:f>'Set-up + Definitions'!$N$47:$N$48</xm:f>
          </x14:formula1>
          <xm:sqref>C103:G103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9" zoomScaleNormal="100" workbookViewId="0">
      <selection activeCell="D1" sqref="D1"/>
    </sheetView>
  </sheetViews>
  <sheetFormatPr defaultRowHeight="14.4" x14ac:dyDescent="0.3"/>
  <cols>
    <col min="1" max="1" width="53.109375" customWidth="1"/>
    <col min="2" max="2" width="10" bestFit="1" customWidth="1"/>
    <col min="3" max="3" width="42.44140625" customWidth="1"/>
    <col min="5" max="6" width="0" hidden="1" customWidth="1"/>
  </cols>
  <sheetData>
    <row r="1" spans="1:11" ht="31.2" x14ac:dyDescent="0.6">
      <c r="A1" s="78" t="s">
        <v>277</v>
      </c>
      <c r="B1" s="78"/>
      <c r="C1" s="78"/>
      <c r="D1" s="1"/>
      <c r="E1" s="1"/>
      <c r="F1" s="1"/>
    </row>
    <row r="2" spans="1:11" ht="15" customHeight="1" x14ac:dyDescent="0.3">
      <c r="A2" s="252" t="s">
        <v>280</v>
      </c>
      <c r="B2" s="252"/>
      <c r="C2" s="252"/>
      <c r="D2" s="252"/>
      <c r="E2" s="252"/>
      <c r="F2" s="252"/>
      <c r="G2" s="252"/>
      <c r="H2" s="252"/>
      <c r="I2" s="252"/>
      <c r="J2" s="252"/>
      <c r="K2" s="252"/>
    </row>
    <row r="3" spans="1:11" x14ac:dyDescent="0.3">
      <c r="A3" s="252"/>
      <c r="B3" s="252"/>
      <c r="C3" s="252"/>
      <c r="D3" s="252"/>
      <c r="E3" s="252"/>
      <c r="F3" s="252"/>
      <c r="G3" s="252"/>
      <c r="H3" s="252"/>
      <c r="I3" s="252"/>
      <c r="J3" s="252"/>
      <c r="K3" s="252"/>
    </row>
    <row r="4" spans="1:11" x14ac:dyDescent="0.3">
      <c r="A4" s="252"/>
      <c r="B4" s="252"/>
      <c r="C4" s="252"/>
      <c r="D4" s="252"/>
      <c r="E4" s="252"/>
      <c r="F4" s="252"/>
      <c r="G4" s="252"/>
      <c r="H4" s="252"/>
      <c r="I4" s="252"/>
      <c r="J4" s="252"/>
      <c r="K4" s="252"/>
    </row>
    <row r="5" spans="1:11" x14ac:dyDescent="0.3">
      <c r="A5" s="252"/>
      <c r="B5" s="252"/>
      <c r="C5" s="252"/>
      <c r="D5" s="252"/>
      <c r="E5" s="252"/>
      <c r="F5" s="252"/>
      <c r="G5" s="252"/>
      <c r="H5" s="252"/>
      <c r="I5" s="252"/>
      <c r="J5" s="252"/>
      <c r="K5" s="252"/>
    </row>
    <row r="7" spans="1:11" x14ac:dyDescent="0.3">
      <c r="A7" s="99" t="s">
        <v>281</v>
      </c>
      <c r="B7" s="273"/>
      <c r="C7" s="273"/>
      <c r="D7" s="273"/>
      <c r="E7" s="273"/>
      <c r="F7" s="274"/>
    </row>
    <row r="8" spans="1:11" x14ac:dyDescent="0.3">
      <c r="A8" s="99" t="s">
        <v>282</v>
      </c>
      <c r="B8" s="273"/>
      <c r="C8" s="273"/>
      <c r="D8" s="273"/>
      <c r="E8" s="273"/>
      <c r="F8" s="274"/>
    </row>
    <row r="9" spans="1:11" x14ac:dyDescent="0.3">
      <c r="A9" s="93" t="s">
        <v>283</v>
      </c>
      <c r="B9" s="94">
        <f>J15</f>
        <v>38.686666666666667</v>
      </c>
      <c r="C9" s="92"/>
      <c r="D9" s="92"/>
      <c r="E9" s="92"/>
      <c r="F9" s="92"/>
    </row>
    <row r="10" spans="1:11" x14ac:dyDescent="0.3">
      <c r="A10" s="93" t="s">
        <v>284</v>
      </c>
      <c r="B10" s="102">
        <f>B9*12</f>
        <v>464.24</v>
      </c>
      <c r="C10" s="92"/>
      <c r="D10" s="92"/>
      <c r="E10" s="92"/>
      <c r="F10" s="92"/>
    </row>
    <row r="13" spans="1:11" x14ac:dyDescent="0.3">
      <c r="A13" s="90" t="s">
        <v>216</v>
      </c>
      <c r="B13" s="90"/>
      <c r="C13" s="90"/>
      <c r="D13" s="90"/>
      <c r="E13" s="88"/>
      <c r="F13" s="88">
        <f>SUM(F15,F19,F23)</f>
        <v>0</v>
      </c>
    </row>
    <row r="14" spans="1:11" ht="57.6" x14ac:dyDescent="0.3">
      <c r="A14" s="87"/>
      <c r="B14" s="269" t="s">
        <v>236</v>
      </c>
      <c r="C14" s="270"/>
      <c r="D14" s="82" t="s">
        <v>278</v>
      </c>
      <c r="E14" s="81"/>
      <c r="F14" s="81"/>
      <c r="I14" s="89" t="s">
        <v>217</v>
      </c>
      <c r="J14" s="89"/>
    </row>
    <row r="15" spans="1:11" x14ac:dyDescent="0.3">
      <c r="A15" s="86" t="s">
        <v>289</v>
      </c>
      <c r="B15" s="269"/>
      <c r="C15" s="270"/>
      <c r="D15" s="81"/>
      <c r="E15" s="81"/>
      <c r="F15" s="81">
        <f>SUM(F16:F18)</f>
        <v>0</v>
      </c>
      <c r="I15" s="89" t="str">
        <f>IF(F13&gt;6,"High",IF(F13&gt;3,"Medium","Low"))</f>
        <v>Low</v>
      </c>
      <c r="J15" s="89">
        <f>IF(I15="High",UnitCosts!C122,IF('SDC User'!I15="Medium",UnitCosts!C152,UnitCosts!C144))</f>
        <v>38.686666666666667</v>
      </c>
    </row>
    <row r="16" spans="1:11" x14ac:dyDescent="0.3">
      <c r="A16" s="83" t="s">
        <v>285</v>
      </c>
      <c r="B16" s="271"/>
      <c r="C16" s="272"/>
      <c r="D16" s="73"/>
      <c r="E16" s="4">
        <v>3</v>
      </c>
      <c r="F16" s="4">
        <f>IF(COUNTA(D16),E16,0)</f>
        <v>0</v>
      </c>
    </row>
    <row r="17" spans="1:6" x14ac:dyDescent="0.3">
      <c r="A17" s="83" t="s">
        <v>286</v>
      </c>
      <c r="B17" s="271"/>
      <c r="C17" s="272"/>
      <c r="D17" s="73"/>
      <c r="E17" s="4">
        <v>2</v>
      </c>
      <c r="F17" s="4">
        <f t="shared" ref="F17:F18" si="0">IF(COUNTA(D17),E17,0)</f>
        <v>0</v>
      </c>
    </row>
    <row r="18" spans="1:6" x14ac:dyDescent="0.3">
      <c r="A18" s="83" t="s">
        <v>287</v>
      </c>
      <c r="B18" s="271"/>
      <c r="C18" s="272"/>
      <c r="D18" s="73"/>
      <c r="E18" s="4">
        <v>1</v>
      </c>
      <c r="F18" s="4">
        <f t="shared" si="0"/>
        <v>0</v>
      </c>
    </row>
    <row r="19" spans="1:6" x14ac:dyDescent="0.3">
      <c r="A19" s="86" t="s">
        <v>288</v>
      </c>
      <c r="B19" s="269"/>
      <c r="C19" s="270"/>
      <c r="D19" s="81"/>
      <c r="E19" s="81"/>
      <c r="F19" s="81">
        <f>SUM(F20:F22)</f>
        <v>0</v>
      </c>
    </row>
    <row r="20" spans="1:6" x14ac:dyDescent="0.3">
      <c r="A20" s="100" t="s">
        <v>233</v>
      </c>
      <c r="B20" s="271"/>
      <c r="C20" s="272"/>
      <c r="D20" s="73"/>
      <c r="E20" s="4">
        <v>3</v>
      </c>
      <c r="F20" s="4">
        <f>IF(COUNTA(D20),E20,0)</f>
        <v>0</v>
      </c>
    </row>
    <row r="21" spans="1:6" ht="28.8" x14ac:dyDescent="0.3">
      <c r="A21" s="100" t="s">
        <v>234</v>
      </c>
      <c r="B21" s="271"/>
      <c r="C21" s="272"/>
      <c r="D21" s="73"/>
      <c r="E21" s="4">
        <v>2</v>
      </c>
      <c r="F21" s="4">
        <f t="shared" ref="F21:F22" si="1">IF(COUNTA(D21),E21,0)</f>
        <v>0</v>
      </c>
    </row>
    <row r="22" spans="1:6" x14ac:dyDescent="0.3">
      <c r="A22" s="101" t="s">
        <v>235</v>
      </c>
      <c r="B22" s="271"/>
      <c r="C22" s="272"/>
      <c r="D22" s="73"/>
      <c r="E22" s="4">
        <v>1</v>
      </c>
      <c r="F22" s="4">
        <f t="shared" si="1"/>
        <v>0</v>
      </c>
    </row>
    <row r="23" spans="1:6" x14ac:dyDescent="0.3">
      <c r="A23" s="85" t="s">
        <v>290</v>
      </c>
      <c r="B23" s="277"/>
      <c r="C23" s="278"/>
      <c r="D23" s="81"/>
      <c r="E23" s="81"/>
      <c r="F23" s="81">
        <f>SUM(F24:F26)</f>
        <v>0</v>
      </c>
    </row>
    <row r="24" spans="1:6" ht="28.8" x14ac:dyDescent="0.3">
      <c r="A24" s="100" t="s">
        <v>292</v>
      </c>
      <c r="B24" s="275"/>
      <c r="C24" s="276"/>
      <c r="D24" s="73"/>
      <c r="E24" s="4">
        <v>3</v>
      </c>
      <c r="F24" s="4">
        <f>IF(COUNTA(D24),E24,0)</f>
        <v>0</v>
      </c>
    </row>
    <row r="25" spans="1:6" ht="43.2" x14ac:dyDescent="0.3">
      <c r="A25" s="100" t="s">
        <v>291</v>
      </c>
      <c r="B25" s="275"/>
      <c r="C25" s="276"/>
      <c r="D25" s="73"/>
      <c r="E25" s="4">
        <v>2</v>
      </c>
      <c r="F25" s="4">
        <f t="shared" ref="F25:F26" si="2">IF(COUNTA(D25),E25,0)</f>
        <v>0</v>
      </c>
    </row>
    <row r="26" spans="1:6" ht="43.2" x14ac:dyDescent="0.3">
      <c r="A26" s="101" t="s">
        <v>293</v>
      </c>
      <c r="B26" s="271"/>
      <c r="C26" s="272"/>
      <c r="D26" s="73"/>
      <c r="E26" s="4">
        <v>1</v>
      </c>
      <c r="F26" s="4">
        <f t="shared" si="2"/>
        <v>0</v>
      </c>
    </row>
  </sheetData>
  <mergeCells count="16">
    <mergeCell ref="B24:C24"/>
    <mergeCell ref="B25:C25"/>
    <mergeCell ref="B26:C26"/>
    <mergeCell ref="B19:C19"/>
    <mergeCell ref="B20:C20"/>
    <mergeCell ref="B21:C21"/>
    <mergeCell ref="B22:C22"/>
    <mergeCell ref="B23:C23"/>
    <mergeCell ref="B15:C15"/>
    <mergeCell ref="B16:C16"/>
    <mergeCell ref="B17:C17"/>
    <mergeCell ref="B18:C18"/>
    <mergeCell ref="A2:K5"/>
    <mergeCell ref="B14:C14"/>
    <mergeCell ref="B7:F7"/>
    <mergeCell ref="B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9"/>
  <sheetViews>
    <sheetView topLeftCell="G10" zoomScale="78" zoomScaleNormal="78" workbookViewId="0">
      <selection activeCell="K56" sqref="K56:M56"/>
    </sheetView>
  </sheetViews>
  <sheetFormatPr defaultRowHeight="14.4" x14ac:dyDescent="0.3"/>
  <cols>
    <col min="1" max="1" width="42.109375" customWidth="1"/>
    <col min="2" max="2" width="15" customWidth="1"/>
    <col min="3" max="3" width="26.6640625" customWidth="1"/>
    <col min="4" max="4" width="49" customWidth="1"/>
    <col min="5" max="5" width="20.109375" customWidth="1"/>
    <col min="6" max="6" width="110" customWidth="1"/>
    <col min="7" max="7" width="130.109375" customWidth="1"/>
    <col min="8" max="8" width="19.6640625" customWidth="1"/>
    <col min="9" max="9" width="17.5546875" customWidth="1"/>
    <col min="10" max="10" width="12.88671875" bestFit="1" customWidth="1"/>
    <col min="11" max="11" width="20.109375" bestFit="1" customWidth="1"/>
    <col min="12" max="13" width="16.6640625" bestFit="1" customWidth="1"/>
    <col min="14" max="14" width="12.109375" bestFit="1" customWidth="1"/>
    <col min="15" max="15" width="11.5546875" bestFit="1" customWidth="1"/>
    <col min="16" max="16" width="10.44140625" bestFit="1" customWidth="1"/>
  </cols>
  <sheetData>
    <row r="1" spans="1:16" x14ac:dyDescent="0.3">
      <c r="A1" s="282" t="s">
        <v>463</v>
      </c>
      <c r="B1" s="282"/>
      <c r="C1" s="282"/>
      <c r="D1" s="282"/>
      <c r="E1" s="19"/>
      <c r="F1" s="5" t="s">
        <v>435</v>
      </c>
      <c r="G1" s="4"/>
      <c r="H1" s="149" t="s">
        <v>200</v>
      </c>
      <c r="I1" s="149" t="s">
        <v>5</v>
      </c>
      <c r="J1" s="135" t="s">
        <v>6</v>
      </c>
    </row>
    <row r="2" spans="1:16" ht="28.8" x14ac:dyDescent="0.3">
      <c r="A2" s="282"/>
      <c r="B2" s="282"/>
      <c r="C2" s="282"/>
      <c r="D2" s="282"/>
      <c r="E2" s="19"/>
      <c r="F2" s="4" t="s">
        <v>327</v>
      </c>
      <c r="G2" s="5" t="s">
        <v>330</v>
      </c>
      <c r="H2" s="135">
        <f>'Set-up + Definitions'!C40</f>
        <v>100</v>
      </c>
      <c r="I2" s="135">
        <f>'Set-up + Definitions'!D40</f>
        <v>50</v>
      </c>
      <c r="J2" s="135">
        <f>'Set-up + Definitions'!E40</f>
        <v>25</v>
      </c>
    </row>
    <row r="3" spans="1:16" x14ac:dyDescent="0.3">
      <c r="A3" s="283"/>
      <c r="B3" s="283"/>
      <c r="C3" s="283"/>
      <c r="D3" s="283"/>
      <c r="E3" s="19"/>
      <c r="F3" s="4" t="s">
        <v>341</v>
      </c>
      <c r="G3" s="161" t="s">
        <v>440</v>
      </c>
      <c r="H3" s="135">
        <f>'Set-up + Definitions'!C41</f>
        <v>50</v>
      </c>
      <c r="I3" s="135">
        <f>'Set-up + Definitions'!D41</f>
        <v>25</v>
      </c>
      <c r="J3" s="135">
        <f>'Set-up + Definitions'!E41</f>
        <v>10</v>
      </c>
    </row>
    <row r="4" spans="1:16" x14ac:dyDescent="0.3">
      <c r="A4" s="19"/>
      <c r="B4" s="19"/>
      <c r="C4" s="19"/>
      <c r="D4" s="19"/>
      <c r="E4" s="19"/>
      <c r="F4" s="4" t="s">
        <v>334</v>
      </c>
      <c r="G4" s="161" t="s">
        <v>441</v>
      </c>
      <c r="H4" s="135">
        <f>'Set-up + Definitions'!C42</f>
        <v>100</v>
      </c>
      <c r="I4" s="135">
        <f>'Set-up + Definitions'!D42</f>
        <v>50</v>
      </c>
      <c r="J4" s="135">
        <f>'Set-up + Definitions'!E42</f>
        <v>25</v>
      </c>
    </row>
    <row r="5" spans="1:16" ht="15" thickBot="1" x14ac:dyDescent="0.35">
      <c r="B5" s="22"/>
      <c r="C5" s="22"/>
      <c r="D5" s="22"/>
      <c r="E5" s="19"/>
      <c r="F5" s="217" t="s">
        <v>328</v>
      </c>
      <c r="G5" s="122" t="s">
        <v>350</v>
      </c>
      <c r="H5" s="135">
        <f>'Set-up + Definitions'!C43</f>
        <v>40</v>
      </c>
      <c r="I5" s="135">
        <f>'Set-up + Definitions'!D43</f>
        <v>15</v>
      </c>
      <c r="J5" s="135">
        <f>'Set-up + Definitions'!E43</f>
        <v>5</v>
      </c>
    </row>
    <row r="6" spans="1:16" x14ac:dyDescent="0.3">
      <c r="A6" s="28" t="s">
        <v>31</v>
      </c>
      <c r="B6" s="29"/>
      <c r="C6" s="29"/>
      <c r="D6" s="30"/>
      <c r="E6" s="19"/>
      <c r="F6" s="218"/>
      <c r="G6" s="123" t="s">
        <v>345</v>
      </c>
      <c r="H6" s="135">
        <f>'Set-up + Definitions'!C44</f>
        <v>10</v>
      </c>
      <c r="I6" s="135">
        <f>'Set-up + Definitions'!D44</f>
        <v>10</v>
      </c>
      <c r="J6" s="135">
        <f>'Set-up + Definitions'!E44</f>
        <v>5</v>
      </c>
    </row>
    <row r="7" spans="1:16" x14ac:dyDescent="0.3">
      <c r="A7" s="279" t="s">
        <v>33</v>
      </c>
      <c r="B7" s="280"/>
      <c r="C7" s="280"/>
      <c r="D7" s="281"/>
      <c r="E7" s="19"/>
      <c r="F7" s="219"/>
      <c r="G7" s="123" t="s">
        <v>349</v>
      </c>
      <c r="H7" s="135">
        <f>'Set-up + Definitions'!C45</f>
        <v>0.1</v>
      </c>
      <c r="I7" s="135">
        <f>'Set-up + Definitions'!D45</f>
        <v>0.1</v>
      </c>
      <c r="J7" s="135">
        <f>'Set-up + Definitions'!E45</f>
        <v>0.1</v>
      </c>
    </row>
    <row r="8" spans="1:16" ht="15" customHeight="1" x14ac:dyDescent="0.3">
      <c r="A8" s="31" t="s">
        <v>34</v>
      </c>
      <c r="B8" s="171">
        <v>2.3E-2</v>
      </c>
      <c r="C8" s="23" t="s">
        <v>35</v>
      </c>
      <c r="D8" s="32" t="s">
        <v>36</v>
      </c>
      <c r="E8" s="19"/>
      <c r="F8" s="216" t="s">
        <v>329</v>
      </c>
      <c r="G8" s="5" t="s">
        <v>338</v>
      </c>
      <c r="H8" s="135">
        <f>'Set-up + Definitions'!C46</f>
        <v>5</v>
      </c>
      <c r="I8" s="135">
        <f>'Set-up + Definitions'!D46</f>
        <v>3</v>
      </c>
      <c r="J8" s="135">
        <f>'Set-up + Definitions'!E46</f>
        <v>2</v>
      </c>
    </row>
    <row r="9" spans="1:16" ht="15" customHeight="1" x14ac:dyDescent="0.3">
      <c r="A9" s="167" t="s">
        <v>34</v>
      </c>
      <c r="B9" s="170">
        <v>2.1999999999999999E-2</v>
      </c>
      <c r="C9" s="168" t="s">
        <v>436</v>
      </c>
      <c r="D9" s="169" t="s">
        <v>36</v>
      </c>
      <c r="E9" s="19"/>
      <c r="F9" s="216"/>
      <c r="G9" s="5"/>
      <c r="H9" s="135">
        <f>'Set-up + Definitions'!C47</f>
        <v>2000</v>
      </c>
      <c r="I9" s="135">
        <f>'Set-up + Definitions'!D47</f>
        <v>2000</v>
      </c>
      <c r="J9" s="135">
        <f>'Set-up + Definitions'!E47</f>
        <v>160</v>
      </c>
    </row>
    <row r="10" spans="1:16" x14ac:dyDescent="0.3">
      <c r="A10" s="31" t="s">
        <v>37</v>
      </c>
      <c r="B10" s="23">
        <v>5.0000000000000001E-3</v>
      </c>
      <c r="C10" s="23"/>
      <c r="D10" s="32" t="s">
        <v>38</v>
      </c>
      <c r="E10" s="19"/>
      <c r="F10" s="216"/>
      <c r="G10" s="5"/>
      <c r="H10" s="135"/>
      <c r="I10" s="135"/>
      <c r="J10" s="135"/>
    </row>
    <row r="11" spans="1:16" x14ac:dyDescent="0.3">
      <c r="A11" s="31" t="s">
        <v>39</v>
      </c>
      <c r="B11" s="23">
        <v>4.0000000000000002E-4</v>
      </c>
      <c r="C11" s="23"/>
      <c r="D11" s="32" t="s">
        <v>38</v>
      </c>
      <c r="E11" s="19"/>
      <c r="F11" s="19"/>
      <c r="K11" s="264" t="s">
        <v>117</v>
      </c>
      <c r="L11" s="264"/>
      <c r="M11" s="264"/>
      <c r="N11" s="264" t="s">
        <v>119</v>
      </c>
      <c r="O11" s="264"/>
      <c r="P11" s="264"/>
    </row>
    <row r="12" spans="1:16" x14ac:dyDescent="0.3">
      <c r="A12" s="31"/>
      <c r="B12" s="23"/>
      <c r="C12" s="23"/>
      <c r="D12" s="32"/>
      <c r="E12" s="19"/>
      <c r="F12" s="164" t="s">
        <v>401</v>
      </c>
      <c r="G12" s="165" t="s">
        <v>400</v>
      </c>
      <c r="H12" s="4" t="s">
        <v>200</v>
      </c>
      <c r="I12" s="4" t="s">
        <v>5</v>
      </c>
      <c r="J12" s="176" t="s">
        <v>6</v>
      </c>
      <c r="K12" s="4" t="s">
        <v>200</v>
      </c>
      <c r="L12" s="4" t="s">
        <v>5</v>
      </c>
      <c r="M12" s="4" t="s">
        <v>6</v>
      </c>
      <c r="N12" s="4" t="s">
        <v>200</v>
      </c>
      <c r="O12" s="4" t="s">
        <v>5</v>
      </c>
      <c r="P12" s="4" t="s">
        <v>6</v>
      </c>
    </row>
    <row r="13" spans="1:16" x14ac:dyDescent="0.3">
      <c r="A13" s="279" t="s">
        <v>40</v>
      </c>
      <c r="B13" s="280"/>
      <c r="C13" s="280"/>
      <c r="D13" s="281"/>
      <c r="E13" s="19"/>
      <c r="F13" s="164" t="s">
        <v>34</v>
      </c>
      <c r="G13" s="4" t="s">
        <v>426</v>
      </c>
      <c r="H13" s="174">
        <f>IF(H2&lt;50,H2*$B$8*1000,((H2-50)*$B$9*1000)+50*1000*$B$8)</f>
        <v>2250</v>
      </c>
      <c r="I13" s="174">
        <f t="shared" ref="I13:J13" si="0">IF(I2&lt;50,I2*$B$8*1000,((I2-50)*$B$9*1000)+50*1000*$B$8)</f>
        <v>1150</v>
      </c>
      <c r="J13" s="185">
        <f t="shared" si="0"/>
        <v>575</v>
      </c>
      <c r="K13" s="4"/>
      <c r="L13" s="4"/>
      <c r="M13" s="4"/>
      <c r="N13" s="4"/>
      <c r="O13" s="4"/>
      <c r="P13" s="4"/>
    </row>
    <row r="14" spans="1:16" x14ac:dyDescent="0.3">
      <c r="A14" s="31" t="s">
        <v>41</v>
      </c>
      <c r="B14" s="23">
        <v>6.4399999999999999E-2</v>
      </c>
      <c r="C14" s="23" t="s">
        <v>42</v>
      </c>
      <c r="D14" s="32" t="s">
        <v>30</v>
      </c>
      <c r="E14" s="19"/>
      <c r="F14" s="164" t="s">
        <v>427</v>
      </c>
      <c r="G14" s="4" t="s">
        <v>426</v>
      </c>
      <c r="H14" s="174">
        <f>B10*1000*H3</f>
        <v>250</v>
      </c>
      <c r="I14" s="174">
        <f>B10*I3*1000</f>
        <v>125</v>
      </c>
      <c r="J14" s="185">
        <f>J3*B10*1000</f>
        <v>50</v>
      </c>
      <c r="K14" s="4"/>
      <c r="L14" s="4"/>
      <c r="M14" s="4"/>
      <c r="N14" s="4"/>
      <c r="O14" s="4"/>
      <c r="P14" s="4"/>
    </row>
    <row r="15" spans="1:16" x14ac:dyDescent="0.3">
      <c r="A15" s="31" t="s">
        <v>43</v>
      </c>
      <c r="B15" s="23">
        <v>0.504</v>
      </c>
      <c r="C15" s="23" t="s">
        <v>44</v>
      </c>
      <c r="D15" s="32" t="s">
        <v>30</v>
      </c>
      <c r="E15" s="19"/>
      <c r="F15" s="164" t="s">
        <v>439</v>
      </c>
      <c r="G15" s="4" t="s">
        <v>426</v>
      </c>
      <c r="H15" s="174">
        <f>B11*1000*H4</f>
        <v>40</v>
      </c>
      <c r="I15" s="174">
        <f>B11*1000*I4</f>
        <v>20</v>
      </c>
      <c r="J15" s="185">
        <f>B11*1000*J4</f>
        <v>10</v>
      </c>
      <c r="K15" s="4"/>
      <c r="L15" s="4"/>
      <c r="M15" s="4"/>
      <c r="N15" s="4"/>
      <c r="O15" s="4"/>
      <c r="P15" s="4"/>
    </row>
    <row r="16" spans="1:16" x14ac:dyDescent="0.3">
      <c r="A16" s="31" t="s">
        <v>45</v>
      </c>
      <c r="B16" s="23">
        <v>0.38400000000000001</v>
      </c>
      <c r="C16" s="23" t="s">
        <v>46</v>
      </c>
      <c r="D16" s="32" t="s">
        <v>30</v>
      </c>
      <c r="E16" s="19"/>
      <c r="F16" s="164" t="s">
        <v>428</v>
      </c>
      <c r="G16" s="128" t="s">
        <v>426</v>
      </c>
      <c r="H16" s="174">
        <f>IF(H9=2000,$B$22*H8,$B$23*H8)</f>
        <v>1946.5</v>
      </c>
      <c r="I16" s="174">
        <f t="shared" ref="I16:J16" si="1">IF(I9=2000,$B$22*I8,$B$23*I8)</f>
        <v>1167.9000000000001</v>
      </c>
      <c r="J16" s="185">
        <f t="shared" si="1"/>
        <v>229</v>
      </c>
      <c r="K16" s="4"/>
      <c r="L16" s="4"/>
      <c r="M16" s="4"/>
      <c r="N16" s="4"/>
      <c r="O16" s="4"/>
      <c r="P16" s="4"/>
    </row>
    <row r="17" spans="1:16" x14ac:dyDescent="0.3">
      <c r="A17" s="31" t="s">
        <v>47</v>
      </c>
      <c r="B17" s="23">
        <v>9.6000000000000002E-2</v>
      </c>
      <c r="C17" s="23" t="s">
        <v>48</v>
      </c>
      <c r="D17" s="32" t="s">
        <v>30</v>
      </c>
      <c r="E17" s="19"/>
      <c r="F17" s="164" t="s">
        <v>429</v>
      </c>
      <c r="G17" s="128" t="s">
        <v>426</v>
      </c>
      <c r="H17" s="174">
        <f>C69+C70</f>
        <v>20</v>
      </c>
      <c r="I17" s="174">
        <f>C83+C84</f>
        <v>20</v>
      </c>
      <c r="J17" s="185">
        <f>C97+C98</f>
        <v>20</v>
      </c>
      <c r="K17" s="4"/>
      <c r="L17" s="4"/>
      <c r="M17" s="4"/>
      <c r="N17" s="4"/>
      <c r="O17" s="4"/>
      <c r="P17" s="4"/>
    </row>
    <row r="18" spans="1:16" x14ac:dyDescent="0.3">
      <c r="A18" s="31" t="s">
        <v>49</v>
      </c>
      <c r="B18" s="23">
        <v>0.1</v>
      </c>
      <c r="C18" s="23" t="s">
        <v>50</v>
      </c>
      <c r="D18" s="32" t="s">
        <v>36</v>
      </c>
      <c r="E18" s="19"/>
      <c r="F18" s="164" t="s">
        <v>430</v>
      </c>
      <c r="G18" s="128" t="s">
        <v>431</v>
      </c>
      <c r="H18" s="174">
        <f>C78</f>
        <v>984.72</v>
      </c>
      <c r="I18" s="174">
        <f>C92</f>
        <v>703.63</v>
      </c>
      <c r="J18" s="185">
        <f>C106</f>
        <v>234.86</v>
      </c>
      <c r="K18" s="4"/>
      <c r="L18" s="4"/>
      <c r="M18" s="4"/>
      <c r="N18" s="4"/>
      <c r="O18" s="4"/>
      <c r="P18" s="4"/>
    </row>
    <row r="19" spans="1:16" x14ac:dyDescent="0.3">
      <c r="A19" s="33"/>
      <c r="B19" s="24"/>
      <c r="C19" s="24"/>
      <c r="D19" s="34"/>
      <c r="E19" s="19"/>
      <c r="F19" s="166" t="s">
        <v>433</v>
      </c>
      <c r="G19" s="128" t="s">
        <v>431</v>
      </c>
      <c r="H19" s="174">
        <f>C76</f>
        <v>178.77</v>
      </c>
      <c r="I19" s="174">
        <f>C90</f>
        <v>106.98</v>
      </c>
      <c r="J19" s="185">
        <f>C104</f>
        <v>106.98</v>
      </c>
      <c r="K19" s="4"/>
      <c r="L19" s="4"/>
      <c r="M19" s="4"/>
      <c r="N19" s="4"/>
      <c r="O19" s="4"/>
      <c r="P19" s="4"/>
    </row>
    <row r="20" spans="1:16" x14ac:dyDescent="0.3">
      <c r="A20" s="279" t="s">
        <v>51</v>
      </c>
      <c r="B20" s="280"/>
      <c r="C20" s="280"/>
      <c r="D20" s="281"/>
      <c r="E20" s="19"/>
      <c r="F20" s="166" t="s">
        <v>434</v>
      </c>
      <c r="G20" s="128" t="s">
        <v>431</v>
      </c>
      <c r="H20" s="174">
        <f>C79</f>
        <v>330</v>
      </c>
      <c r="I20" s="174">
        <f>C93</f>
        <v>330</v>
      </c>
      <c r="J20" s="185">
        <f>C107</f>
        <v>330</v>
      </c>
      <c r="K20" s="130">
        <f>SUM(H13:H20)</f>
        <v>5999.9900000000007</v>
      </c>
      <c r="L20" s="130">
        <f t="shared" ref="L20:M20" si="2">SUM(I13:I20)</f>
        <v>3623.51</v>
      </c>
      <c r="M20" s="130">
        <f t="shared" si="2"/>
        <v>1555.8400000000001</v>
      </c>
      <c r="N20" s="4"/>
      <c r="O20" s="4"/>
      <c r="P20" s="4"/>
    </row>
    <row r="21" spans="1:16" x14ac:dyDescent="0.3">
      <c r="A21" s="31" t="s">
        <v>52</v>
      </c>
      <c r="B21" s="23">
        <v>0.25</v>
      </c>
      <c r="C21" s="23" t="s">
        <v>53</v>
      </c>
      <c r="D21" s="32" t="s">
        <v>54</v>
      </c>
      <c r="E21" s="19"/>
      <c r="F21" s="23" t="s">
        <v>45</v>
      </c>
      <c r="G21" s="128" t="s">
        <v>119</v>
      </c>
      <c r="H21" s="174">
        <f>C72</f>
        <v>1758.8</v>
      </c>
      <c r="I21" s="174">
        <f>C86</f>
        <v>879.45</v>
      </c>
      <c r="J21" s="185">
        <f>C100</f>
        <v>131.91</v>
      </c>
      <c r="K21" s="4"/>
      <c r="L21" s="4"/>
      <c r="M21" s="4"/>
      <c r="N21" s="4"/>
      <c r="O21" s="4"/>
      <c r="P21" s="4"/>
    </row>
    <row r="22" spans="1:16" x14ac:dyDescent="0.3">
      <c r="A22" s="167" t="s">
        <v>456</v>
      </c>
      <c r="B22" s="23">
        <v>389.3</v>
      </c>
      <c r="C22" s="168" t="s">
        <v>455</v>
      </c>
      <c r="D22" s="169" t="s">
        <v>454</v>
      </c>
      <c r="E22" s="19"/>
      <c r="F22" s="23" t="s">
        <v>129</v>
      </c>
      <c r="G22" s="128" t="s">
        <v>119</v>
      </c>
      <c r="H22" s="174">
        <f>C73</f>
        <v>1000</v>
      </c>
      <c r="I22" s="174">
        <f>C87</f>
        <v>500</v>
      </c>
      <c r="J22" s="185">
        <f>C101</f>
        <v>150</v>
      </c>
      <c r="K22" s="4"/>
      <c r="L22" s="4"/>
      <c r="M22" s="4"/>
      <c r="N22" s="4"/>
      <c r="O22" s="4"/>
      <c r="P22" s="4"/>
    </row>
    <row r="23" spans="1:16" x14ac:dyDescent="0.3">
      <c r="A23" s="167" t="s">
        <v>457</v>
      </c>
      <c r="B23" s="23">
        <v>114.5</v>
      </c>
      <c r="C23" s="168" t="s">
        <v>53</v>
      </c>
      <c r="D23" s="169" t="s">
        <v>454</v>
      </c>
      <c r="E23" s="19"/>
      <c r="F23" s="23" t="s">
        <v>132</v>
      </c>
      <c r="G23" s="128" t="s">
        <v>119</v>
      </c>
      <c r="H23" s="174">
        <f>C74</f>
        <v>1116.3800000000001</v>
      </c>
      <c r="I23" s="174">
        <f>C88</f>
        <v>246.76</v>
      </c>
      <c r="J23" s="185">
        <f>C102</f>
        <v>72.78</v>
      </c>
      <c r="K23" s="4"/>
      <c r="L23" s="4"/>
      <c r="M23" s="4"/>
      <c r="N23" s="4"/>
      <c r="O23" s="4"/>
      <c r="P23" s="4"/>
    </row>
    <row r="24" spans="1:16" x14ac:dyDescent="0.3">
      <c r="A24" s="31"/>
      <c r="B24" s="23"/>
      <c r="C24" s="23"/>
      <c r="D24" s="32"/>
      <c r="E24" s="19"/>
      <c r="F24" s="23" t="s">
        <v>77</v>
      </c>
      <c r="G24" s="128" t="s">
        <v>119</v>
      </c>
      <c r="H24" s="174">
        <f>C89</f>
        <v>248.61</v>
      </c>
      <c r="I24" s="174">
        <f>C89</f>
        <v>248.61</v>
      </c>
      <c r="J24" s="185">
        <f>C103</f>
        <v>117.77</v>
      </c>
      <c r="K24" s="4"/>
      <c r="L24" s="4"/>
      <c r="M24" s="4"/>
      <c r="N24" s="4"/>
      <c r="O24" s="4"/>
      <c r="P24" s="4"/>
    </row>
    <row r="25" spans="1:16" x14ac:dyDescent="0.3">
      <c r="A25" s="279" t="s">
        <v>55</v>
      </c>
      <c r="B25" s="280"/>
      <c r="C25" s="280"/>
      <c r="D25" s="281"/>
      <c r="E25" s="19"/>
      <c r="F25" s="23" t="s">
        <v>68</v>
      </c>
      <c r="G25" s="4" t="s">
        <v>119</v>
      </c>
      <c r="H25" s="174">
        <f>C71</f>
        <v>30</v>
      </c>
      <c r="I25" s="174">
        <f>C99</f>
        <v>30</v>
      </c>
      <c r="J25" s="185">
        <f>C85</f>
        <v>30</v>
      </c>
      <c r="K25" s="4"/>
      <c r="L25" s="4"/>
      <c r="M25" s="4"/>
      <c r="N25" s="4"/>
      <c r="O25" s="4"/>
      <c r="P25" s="4"/>
    </row>
    <row r="26" spans="1:16" x14ac:dyDescent="0.3">
      <c r="A26" s="31" t="s">
        <v>56</v>
      </c>
      <c r="B26" s="23">
        <v>2.0800000000000001E-7</v>
      </c>
      <c r="C26" s="23" t="s">
        <v>57</v>
      </c>
      <c r="D26" s="32" t="s">
        <v>58</v>
      </c>
      <c r="E26" s="19"/>
      <c r="F26" s="173" t="s">
        <v>82</v>
      </c>
      <c r="G26" s="173" t="s">
        <v>119</v>
      </c>
      <c r="H26" s="174">
        <f>C77</f>
        <v>711.87</v>
      </c>
      <c r="I26" s="174">
        <f>C91</f>
        <v>281.36</v>
      </c>
      <c r="J26" s="185">
        <f>C105</f>
        <v>81.209999999999994</v>
      </c>
      <c r="K26" s="4"/>
      <c r="L26" s="4"/>
      <c r="M26" s="4"/>
      <c r="N26" s="130">
        <f>SUM(H21:H26)</f>
        <v>4865.66</v>
      </c>
      <c r="O26" s="130">
        <f t="shared" ref="O26:P26" si="3">SUM(I21:I26)</f>
        <v>2186.1800000000003</v>
      </c>
      <c r="P26" s="130">
        <f t="shared" si="3"/>
        <v>583.66999999999996</v>
      </c>
    </row>
    <row r="27" spans="1:16" x14ac:dyDescent="0.3">
      <c r="A27" s="31" t="s">
        <v>59</v>
      </c>
      <c r="B27" s="23">
        <v>0.2</v>
      </c>
      <c r="C27" s="23"/>
      <c r="D27" s="32" t="s">
        <v>60</v>
      </c>
      <c r="E27" s="19"/>
      <c r="F27" s="23" t="s">
        <v>126</v>
      </c>
      <c r="G27" s="128" t="s">
        <v>415</v>
      </c>
      <c r="H27" s="174">
        <f>(H5*(1-H7))*$G$46+(H5*H7*$G$47)+(H6*(1-H7)*$G$48)+(H6*H7*$G$49)</f>
        <v>1633.69</v>
      </c>
      <c r="I27" s="174">
        <f>(I5*(1-I7))*$G$46+(I5*I7*$G$47)+(I6*(1-I7)*$G$48)+(I6*I7*$G$49)</f>
        <v>667.14</v>
      </c>
      <c r="J27" s="185">
        <f>(J5*(1-J7))*$G$46+(J5*J7*$G$47)+(J6*(1-J7)*$G$48)+(J6*J7*$G$49)</f>
        <v>236.91499999999999</v>
      </c>
      <c r="K27" s="130">
        <f>H27</f>
        <v>1633.69</v>
      </c>
      <c r="L27" s="130">
        <f t="shared" ref="L27:M29" si="4">I27</f>
        <v>667.14</v>
      </c>
      <c r="M27" s="130">
        <f t="shared" si="4"/>
        <v>236.91499999999999</v>
      </c>
      <c r="N27" s="4"/>
      <c r="O27" s="4"/>
      <c r="P27" s="4"/>
    </row>
    <row r="28" spans="1:16" x14ac:dyDescent="0.3">
      <c r="A28" s="31" t="s">
        <v>61</v>
      </c>
      <c r="B28" s="23">
        <v>2.5000000000000001E-5</v>
      </c>
      <c r="C28" s="23" t="s">
        <v>62</v>
      </c>
      <c r="D28" s="32" t="s">
        <v>63</v>
      </c>
      <c r="E28" s="19"/>
      <c r="F28" s="173" t="s">
        <v>444</v>
      </c>
      <c r="G28" s="173" t="s">
        <v>415</v>
      </c>
      <c r="H28" s="126">
        <f>$G$50*SUM(H5:H6)</f>
        <v>1828</v>
      </c>
      <c r="I28" s="126">
        <f>$G$50*SUM(I5:I6)</f>
        <v>914</v>
      </c>
      <c r="J28" s="126">
        <f>$G$50*SUM(J5:J6)</f>
        <v>365.6</v>
      </c>
      <c r="K28" s="130">
        <f>H28</f>
        <v>1828</v>
      </c>
      <c r="L28" s="130">
        <f t="shared" si="4"/>
        <v>914</v>
      </c>
      <c r="M28" s="130">
        <f t="shared" si="4"/>
        <v>365.6</v>
      </c>
      <c r="N28" s="4"/>
      <c r="O28" s="4"/>
      <c r="P28" s="4"/>
    </row>
    <row r="29" spans="1:16" x14ac:dyDescent="0.3">
      <c r="A29" s="31"/>
      <c r="B29" s="23"/>
      <c r="C29" s="23"/>
      <c r="D29" s="32"/>
      <c r="E29" s="19"/>
      <c r="F29" s="23" t="s">
        <v>49</v>
      </c>
      <c r="G29" s="128" t="s">
        <v>415</v>
      </c>
      <c r="H29" s="174">
        <f>SUM(H5:H6)*$B$34</f>
        <v>1100</v>
      </c>
      <c r="I29" s="174">
        <f>SUM(I5:I6)*$B$34</f>
        <v>550</v>
      </c>
      <c r="J29" s="185">
        <f>SUM(J5:J6)*$B$34</f>
        <v>220</v>
      </c>
      <c r="K29" s="130">
        <f>H29</f>
        <v>1100</v>
      </c>
      <c r="L29" s="130">
        <f t="shared" si="4"/>
        <v>550</v>
      </c>
      <c r="M29" s="130">
        <f t="shared" si="4"/>
        <v>220</v>
      </c>
      <c r="N29" s="4"/>
      <c r="O29" s="4"/>
      <c r="P29" s="4"/>
    </row>
    <row r="30" spans="1:16" x14ac:dyDescent="0.3">
      <c r="A30" s="279" t="s">
        <v>64</v>
      </c>
      <c r="B30" s="280"/>
      <c r="C30" s="280"/>
      <c r="D30" s="281"/>
      <c r="E30" s="19"/>
      <c r="F30" s="163" t="s">
        <v>207</v>
      </c>
      <c r="H30" s="174">
        <f>SUM(H13:H29)</f>
        <v>15427.340000000004</v>
      </c>
      <c r="I30" s="174">
        <f>SUM(I13:I29)</f>
        <v>7940.83</v>
      </c>
      <c r="J30" s="185">
        <f>SUM(J13:J29)</f>
        <v>2962.0250000000001</v>
      </c>
      <c r="K30" s="186">
        <f>SUM(K20:K29)</f>
        <v>10561.68</v>
      </c>
      <c r="L30" s="186">
        <f t="shared" ref="L30:M30" si="5">SUM(L20:L29)</f>
        <v>5754.6500000000005</v>
      </c>
      <c r="M30" s="186">
        <f t="shared" si="5"/>
        <v>2378.355</v>
      </c>
      <c r="N30" s="88">
        <f>SUM(N13:N29)</f>
        <v>4865.66</v>
      </c>
      <c r="O30" s="88">
        <f t="shared" ref="O30:P30" si="6">SUM(O13:O29)</f>
        <v>2186.1800000000003</v>
      </c>
      <c r="P30" s="88">
        <f t="shared" si="6"/>
        <v>583.66999999999996</v>
      </c>
    </row>
    <row r="31" spans="1:16" x14ac:dyDescent="0.3">
      <c r="A31" s="31" t="s">
        <v>65</v>
      </c>
      <c r="B31" s="23">
        <v>0.151</v>
      </c>
      <c r="C31" s="23"/>
      <c r="D31" s="32" t="s">
        <v>54</v>
      </c>
      <c r="E31" s="19"/>
      <c r="K31" t="s">
        <v>460</v>
      </c>
    </row>
    <row r="32" spans="1:16" x14ac:dyDescent="0.3">
      <c r="A32" s="31" t="s">
        <v>66</v>
      </c>
      <c r="B32" s="23">
        <v>0.13500000000000001</v>
      </c>
      <c r="C32" s="23"/>
      <c r="D32" s="32" t="s">
        <v>67</v>
      </c>
      <c r="E32" s="19"/>
    </row>
    <row r="33" spans="1:11" x14ac:dyDescent="0.3">
      <c r="A33" s="31"/>
      <c r="B33" s="23"/>
      <c r="C33" s="23"/>
      <c r="D33" s="32"/>
      <c r="E33" s="19"/>
    </row>
    <row r="34" spans="1:11" x14ac:dyDescent="0.3">
      <c r="A34" s="167" t="s">
        <v>442</v>
      </c>
      <c r="B34" s="23">
        <v>22</v>
      </c>
      <c r="C34" s="23"/>
      <c r="D34" s="169" t="s">
        <v>443</v>
      </c>
      <c r="E34" s="19"/>
    </row>
    <row r="35" spans="1:11" x14ac:dyDescent="0.3">
      <c r="A35" s="31"/>
      <c r="B35" s="23"/>
      <c r="C35" s="23"/>
      <c r="D35" s="32"/>
      <c r="E35" s="19"/>
    </row>
    <row r="36" spans="1:11" x14ac:dyDescent="0.3">
      <c r="A36" s="279" t="s">
        <v>68</v>
      </c>
      <c r="B36" s="280"/>
      <c r="C36" s="280"/>
      <c r="D36" s="281"/>
      <c r="E36" s="19"/>
      <c r="F36" s="284" t="s">
        <v>355</v>
      </c>
      <c r="G36" s="285"/>
      <c r="H36" s="285"/>
      <c r="I36" s="285"/>
      <c r="J36" s="285"/>
      <c r="K36" s="286"/>
    </row>
    <row r="37" spans="1:11" x14ac:dyDescent="0.3">
      <c r="A37" s="31" t="s">
        <v>69</v>
      </c>
      <c r="B37" s="23">
        <v>1.4999999999999999E-2</v>
      </c>
      <c r="C37" s="23" t="s">
        <v>70</v>
      </c>
      <c r="D37" s="32" t="s">
        <v>71</v>
      </c>
      <c r="E37" s="19"/>
      <c r="F37" s="129" t="s">
        <v>357</v>
      </c>
      <c r="G37" s="124" t="s">
        <v>358</v>
      </c>
      <c r="H37" s="124" t="s">
        <v>236</v>
      </c>
      <c r="I37" s="107"/>
      <c r="J37" s="4" t="s">
        <v>354</v>
      </c>
      <c r="K37" s="4" t="s">
        <v>356</v>
      </c>
    </row>
    <row r="38" spans="1:11" x14ac:dyDescent="0.3">
      <c r="A38" s="31" t="s">
        <v>72</v>
      </c>
      <c r="B38" s="23">
        <v>1.4E-2</v>
      </c>
      <c r="C38" s="23"/>
      <c r="D38" s="32" t="s">
        <v>73</v>
      </c>
      <c r="E38" s="19"/>
      <c r="F38" s="23" t="s">
        <v>101</v>
      </c>
      <c r="G38" s="26">
        <v>12</v>
      </c>
      <c r="H38" s="23"/>
      <c r="I38" s="23" t="s">
        <v>102</v>
      </c>
      <c r="J38" s="74">
        <f>G38</f>
        <v>12</v>
      </c>
      <c r="K38" s="4"/>
    </row>
    <row r="39" spans="1:11" x14ac:dyDescent="0.3">
      <c r="A39" s="31" t="s">
        <v>74</v>
      </c>
      <c r="B39" s="23">
        <v>0.02</v>
      </c>
      <c r="C39" s="23"/>
      <c r="D39" s="32" t="s">
        <v>71</v>
      </c>
      <c r="E39" s="19"/>
      <c r="F39" s="23" t="s">
        <v>103</v>
      </c>
      <c r="G39" s="27">
        <v>2800</v>
      </c>
      <c r="H39" s="125" t="s">
        <v>353</v>
      </c>
      <c r="I39" s="27" t="s">
        <v>102</v>
      </c>
      <c r="J39" s="74">
        <f>G39</f>
        <v>2800</v>
      </c>
      <c r="K39" s="4"/>
    </row>
    <row r="40" spans="1:11" x14ac:dyDescent="0.3">
      <c r="A40" s="31" t="s">
        <v>75</v>
      </c>
      <c r="B40" s="23">
        <v>2.9000000000000001E-2</v>
      </c>
      <c r="C40" s="23" t="s">
        <v>76</v>
      </c>
      <c r="D40" s="32" t="s">
        <v>36</v>
      </c>
      <c r="E40" s="19"/>
      <c r="F40" s="23" t="s">
        <v>105</v>
      </c>
      <c r="G40" s="23">
        <v>110</v>
      </c>
      <c r="H40" s="23"/>
      <c r="I40" s="23" t="s">
        <v>106</v>
      </c>
      <c r="K40" s="74">
        <f>G40</f>
        <v>110</v>
      </c>
    </row>
    <row r="41" spans="1:11" x14ac:dyDescent="0.3">
      <c r="A41" s="31"/>
      <c r="B41" s="23"/>
      <c r="C41" s="23"/>
      <c r="D41" s="32"/>
      <c r="E41" s="19"/>
      <c r="F41" s="25" t="s">
        <v>110</v>
      </c>
      <c r="G41" s="25">
        <v>60</v>
      </c>
      <c r="H41" s="25" t="s">
        <v>111</v>
      </c>
      <c r="I41" s="25" t="s">
        <v>106</v>
      </c>
      <c r="K41" s="74">
        <f>G41</f>
        <v>60</v>
      </c>
    </row>
    <row r="42" spans="1:11" x14ac:dyDescent="0.3">
      <c r="A42" s="279" t="s">
        <v>77</v>
      </c>
      <c r="B42" s="280"/>
      <c r="C42" s="280"/>
      <c r="D42" s="281"/>
      <c r="E42" s="19"/>
      <c r="F42" s="128" t="s">
        <v>207</v>
      </c>
      <c r="G42" s="4"/>
      <c r="H42" s="4"/>
      <c r="I42" s="4"/>
      <c r="J42" s="72">
        <f>SUM(J38:J41)</f>
        <v>2812</v>
      </c>
      <c r="K42" s="72">
        <f>SUM(K40:K41)</f>
        <v>170</v>
      </c>
    </row>
    <row r="43" spans="1:11" x14ac:dyDescent="0.3">
      <c r="A43" s="31" t="s">
        <v>78</v>
      </c>
      <c r="B43" s="23">
        <v>6.4999999999999997E-4</v>
      </c>
      <c r="C43" s="23"/>
      <c r="D43" s="32" t="s">
        <v>79</v>
      </c>
      <c r="E43" s="19"/>
      <c r="F43" s="19"/>
    </row>
    <row r="44" spans="1:11" x14ac:dyDescent="0.3">
      <c r="A44" s="31" t="s">
        <v>80</v>
      </c>
      <c r="B44" s="23">
        <v>1.2999999999999999E-4</v>
      </c>
      <c r="C44" s="23"/>
      <c r="D44" s="32" t="s">
        <v>81</v>
      </c>
      <c r="E44" s="19"/>
      <c r="F44" s="19"/>
    </row>
    <row r="45" spans="1:11" x14ac:dyDescent="0.3">
      <c r="A45" s="31"/>
      <c r="B45" s="23"/>
      <c r="C45" s="23"/>
      <c r="D45" s="32"/>
      <c r="E45" s="19"/>
      <c r="F45" s="164" t="s">
        <v>447</v>
      </c>
      <c r="G45" s="4" t="s">
        <v>452</v>
      </c>
    </row>
    <row r="46" spans="1:11" x14ac:dyDescent="0.3">
      <c r="A46" s="279" t="s">
        <v>82</v>
      </c>
      <c r="B46" s="280"/>
      <c r="C46" s="280"/>
      <c r="D46" s="281"/>
      <c r="E46" s="19"/>
      <c r="F46" s="164" t="s">
        <v>448</v>
      </c>
      <c r="G46" s="174">
        <f>$D$155</f>
        <v>23.58</v>
      </c>
    </row>
    <row r="47" spans="1:11" x14ac:dyDescent="0.3">
      <c r="A47" s="31" t="s">
        <v>83</v>
      </c>
      <c r="B47" s="23">
        <v>0.3</v>
      </c>
      <c r="C47" s="23" t="s">
        <v>84</v>
      </c>
      <c r="D47" s="32" t="s">
        <v>85</v>
      </c>
      <c r="E47" s="19"/>
      <c r="F47" s="164" t="s">
        <v>449</v>
      </c>
      <c r="G47" s="174">
        <f>E155</f>
        <v>174.4</v>
      </c>
    </row>
    <row r="48" spans="1:11" x14ac:dyDescent="0.3">
      <c r="A48" s="31" t="s">
        <v>86</v>
      </c>
      <c r="B48" s="23">
        <v>0.01</v>
      </c>
      <c r="C48" s="23"/>
      <c r="D48" s="32" t="s">
        <v>38</v>
      </c>
      <c r="E48" s="19"/>
      <c r="F48" s="164" t="s">
        <v>450</v>
      </c>
      <c r="G48" s="174">
        <f>D156</f>
        <v>4.09</v>
      </c>
    </row>
    <row r="49" spans="1:13" x14ac:dyDescent="0.3">
      <c r="A49" s="31" t="s">
        <v>87</v>
      </c>
      <c r="B49" s="23">
        <v>0.5</v>
      </c>
      <c r="C49" s="23"/>
      <c r="D49" s="32" t="s">
        <v>88</v>
      </c>
      <c r="E49" s="19"/>
      <c r="F49" s="164" t="s">
        <v>451</v>
      </c>
      <c r="G49" s="174">
        <f>E156</f>
        <v>50.4</v>
      </c>
    </row>
    <row r="50" spans="1:13" x14ac:dyDescent="0.3">
      <c r="A50" s="31"/>
      <c r="B50" s="25"/>
      <c r="C50" s="25"/>
      <c r="D50" s="35"/>
      <c r="E50" s="19"/>
      <c r="F50" s="164" t="s">
        <v>453</v>
      </c>
      <c r="G50" s="174">
        <f>C111</f>
        <v>36.56</v>
      </c>
    </row>
    <row r="51" spans="1:13" x14ac:dyDescent="0.3">
      <c r="A51" s="279" t="s">
        <v>89</v>
      </c>
      <c r="B51" s="280"/>
      <c r="C51" s="280"/>
      <c r="D51" s="281"/>
      <c r="E51" s="19"/>
      <c r="F51" s="163"/>
      <c r="K51" t="s">
        <v>200</v>
      </c>
      <c r="L51" t="s">
        <v>5</v>
      </c>
      <c r="M51" t="s">
        <v>6</v>
      </c>
    </row>
    <row r="52" spans="1:13" x14ac:dyDescent="0.3">
      <c r="A52" s="31" t="s">
        <v>86</v>
      </c>
      <c r="B52" s="25">
        <v>0.5</v>
      </c>
      <c r="C52" s="25" t="s">
        <v>90</v>
      </c>
      <c r="D52" s="35" t="s">
        <v>91</v>
      </c>
      <c r="E52" s="19"/>
      <c r="F52" s="163"/>
      <c r="J52" t="s">
        <v>426</v>
      </c>
      <c r="K52" s="127">
        <f>SUM(H13:H17)</f>
        <v>4506.5</v>
      </c>
      <c r="L52" s="127">
        <f t="shared" ref="L52:M52" si="7">SUM(I13:I17)</f>
        <v>2482.9</v>
      </c>
      <c r="M52" s="127">
        <f t="shared" si="7"/>
        <v>884</v>
      </c>
    </row>
    <row r="53" spans="1:13" x14ac:dyDescent="0.3">
      <c r="A53" s="31" t="s">
        <v>92</v>
      </c>
      <c r="B53" s="25">
        <v>0.09</v>
      </c>
      <c r="C53" s="25" t="s">
        <v>93</v>
      </c>
      <c r="D53" s="35" t="s">
        <v>94</v>
      </c>
      <c r="E53" s="19"/>
      <c r="F53" s="163"/>
      <c r="J53" t="s">
        <v>465</v>
      </c>
      <c r="K53" s="127">
        <f>SUM(H27:H29)</f>
        <v>4561.6900000000005</v>
      </c>
      <c r="L53" s="127">
        <f t="shared" ref="L53:M53" si="8">SUM(I27:I29)</f>
        <v>2131.14</v>
      </c>
      <c r="M53" s="127">
        <f t="shared" si="8"/>
        <v>822.51499999999999</v>
      </c>
    </row>
    <row r="54" spans="1:13" x14ac:dyDescent="0.3">
      <c r="A54" s="31"/>
      <c r="B54" s="25"/>
      <c r="C54" s="25"/>
      <c r="D54" s="35"/>
      <c r="E54" s="19"/>
      <c r="F54" s="163"/>
      <c r="J54" t="s">
        <v>466</v>
      </c>
      <c r="K54" s="127">
        <f>SUM(H18:H20)</f>
        <v>1493.49</v>
      </c>
      <c r="L54" s="127">
        <f t="shared" ref="L54:M54" si="9">SUM(I18:I20)</f>
        <v>1140.6100000000001</v>
      </c>
      <c r="M54" s="127">
        <f t="shared" si="9"/>
        <v>671.84</v>
      </c>
    </row>
    <row r="55" spans="1:13" x14ac:dyDescent="0.3">
      <c r="A55" s="279" t="s">
        <v>95</v>
      </c>
      <c r="B55" s="280"/>
      <c r="C55" s="280"/>
      <c r="D55" s="281"/>
      <c r="E55" s="19"/>
      <c r="F55" s="19"/>
      <c r="J55" t="s">
        <v>119</v>
      </c>
      <c r="K55" s="127">
        <f>SUM(H21:H26)</f>
        <v>4865.66</v>
      </c>
      <c r="L55" s="127">
        <f t="shared" ref="L55:M55" si="10">SUM(I21:I26)</f>
        <v>2186.1800000000003</v>
      </c>
      <c r="M55" s="127">
        <f t="shared" si="10"/>
        <v>583.66999999999996</v>
      </c>
    </row>
    <row r="56" spans="1:13" x14ac:dyDescent="0.3">
      <c r="A56" s="31" t="s">
        <v>96</v>
      </c>
      <c r="B56" s="25">
        <v>0.4</v>
      </c>
      <c r="C56" s="25" t="s">
        <v>97</v>
      </c>
      <c r="D56" s="35" t="s">
        <v>98</v>
      </c>
      <c r="E56" s="19"/>
      <c r="F56" s="19"/>
      <c r="J56" t="s">
        <v>207</v>
      </c>
      <c r="K56" s="127">
        <f>SUM(K52:K55)</f>
        <v>15427.34</v>
      </c>
      <c r="L56" s="127">
        <f t="shared" ref="L56:M56" si="11">SUM(L52:L55)</f>
        <v>7940.83</v>
      </c>
      <c r="M56" s="127">
        <f t="shared" si="11"/>
        <v>2962.0250000000001</v>
      </c>
    </row>
    <row r="57" spans="1:13" x14ac:dyDescent="0.3">
      <c r="A57" s="31" t="s">
        <v>99</v>
      </c>
      <c r="B57" s="25">
        <v>0.5</v>
      </c>
      <c r="C57" s="25" t="s">
        <v>97</v>
      </c>
      <c r="D57" s="35" t="s">
        <v>98</v>
      </c>
      <c r="E57" s="19"/>
      <c r="F57" s="19"/>
    </row>
    <row r="58" spans="1:13" x14ac:dyDescent="0.3">
      <c r="A58" s="31" t="s">
        <v>92</v>
      </c>
      <c r="B58" s="25">
        <v>0.09</v>
      </c>
      <c r="C58" s="25" t="s">
        <v>93</v>
      </c>
      <c r="D58" s="35" t="s">
        <v>94</v>
      </c>
      <c r="E58" s="19"/>
      <c r="F58" s="19"/>
    </row>
    <row r="59" spans="1:13" x14ac:dyDescent="0.3">
      <c r="A59" s="31"/>
      <c r="B59" s="25"/>
      <c r="C59" s="25"/>
      <c r="D59" s="35"/>
      <c r="E59" s="19"/>
      <c r="F59" s="19"/>
    </row>
    <row r="60" spans="1:13" x14ac:dyDescent="0.3">
      <c r="A60" s="279" t="s">
        <v>100</v>
      </c>
      <c r="B60" s="280"/>
      <c r="C60" s="280"/>
      <c r="D60" s="281"/>
      <c r="E60" s="19"/>
      <c r="F60" s="19"/>
    </row>
    <row r="61" spans="1:13" x14ac:dyDescent="0.3">
      <c r="A61" s="31" t="s">
        <v>101</v>
      </c>
      <c r="B61" s="26">
        <v>12</v>
      </c>
      <c r="C61" s="23"/>
      <c r="D61" s="32" t="s">
        <v>102</v>
      </c>
      <c r="E61" s="19"/>
      <c r="F61" s="19"/>
    </row>
    <row r="62" spans="1:13" x14ac:dyDescent="0.3">
      <c r="A62" s="31" t="s">
        <v>103</v>
      </c>
      <c r="B62" s="27">
        <v>2800</v>
      </c>
      <c r="C62" s="27" t="s">
        <v>104</v>
      </c>
      <c r="D62" s="36" t="s">
        <v>102</v>
      </c>
      <c r="E62" s="19"/>
      <c r="F62" s="19"/>
    </row>
    <row r="63" spans="1:13" x14ac:dyDescent="0.3">
      <c r="A63" s="31" t="s">
        <v>105</v>
      </c>
      <c r="B63" s="23">
        <v>110</v>
      </c>
      <c r="C63" s="23"/>
      <c r="D63" s="32" t="s">
        <v>106</v>
      </c>
      <c r="E63" s="19"/>
      <c r="F63" s="19"/>
    </row>
    <row r="64" spans="1:13" x14ac:dyDescent="0.3">
      <c r="A64" s="31" t="s">
        <v>107</v>
      </c>
      <c r="B64" s="23">
        <v>200</v>
      </c>
      <c r="C64" s="23" t="s">
        <v>108</v>
      </c>
      <c r="D64" s="32" t="s">
        <v>109</v>
      </c>
      <c r="E64" s="19"/>
      <c r="F64" s="19"/>
    </row>
    <row r="65" spans="1:6" x14ac:dyDescent="0.3">
      <c r="A65" s="37" t="s">
        <v>110</v>
      </c>
      <c r="B65" s="25">
        <v>60</v>
      </c>
      <c r="C65" s="25" t="s">
        <v>111</v>
      </c>
      <c r="D65" s="35" t="s">
        <v>106</v>
      </c>
      <c r="E65" s="19"/>
      <c r="F65" s="19"/>
    </row>
    <row r="66" spans="1:6" ht="15" thickBot="1" x14ac:dyDescent="0.35">
      <c r="A66" s="38" t="s">
        <v>112</v>
      </c>
      <c r="B66" s="39">
        <v>6.4399999999999999E-2</v>
      </c>
      <c r="C66" s="39" t="s">
        <v>42</v>
      </c>
      <c r="D66" s="40" t="s">
        <v>30</v>
      </c>
      <c r="E66" s="19"/>
      <c r="F66" s="19"/>
    </row>
    <row r="67" spans="1:6" ht="15" thickBot="1" x14ac:dyDescent="0.35">
      <c r="A67" s="19"/>
      <c r="B67" s="19"/>
      <c r="C67" s="19"/>
      <c r="D67" s="19"/>
      <c r="E67" s="19"/>
      <c r="F67" s="19"/>
    </row>
    <row r="68" spans="1:6" x14ac:dyDescent="0.3">
      <c r="A68" s="58" t="s">
        <v>200</v>
      </c>
      <c r="B68" s="59" t="s">
        <v>113</v>
      </c>
      <c r="C68" s="59" t="s">
        <v>114</v>
      </c>
      <c r="D68" s="59" t="s">
        <v>115</v>
      </c>
      <c r="E68" s="59" t="s">
        <v>116</v>
      </c>
      <c r="F68" s="60" t="s">
        <v>32</v>
      </c>
    </row>
    <row r="69" spans="1:6" x14ac:dyDescent="0.3">
      <c r="A69" s="46" t="s">
        <v>120</v>
      </c>
      <c r="B69" s="21" t="s">
        <v>9</v>
      </c>
      <c r="C69" s="21">
        <v>10</v>
      </c>
      <c r="D69" s="21" t="s">
        <v>121</v>
      </c>
      <c r="E69" s="21" t="s">
        <v>117</v>
      </c>
      <c r="F69" s="47" t="s">
        <v>122</v>
      </c>
    </row>
    <row r="70" spans="1:6" x14ac:dyDescent="0.3">
      <c r="A70" s="46" t="s">
        <v>120</v>
      </c>
      <c r="B70" s="21" t="s">
        <v>123</v>
      </c>
      <c r="C70" s="21">
        <v>10</v>
      </c>
      <c r="D70" s="21" t="s">
        <v>121</v>
      </c>
      <c r="E70" s="21" t="s">
        <v>117</v>
      </c>
      <c r="F70" s="47" t="s">
        <v>124</v>
      </c>
    </row>
    <row r="71" spans="1:6" x14ac:dyDescent="0.3">
      <c r="A71" s="46" t="s">
        <v>68</v>
      </c>
      <c r="B71" s="21" t="s">
        <v>10</v>
      </c>
      <c r="C71" s="21">
        <v>30</v>
      </c>
      <c r="D71" s="21" t="s">
        <v>121</v>
      </c>
      <c r="E71" s="21" t="s">
        <v>119</v>
      </c>
      <c r="F71" s="47" t="s">
        <v>125</v>
      </c>
    </row>
    <row r="72" spans="1:6" x14ac:dyDescent="0.3">
      <c r="A72" s="46" t="s">
        <v>45</v>
      </c>
      <c r="B72" s="21" t="s">
        <v>127</v>
      </c>
      <c r="C72" s="21">
        <v>1758.8</v>
      </c>
      <c r="D72" s="21" t="s">
        <v>118</v>
      </c>
      <c r="E72" s="21" t="s">
        <v>119</v>
      </c>
      <c r="F72" s="47" t="s">
        <v>128</v>
      </c>
    </row>
    <row r="73" spans="1:6" x14ac:dyDescent="0.3">
      <c r="A73" s="46" t="s">
        <v>129</v>
      </c>
      <c r="B73" s="21" t="s">
        <v>130</v>
      </c>
      <c r="C73" s="21">
        <v>1000</v>
      </c>
      <c r="D73" s="21" t="s">
        <v>118</v>
      </c>
      <c r="E73" s="21" t="s">
        <v>119</v>
      </c>
      <c r="F73" s="47" t="s">
        <v>131</v>
      </c>
    </row>
    <row r="74" spans="1:6" x14ac:dyDescent="0.3">
      <c r="A74" s="46" t="s">
        <v>132</v>
      </c>
      <c r="B74" s="21" t="s">
        <v>13</v>
      </c>
      <c r="C74" s="21">
        <v>1116.3800000000001</v>
      </c>
      <c r="D74" s="21" t="s">
        <v>118</v>
      </c>
      <c r="E74" s="21" t="s">
        <v>119</v>
      </c>
      <c r="F74" s="47" t="s">
        <v>133</v>
      </c>
    </row>
    <row r="75" spans="1:6" x14ac:dyDescent="0.3">
      <c r="A75" s="46" t="s">
        <v>77</v>
      </c>
      <c r="B75" s="21" t="s">
        <v>134</v>
      </c>
      <c r="C75" s="21">
        <v>510.3</v>
      </c>
      <c r="D75" s="21"/>
      <c r="E75" s="21" t="s">
        <v>119</v>
      </c>
      <c r="F75" s="47" t="s">
        <v>135</v>
      </c>
    </row>
    <row r="76" spans="1:6" x14ac:dyDescent="0.3">
      <c r="A76" s="46" t="s">
        <v>105</v>
      </c>
      <c r="B76" s="21"/>
      <c r="C76" s="21">
        <v>178.77</v>
      </c>
      <c r="D76" s="21"/>
      <c r="E76" s="21" t="s">
        <v>117</v>
      </c>
      <c r="F76" s="47" t="s">
        <v>136</v>
      </c>
    </row>
    <row r="77" spans="1:6" x14ac:dyDescent="0.3">
      <c r="A77" s="46" t="s">
        <v>82</v>
      </c>
      <c r="B77" s="21"/>
      <c r="C77" s="21">
        <v>711.87</v>
      </c>
      <c r="D77" s="21"/>
      <c r="E77" s="21" t="s">
        <v>119</v>
      </c>
      <c r="F77" s="47" t="s">
        <v>137</v>
      </c>
    </row>
    <row r="78" spans="1:6" ht="28.8" x14ac:dyDescent="0.3">
      <c r="A78" s="46" t="s">
        <v>138</v>
      </c>
      <c r="B78" s="21"/>
      <c r="C78" s="21">
        <v>984.72</v>
      </c>
      <c r="D78" s="21"/>
      <c r="E78" s="21" t="s">
        <v>119</v>
      </c>
      <c r="F78" s="47" t="s">
        <v>139</v>
      </c>
    </row>
    <row r="79" spans="1:6" ht="15" thickBot="1" x14ac:dyDescent="0.35">
      <c r="A79" s="48" t="s">
        <v>140</v>
      </c>
      <c r="B79" s="49" t="s">
        <v>13</v>
      </c>
      <c r="C79" s="49">
        <v>330</v>
      </c>
      <c r="D79" s="49"/>
      <c r="E79" s="49" t="s">
        <v>119</v>
      </c>
      <c r="F79" s="50" t="s">
        <v>141</v>
      </c>
    </row>
    <row r="80" spans="1:6" x14ac:dyDescent="0.3">
      <c r="A80" s="42"/>
      <c r="B80" s="42"/>
      <c r="C80" s="42"/>
      <c r="D80" s="42"/>
      <c r="E80" s="42"/>
      <c r="F80" s="43"/>
    </row>
    <row r="81" spans="1:6" ht="15" thickBot="1" x14ac:dyDescent="0.35">
      <c r="A81" s="22"/>
      <c r="B81" s="22"/>
      <c r="C81" s="22"/>
      <c r="D81" s="22"/>
      <c r="E81" s="22"/>
      <c r="F81" s="51"/>
    </row>
    <row r="82" spans="1:6" x14ac:dyDescent="0.3">
      <c r="A82" s="55" t="s">
        <v>142</v>
      </c>
      <c r="B82" s="56" t="s">
        <v>113</v>
      </c>
      <c r="C82" s="56" t="s">
        <v>114</v>
      </c>
      <c r="D82" s="56" t="s">
        <v>115</v>
      </c>
      <c r="E82" s="56"/>
      <c r="F82" s="57" t="s">
        <v>32</v>
      </c>
    </row>
    <row r="83" spans="1:6" x14ac:dyDescent="0.3">
      <c r="A83" s="46" t="s">
        <v>120</v>
      </c>
      <c r="B83" s="21" t="s">
        <v>9</v>
      </c>
      <c r="C83" s="21">
        <v>10</v>
      </c>
      <c r="D83" s="21" t="s">
        <v>121</v>
      </c>
      <c r="E83" s="21" t="s">
        <v>117</v>
      </c>
      <c r="F83" s="47" t="s">
        <v>122</v>
      </c>
    </row>
    <row r="84" spans="1:6" x14ac:dyDescent="0.3">
      <c r="A84" s="46" t="s">
        <v>120</v>
      </c>
      <c r="B84" s="21" t="s">
        <v>9</v>
      </c>
      <c r="C84" s="21">
        <v>10</v>
      </c>
      <c r="D84" s="21" t="s">
        <v>121</v>
      </c>
      <c r="E84" s="21" t="s">
        <v>117</v>
      </c>
      <c r="F84" s="47" t="s">
        <v>124</v>
      </c>
    </row>
    <row r="85" spans="1:6" x14ac:dyDescent="0.3">
      <c r="A85" s="46" t="s">
        <v>68</v>
      </c>
      <c r="B85" s="21" t="s">
        <v>10</v>
      </c>
      <c r="C85" s="21">
        <v>30</v>
      </c>
      <c r="D85" s="21" t="s">
        <v>121</v>
      </c>
      <c r="E85" s="21" t="s">
        <v>119</v>
      </c>
      <c r="F85" s="47" t="s">
        <v>125</v>
      </c>
    </row>
    <row r="86" spans="1:6" x14ac:dyDescent="0.3">
      <c r="A86" s="46" t="s">
        <v>45</v>
      </c>
      <c r="B86" s="21" t="s">
        <v>11</v>
      </c>
      <c r="C86" s="21">
        <v>879.45</v>
      </c>
      <c r="D86" s="21" t="s">
        <v>118</v>
      </c>
      <c r="E86" s="21" t="s">
        <v>119</v>
      </c>
      <c r="F86" s="47" t="s">
        <v>128</v>
      </c>
    </row>
    <row r="87" spans="1:6" x14ac:dyDescent="0.3">
      <c r="A87" s="46" t="s">
        <v>129</v>
      </c>
      <c r="B87" s="21" t="s">
        <v>12</v>
      </c>
      <c r="C87" s="21">
        <v>500</v>
      </c>
      <c r="D87" s="21" t="s">
        <v>118</v>
      </c>
      <c r="E87" s="21" t="s">
        <v>119</v>
      </c>
      <c r="F87" s="47" t="s">
        <v>131</v>
      </c>
    </row>
    <row r="88" spans="1:6" x14ac:dyDescent="0.3">
      <c r="A88" s="46" t="s">
        <v>132</v>
      </c>
      <c r="B88" s="21" t="s">
        <v>13</v>
      </c>
      <c r="C88" s="21">
        <v>246.76</v>
      </c>
      <c r="D88" s="21" t="s">
        <v>118</v>
      </c>
      <c r="E88" s="21" t="s">
        <v>119</v>
      </c>
      <c r="F88" s="47" t="s">
        <v>143</v>
      </c>
    </row>
    <row r="89" spans="1:6" x14ac:dyDescent="0.3">
      <c r="A89" s="46" t="s">
        <v>77</v>
      </c>
      <c r="B89" s="21" t="s">
        <v>14</v>
      </c>
      <c r="C89" s="21">
        <v>248.61</v>
      </c>
      <c r="D89" s="21"/>
      <c r="E89" s="21" t="s">
        <v>119</v>
      </c>
      <c r="F89" s="47" t="s">
        <v>144</v>
      </c>
    </row>
    <row r="90" spans="1:6" x14ac:dyDescent="0.3">
      <c r="A90" s="46" t="s">
        <v>105</v>
      </c>
      <c r="B90" s="21"/>
      <c r="C90" s="21">
        <v>106.98</v>
      </c>
      <c r="D90" s="21"/>
      <c r="E90" s="21" t="s">
        <v>117</v>
      </c>
      <c r="F90" s="47" t="s">
        <v>145</v>
      </c>
    </row>
    <row r="91" spans="1:6" x14ac:dyDescent="0.3">
      <c r="A91" s="46" t="s">
        <v>82</v>
      </c>
      <c r="B91" s="21"/>
      <c r="C91" s="21">
        <v>281.36</v>
      </c>
      <c r="D91" s="21"/>
      <c r="E91" s="21" t="s">
        <v>119</v>
      </c>
      <c r="F91" s="47" t="s">
        <v>146</v>
      </c>
    </row>
    <row r="92" spans="1:6" ht="28.8" x14ac:dyDescent="0.3">
      <c r="A92" s="46" t="s">
        <v>138</v>
      </c>
      <c r="B92" s="21"/>
      <c r="C92" s="21">
        <v>703.63</v>
      </c>
      <c r="D92" s="21"/>
      <c r="E92" s="21" t="s">
        <v>119</v>
      </c>
      <c r="F92" s="47" t="s">
        <v>147</v>
      </c>
    </row>
    <row r="93" spans="1:6" ht="15" thickBot="1" x14ac:dyDescent="0.35">
      <c r="A93" s="53" t="s">
        <v>148</v>
      </c>
      <c r="B93" s="54" t="s">
        <v>13</v>
      </c>
      <c r="C93" s="54">
        <v>330</v>
      </c>
      <c r="D93" s="54"/>
      <c r="E93" s="54" t="s">
        <v>119</v>
      </c>
      <c r="F93" s="50" t="s">
        <v>141</v>
      </c>
    </row>
    <row r="94" spans="1:6" x14ac:dyDescent="0.3">
      <c r="A94" s="19"/>
      <c r="B94" s="19"/>
      <c r="C94" s="19"/>
      <c r="D94" s="19"/>
      <c r="E94" s="19"/>
      <c r="F94" s="18"/>
    </row>
    <row r="95" spans="1:6" ht="15" thickBot="1" x14ac:dyDescent="0.35">
      <c r="A95" s="19"/>
      <c r="B95" s="19"/>
      <c r="C95" s="19"/>
      <c r="D95" s="19"/>
      <c r="E95" s="19"/>
      <c r="F95" s="18"/>
    </row>
    <row r="96" spans="1:6" x14ac:dyDescent="0.3">
      <c r="A96" s="172" t="s">
        <v>6</v>
      </c>
      <c r="B96" s="61" t="s">
        <v>113</v>
      </c>
      <c r="C96" s="61" t="s">
        <v>114</v>
      </c>
      <c r="D96" s="61" t="s">
        <v>115</v>
      </c>
      <c r="E96" s="61"/>
      <c r="F96" s="62"/>
    </row>
    <row r="97" spans="1:6" x14ac:dyDescent="0.3">
      <c r="A97" s="46" t="s">
        <v>120</v>
      </c>
      <c r="B97" s="21" t="s">
        <v>9</v>
      </c>
      <c r="C97" s="21">
        <v>10</v>
      </c>
      <c r="D97" s="21" t="s">
        <v>121</v>
      </c>
      <c r="E97" s="21" t="s">
        <v>117</v>
      </c>
      <c r="F97" s="47" t="s">
        <v>122</v>
      </c>
    </row>
    <row r="98" spans="1:6" x14ac:dyDescent="0.3">
      <c r="A98" s="46" t="s">
        <v>120</v>
      </c>
      <c r="B98" s="21" t="s">
        <v>9</v>
      </c>
      <c r="C98" s="21">
        <v>10</v>
      </c>
      <c r="D98" s="21" t="s">
        <v>121</v>
      </c>
      <c r="E98" s="21" t="s">
        <v>117</v>
      </c>
      <c r="F98" s="47" t="s">
        <v>124</v>
      </c>
    </row>
    <row r="99" spans="1:6" x14ac:dyDescent="0.3">
      <c r="A99" s="46" t="s">
        <v>68</v>
      </c>
      <c r="B99" s="21" t="s">
        <v>10</v>
      </c>
      <c r="C99" s="21">
        <v>30</v>
      </c>
      <c r="D99" s="21" t="s">
        <v>121</v>
      </c>
      <c r="E99" s="21" t="s">
        <v>119</v>
      </c>
      <c r="F99" s="47" t="s">
        <v>125</v>
      </c>
    </row>
    <row r="100" spans="1:6" x14ac:dyDescent="0.3">
      <c r="A100" s="46" t="s">
        <v>45</v>
      </c>
      <c r="B100" s="21" t="s">
        <v>8</v>
      </c>
      <c r="C100" s="21">
        <v>131.91</v>
      </c>
      <c r="D100" s="21" t="s">
        <v>118</v>
      </c>
      <c r="E100" s="21" t="s">
        <v>119</v>
      </c>
      <c r="F100" s="47" t="s">
        <v>149</v>
      </c>
    </row>
    <row r="101" spans="1:6" x14ac:dyDescent="0.3">
      <c r="A101" s="46" t="s">
        <v>129</v>
      </c>
      <c r="B101" s="21" t="s">
        <v>130</v>
      </c>
      <c r="C101" s="21">
        <v>150</v>
      </c>
      <c r="D101" s="21" t="s">
        <v>118</v>
      </c>
      <c r="E101" s="21" t="s">
        <v>119</v>
      </c>
      <c r="F101" s="47" t="s">
        <v>131</v>
      </c>
    </row>
    <row r="102" spans="1:6" x14ac:dyDescent="0.3">
      <c r="A102" s="46" t="s">
        <v>132</v>
      </c>
      <c r="B102" s="21" t="s">
        <v>13</v>
      </c>
      <c r="C102" s="21">
        <v>72.78</v>
      </c>
      <c r="D102" s="21" t="s">
        <v>118</v>
      </c>
      <c r="E102" s="21" t="s">
        <v>119</v>
      </c>
      <c r="F102" s="47" t="s">
        <v>150</v>
      </c>
    </row>
    <row r="103" spans="1:6" x14ac:dyDescent="0.3">
      <c r="A103" s="46" t="s">
        <v>77</v>
      </c>
      <c r="B103" s="21" t="s">
        <v>151</v>
      </c>
      <c r="C103" s="21">
        <v>117.77</v>
      </c>
      <c r="D103" s="21"/>
      <c r="E103" s="21" t="s">
        <v>119</v>
      </c>
      <c r="F103" s="47" t="s">
        <v>144</v>
      </c>
    </row>
    <row r="104" spans="1:6" x14ac:dyDescent="0.3">
      <c r="A104" s="46" t="s">
        <v>105</v>
      </c>
      <c r="B104" s="21"/>
      <c r="C104" s="21">
        <v>106.98</v>
      </c>
      <c r="D104" s="21"/>
      <c r="E104" s="21" t="s">
        <v>117</v>
      </c>
      <c r="F104" s="47" t="s">
        <v>145</v>
      </c>
    </row>
    <row r="105" spans="1:6" x14ac:dyDescent="0.3">
      <c r="A105" s="46" t="s">
        <v>82</v>
      </c>
      <c r="B105" s="21"/>
      <c r="C105" s="21">
        <v>81.209999999999994</v>
      </c>
      <c r="D105" s="21"/>
      <c r="E105" s="21" t="s">
        <v>119</v>
      </c>
      <c r="F105" s="47" t="s">
        <v>152</v>
      </c>
    </row>
    <row r="106" spans="1:6" ht="28.8" x14ac:dyDescent="0.3">
      <c r="A106" s="46" t="s">
        <v>138</v>
      </c>
      <c r="B106" s="21"/>
      <c r="C106" s="21">
        <v>234.86</v>
      </c>
      <c r="D106" s="21"/>
      <c r="E106" s="21" t="s">
        <v>119</v>
      </c>
      <c r="F106" s="47" t="s">
        <v>153</v>
      </c>
    </row>
    <row r="107" spans="1:6" ht="15" thickBot="1" x14ac:dyDescent="0.35">
      <c r="A107" s="53" t="s">
        <v>148</v>
      </c>
      <c r="B107" s="54" t="s">
        <v>13</v>
      </c>
      <c r="C107" s="54">
        <v>330</v>
      </c>
      <c r="D107" s="54"/>
      <c r="E107" s="54" t="s">
        <v>119</v>
      </c>
      <c r="F107" s="50" t="s">
        <v>141</v>
      </c>
    </row>
    <row r="108" spans="1:6" x14ac:dyDescent="0.3">
      <c r="A108" s="42"/>
      <c r="B108" s="42"/>
      <c r="C108" s="42"/>
      <c r="D108" s="42"/>
      <c r="E108" s="42"/>
      <c r="F108" s="43"/>
    </row>
    <row r="109" spans="1:6" ht="15" thickBot="1" x14ac:dyDescent="0.35">
      <c r="A109" s="19"/>
      <c r="B109" s="19"/>
      <c r="C109" s="19"/>
      <c r="D109" s="19"/>
      <c r="E109" s="19"/>
      <c r="F109" s="18"/>
    </row>
    <row r="110" spans="1:6" x14ac:dyDescent="0.3">
      <c r="A110" s="44" t="s">
        <v>154</v>
      </c>
      <c r="B110" s="45" t="s">
        <v>113</v>
      </c>
      <c r="C110" s="45" t="s">
        <v>114</v>
      </c>
      <c r="D110" s="45" t="s">
        <v>115</v>
      </c>
      <c r="E110" s="45"/>
      <c r="F110" s="52"/>
    </row>
    <row r="111" spans="1:6" x14ac:dyDescent="0.3">
      <c r="A111" s="46" t="s">
        <v>33</v>
      </c>
      <c r="B111" s="21" t="s">
        <v>155</v>
      </c>
      <c r="C111" s="21">
        <v>36.56</v>
      </c>
      <c r="D111" s="21" t="s">
        <v>156</v>
      </c>
      <c r="E111" s="21"/>
      <c r="F111" s="47" t="s">
        <v>157</v>
      </c>
    </row>
    <row r="112" spans="1:6" x14ac:dyDescent="0.3">
      <c r="A112" s="46" t="s">
        <v>158</v>
      </c>
      <c r="B112" s="21" t="s">
        <v>159</v>
      </c>
      <c r="C112" s="21">
        <v>707.4</v>
      </c>
      <c r="D112" s="21" t="s">
        <v>160</v>
      </c>
      <c r="E112" s="21"/>
      <c r="F112" s="47" t="s">
        <v>161</v>
      </c>
    </row>
    <row r="113" spans="1:6" x14ac:dyDescent="0.3">
      <c r="A113" s="46" t="s">
        <v>158</v>
      </c>
      <c r="B113" s="21" t="s">
        <v>162</v>
      </c>
      <c r="C113" s="21">
        <v>20.45</v>
      </c>
      <c r="D113" s="21" t="s">
        <v>160</v>
      </c>
      <c r="E113" s="21"/>
      <c r="F113" s="47" t="s">
        <v>163</v>
      </c>
    </row>
    <row r="114" spans="1:6" x14ac:dyDescent="0.3">
      <c r="A114" s="46" t="s">
        <v>66</v>
      </c>
      <c r="B114" s="21" t="s">
        <v>164</v>
      </c>
      <c r="C114" s="21">
        <v>875</v>
      </c>
      <c r="D114" s="21" t="s">
        <v>156</v>
      </c>
      <c r="E114" s="21"/>
      <c r="F114" s="47" t="s">
        <v>165</v>
      </c>
    </row>
    <row r="115" spans="1:6" ht="15" thickBot="1" x14ac:dyDescent="0.35">
      <c r="A115" s="63" t="s">
        <v>195</v>
      </c>
      <c r="B115" s="64"/>
      <c r="C115" s="96">
        <f>SUM(C111:C114)/35</f>
        <v>46.84028571428572</v>
      </c>
      <c r="D115" s="49"/>
      <c r="E115" s="49"/>
      <c r="F115" s="50"/>
    </row>
    <row r="116" spans="1:6" x14ac:dyDescent="0.3">
      <c r="A116" s="42"/>
      <c r="B116" s="42"/>
      <c r="C116" s="42"/>
      <c r="D116" s="42"/>
      <c r="E116" s="42"/>
      <c r="F116" s="43"/>
    </row>
    <row r="117" spans="1:6" x14ac:dyDescent="0.3">
      <c r="A117" s="21" t="s">
        <v>166</v>
      </c>
      <c r="B117" s="21" t="s">
        <v>113</v>
      </c>
      <c r="C117" s="21" t="s">
        <v>114</v>
      </c>
      <c r="D117" s="21" t="s">
        <v>115</v>
      </c>
      <c r="E117" s="21"/>
      <c r="F117" s="20"/>
    </row>
    <row r="118" spans="1:6" x14ac:dyDescent="0.3">
      <c r="A118" s="21" t="s">
        <v>33</v>
      </c>
      <c r="B118" s="21" t="s">
        <v>155</v>
      </c>
      <c r="C118" s="21">
        <v>36.56</v>
      </c>
      <c r="D118" s="21" t="s">
        <v>156</v>
      </c>
      <c r="E118" s="21"/>
      <c r="F118" s="20" t="s">
        <v>157</v>
      </c>
    </row>
    <row r="119" spans="1:6" x14ac:dyDescent="0.3">
      <c r="A119" s="21" t="s">
        <v>158</v>
      </c>
      <c r="B119" s="21" t="s">
        <v>167</v>
      </c>
      <c r="C119" s="21">
        <v>1744</v>
      </c>
      <c r="D119" s="21" t="s">
        <v>160</v>
      </c>
      <c r="E119" s="21"/>
      <c r="F119" s="20" t="s">
        <v>168</v>
      </c>
    </row>
    <row r="120" spans="1:6" x14ac:dyDescent="0.3">
      <c r="A120" s="21" t="s">
        <v>158</v>
      </c>
      <c r="B120" s="21" t="s">
        <v>162</v>
      </c>
      <c r="C120" s="21">
        <v>252</v>
      </c>
      <c r="D120" s="21" t="s">
        <v>160</v>
      </c>
      <c r="E120" s="21"/>
      <c r="F120" s="20" t="s">
        <v>169</v>
      </c>
    </row>
    <row r="121" spans="1:6" x14ac:dyDescent="0.3">
      <c r="A121" s="21" t="s">
        <v>66</v>
      </c>
      <c r="B121" s="21" t="s">
        <v>170</v>
      </c>
      <c r="C121" s="21">
        <v>375</v>
      </c>
      <c r="D121" s="21" t="s">
        <v>156</v>
      </c>
      <c r="E121" s="21"/>
      <c r="F121" s="20" t="s">
        <v>171</v>
      </c>
    </row>
    <row r="122" spans="1:6" x14ac:dyDescent="0.3">
      <c r="A122" s="65" t="s">
        <v>196</v>
      </c>
      <c r="B122" s="66"/>
      <c r="C122" s="71">
        <f>SUM(C118:C121)/15</f>
        <v>160.50399999999999</v>
      </c>
      <c r="D122" s="21"/>
      <c r="E122" s="21"/>
      <c r="F122" s="20"/>
    </row>
    <row r="123" spans="1:6" x14ac:dyDescent="0.3">
      <c r="A123" s="21"/>
      <c r="B123" s="21"/>
      <c r="C123" s="21"/>
      <c r="D123" s="21"/>
      <c r="E123" s="21"/>
      <c r="F123" s="20"/>
    </row>
    <row r="124" spans="1:6" x14ac:dyDescent="0.3">
      <c r="A124" s="21" t="s">
        <v>172</v>
      </c>
      <c r="B124" s="21" t="s">
        <v>113</v>
      </c>
      <c r="C124" s="21" t="s">
        <v>114</v>
      </c>
      <c r="D124" s="21" t="s">
        <v>115</v>
      </c>
      <c r="E124" s="21"/>
      <c r="F124" s="20"/>
    </row>
    <row r="125" spans="1:6" x14ac:dyDescent="0.3">
      <c r="A125" s="21" t="s">
        <v>33</v>
      </c>
      <c r="B125" s="21" t="s">
        <v>173</v>
      </c>
      <c r="C125" s="21">
        <v>18</v>
      </c>
      <c r="D125" s="21" t="s">
        <v>156</v>
      </c>
      <c r="E125" s="21"/>
      <c r="F125" s="20" t="s">
        <v>174</v>
      </c>
    </row>
    <row r="126" spans="1:6" x14ac:dyDescent="0.3">
      <c r="A126" s="21" t="s">
        <v>158</v>
      </c>
      <c r="B126" s="21" t="s">
        <v>167</v>
      </c>
      <c r="C126" s="21">
        <v>235.8</v>
      </c>
      <c r="D126" s="21" t="s">
        <v>160</v>
      </c>
      <c r="E126" s="21"/>
      <c r="F126" s="20" t="s">
        <v>161</v>
      </c>
    </row>
    <row r="127" spans="1:6" x14ac:dyDescent="0.3">
      <c r="A127" s="21" t="s">
        <v>158</v>
      </c>
      <c r="B127" s="21" t="s">
        <v>162</v>
      </c>
      <c r="C127" s="21">
        <v>20.45</v>
      </c>
      <c r="D127" s="21" t="s">
        <v>160</v>
      </c>
      <c r="E127" s="21"/>
      <c r="F127" s="20" t="s">
        <v>163</v>
      </c>
    </row>
    <row r="128" spans="1:6" x14ac:dyDescent="0.3">
      <c r="A128" s="21" t="s">
        <v>66</v>
      </c>
      <c r="B128" s="21" t="s">
        <v>170</v>
      </c>
      <c r="C128" s="21">
        <v>375</v>
      </c>
      <c r="D128" s="21" t="s">
        <v>156</v>
      </c>
      <c r="E128" s="21"/>
      <c r="F128" s="20" t="s">
        <v>165</v>
      </c>
    </row>
    <row r="129" spans="1:6" x14ac:dyDescent="0.3">
      <c r="A129" s="65" t="s">
        <v>197</v>
      </c>
      <c r="B129" s="66"/>
      <c r="C129" s="71">
        <f>SUM(C125:C128)/15</f>
        <v>43.283333333333331</v>
      </c>
      <c r="D129" s="21"/>
      <c r="E129" s="21"/>
      <c r="F129" s="20"/>
    </row>
    <row r="130" spans="1:6" x14ac:dyDescent="0.3">
      <c r="A130" s="21"/>
      <c r="B130" s="21"/>
      <c r="C130" s="21"/>
      <c r="D130" s="21"/>
      <c r="E130" s="21"/>
      <c r="F130" s="20"/>
    </row>
    <row r="131" spans="1:6" x14ac:dyDescent="0.3">
      <c r="A131" s="21" t="s">
        <v>175</v>
      </c>
      <c r="B131" s="21" t="s">
        <v>113</v>
      </c>
      <c r="C131" s="21" t="s">
        <v>114</v>
      </c>
      <c r="D131" s="21" t="s">
        <v>115</v>
      </c>
      <c r="E131" s="21"/>
      <c r="F131" s="20"/>
    </row>
    <row r="132" spans="1:6" x14ac:dyDescent="0.3">
      <c r="A132" s="21" t="s">
        <v>33</v>
      </c>
      <c r="B132" s="21" t="s">
        <v>173</v>
      </c>
      <c r="C132" s="21">
        <v>18</v>
      </c>
      <c r="D132" s="21" t="s">
        <v>156</v>
      </c>
      <c r="E132" s="21"/>
      <c r="F132" s="20" t="s">
        <v>174</v>
      </c>
    </row>
    <row r="133" spans="1:6" x14ac:dyDescent="0.3">
      <c r="A133" s="21" t="s">
        <v>158</v>
      </c>
      <c r="B133" s="21" t="s">
        <v>176</v>
      </c>
      <c r="C133" s="21">
        <v>872</v>
      </c>
      <c r="D133" s="21" t="s">
        <v>160</v>
      </c>
      <c r="E133" s="21"/>
      <c r="F133" s="20" t="s">
        <v>177</v>
      </c>
    </row>
    <row r="134" spans="1:6" x14ac:dyDescent="0.3">
      <c r="A134" s="21" t="s">
        <v>158</v>
      </c>
      <c r="B134" s="21" t="s">
        <v>162</v>
      </c>
      <c r="C134" s="21">
        <v>252</v>
      </c>
      <c r="D134" s="21" t="s">
        <v>160</v>
      </c>
      <c r="E134" s="21"/>
      <c r="F134" s="20" t="s">
        <v>169</v>
      </c>
    </row>
    <row r="135" spans="1:6" x14ac:dyDescent="0.3">
      <c r="A135" s="21" t="s">
        <v>66</v>
      </c>
      <c r="B135" s="21" t="s">
        <v>178</v>
      </c>
      <c r="C135" s="21">
        <v>250</v>
      </c>
      <c r="D135" s="21" t="s">
        <v>156</v>
      </c>
      <c r="E135" s="21"/>
      <c r="F135" s="20" t="s">
        <v>179</v>
      </c>
    </row>
    <row r="136" spans="1:6" x14ac:dyDescent="0.3">
      <c r="A136" s="65" t="s">
        <v>196</v>
      </c>
      <c r="B136" s="66"/>
      <c r="C136" s="71">
        <f>SUM(C132:C135)/10</f>
        <v>139.19999999999999</v>
      </c>
      <c r="D136" s="21"/>
      <c r="E136" s="21"/>
      <c r="F136" s="20"/>
    </row>
    <row r="137" spans="1:6" x14ac:dyDescent="0.3">
      <c r="A137" s="21"/>
      <c r="B137" s="21"/>
      <c r="C137" s="21"/>
      <c r="D137" s="21"/>
      <c r="E137" s="21"/>
      <c r="F137" s="20"/>
    </row>
    <row r="138" spans="1:6" x14ac:dyDescent="0.3">
      <c r="A138" s="21"/>
      <c r="B138" s="21"/>
      <c r="C138" s="21"/>
      <c r="D138" s="21"/>
      <c r="E138" s="21"/>
      <c r="F138" s="20"/>
    </row>
    <row r="139" spans="1:6" x14ac:dyDescent="0.3">
      <c r="A139" s="21" t="s">
        <v>180</v>
      </c>
      <c r="B139" s="21" t="s">
        <v>113</v>
      </c>
      <c r="C139" s="21" t="s">
        <v>114</v>
      </c>
      <c r="D139" s="21" t="s">
        <v>115</v>
      </c>
      <c r="E139" s="21"/>
      <c r="F139" s="20"/>
    </row>
    <row r="140" spans="1:6" x14ac:dyDescent="0.3">
      <c r="A140" s="21" t="s">
        <v>33</v>
      </c>
      <c r="B140" s="21" t="s">
        <v>181</v>
      </c>
      <c r="C140" s="21">
        <v>3.2</v>
      </c>
      <c r="D140" s="21" t="s">
        <v>156</v>
      </c>
      <c r="E140" s="21"/>
      <c r="F140" s="20" t="s">
        <v>182</v>
      </c>
    </row>
    <row r="141" spans="1:6" x14ac:dyDescent="0.3">
      <c r="A141" s="21" t="s">
        <v>158</v>
      </c>
      <c r="B141" s="21" t="s">
        <v>183</v>
      </c>
      <c r="C141" s="21">
        <v>70.739999999999995</v>
      </c>
      <c r="D141" s="21" t="s">
        <v>160</v>
      </c>
      <c r="E141" s="21"/>
      <c r="F141" s="20" t="s">
        <v>184</v>
      </c>
    </row>
    <row r="142" spans="1:6" x14ac:dyDescent="0.3">
      <c r="A142" s="21" t="s">
        <v>158</v>
      </c>
      <c r="B142" s="21" t="s">
        <v>185</v>
      </c>
      <c r="C142" s="21">
        <v>8.18</v>
      </c>
      <c r="D142" s="21" t="s">
        <v>160</v>
      </c>
      <c r="E142" s="21"/>
      <c r="F142" s="20" t="s">
        <v>186</v>
      </c>
    </row>
    <row r="143" spans="1:6" x14ac:dyDescent="0.3">
      <c r="A143" s="21" t="s">
        <v>66</v>
      </c>
      <c r="B143" s="21" t="s">
        <v>187</v>
      </c>
      <c r="C143" s="21">
        <v>150</v>
      </c>
      <c r="D143" s="21" t="s">
        <v>156</v>
      </c>
      <c r="E143" s="21"/>
      <c r="F143" s="20" t="s">
        <v>165</v>
      </c>
    </row>
    <row r="144" spans="1:6" x14ac:dyDescent="0.3">
      <c r="A144" s="65" t="s">
        <v>197</v>
      </c>
      <c r="B144" s="66"/>
      <c r="C144" s="71">
        <f>SUM(C140:C143)/6</f>
        <v>38.686666666666667</v>
      </c>
      <c r="D144" s="21"/>
      <c r="E144" s="21"/>
      <c r="F144" s="20"/>
    </row>
    <row r="145" spans="1:6" x14ac:dyDescent="0.3">
      <c r="A145" s="17"/>
      <c r="B145" s="17"/>
      <c r="C145" s="17"/>
      <c r="D145" s="17"/>
      <c r="E145" s="17"/>
      <c r="F145" s="41"/>
    </row>
    <row r="146" spans="1:6" x14ac:dyDescent="0.3">
      <c r="A146" s="19"/>
      <c r="B146" s="19"/>
      <c r="C146" s="19"/>
      <c r="D146" s="19"/>
      <c r="E146" s="19"/>
      <c r="F146" s="18"/>
    </row>
    <row r="147" spans="1:6" x14ac:dyDescent="0.3">
      <c r="A147" s="21" t="s">
        <v>188</v>
      </c>
      <c r="B147" s="21" t="s">
        <v>113</v>
      </c>
      <c r="C147" s="21" t="s">
        <v>114</v>
      </c>
      <c r="D147" s="21" t="s">
        <v>115</v>
      </c>
      <c r="E147" s="21"/>
      <c r="F147" s="20"/>
    </row>
    <row r="148" spans="1:6" x14ac:dyDescent="0.3">
      <c r="A148" s="21" t="s">
        <v>33</v>
      </c>
      <c r="B148" s="21" t="s">
        <v>181</v>
      </c>
      <c r="C148" s="21">
        <v>3.2</v>
      </c>
      <c r="D148" s="21" t="s">
        <v>156</v>
      </c>
      <c r="E148" s="21"/>
      <c r="F148" s="20" t="s">
        <v>182</v>
      </c>
    </row>
    <row r="149" spans="1:6" x14ac:dyDescent="0.3">
      <c r="A149" s="21" t="s">
        <v>158</v>
      </c>
      <c r="B149" s="21" t="s">
        <v>189</v>
      </c>
      <c r="C149" s="21">
        <v>174.4</v>
      </c>
      <c r="D149" s="21" t="s">
        <v>160</v>
      </c>
      <c r="E149" s="21"/>
      <c r="F149" s="20" t="s">
        <v>190</v>
      </c>
    </row>
    <row r="150" spans="1:6" x14ac:dyDescent="0.3">
      <c r="A150" s="21" t="s">
        <v>158</v>
      </c>
      <c r="B150" s="21" t="s">
        <v>191</v>
      </c>
      <c r="C150" s="21">
        <v>75.599999999999994</v>
      </c>
      <c r="D150" s="21" t="s">
        <v>160</v>
      </c>
      <c r="E150" s="21"/>
      <c r="F150" s="20" t="s">
        <v>192</v>
      </c>
    </row>
    <row r="151" spans="1:6" x14ac:dyDescent="0.3">
      <c r="A151" s="21" t="s">
        <v>66</v>
      </c>
      <c r="B151" s="21" t="s">
        <v>193</v>
      </c>
      <c r="C151" s="21">
        <v>100</v>
      </c>
      <c r="D151" s="21" t="s">
        <v>156</v>
      </c>
      <c r="E151" s="21"/>
      <c r="F151" s="20" t="s">
        <v>194</v>
      </c>
    </row>
    <row r="152" spans="1:6" x14ac:dyDescent="0.3">
      <c r="A152" s="67" t="s">
        <v>196</v>
      </c>
      <c r="B152" s="68"/>
      <c r="C152" s="69">
        <f>SUM(C148:C151)/4</f>
        <v>88.3</v>
      </c>
    </row>
    <row r="154" spans="1:6" x14ac:dyDescent="0.3">
      <c r="B154" s="4"/>
      <c r="C154" s="4"/>
      <c r="D154" s="128" t="s">
        <v>198</v>
      </c>
      <c r="E154" s="4" t="s">
        <v>199</v>
      </c>
    </row>
    <row r="155" spans="1:6" x14ac:dyDescent="0.3">
      <c r="B155" s="4" t="s">
        <v>200</v>
      </c>
      <c r="C155" s="4" t="s">
        <v>445</v>
      </c>
      <c r="D155" s="4">
        <f>C112/30</f>
        <v>23.58</v>
      </c>
      <c r="E155" s="4">
        <f>C119/10</f>
        <v>174.4</v>
      </c>
    </row>
    <row r="156" spans="1:6" x14ac:dyDescent="0.3">
      <c r="B156" s="4"/>
      <c r="C156" s="4" t="s">
        <v>446</v>
      </c>
      <c r="D156" s="4">
        <f>C113/5</f>
        <v>4.09</v>
      </c>
      <c r="E156" s="4">
        <f>C120/5</f>
        <v>50.4</v>
      </c>
    </row>
    <row r="157" spans="1:6" x14ac:dyDescent="0.3">
      <c r="B157" s="4" t="s">
        <v>5</v>
      </c>
      <c r="C157" s="4" t="s">
        <v>445</v>
      </c>
      <c r="D157" s="4">
        <f>C126/10</f>
        <v>23.580000000000002</v>
      </c>
      <c r="E157" s="4"/>
    </row>
    <row r="158" spans="1:6" x14ac:dyDescent="0.3">
      <c r="B158" s="4"/>
      <c r="C158" s="4" t="s">
        <v>446</v>
      </c>
      <c r="D158" s="4">
        <f>C127/5</f>
        <v>4.09</v>
      </c>
      <c r="E158" s="4"/>
    </row>
    <row r="159" spans="1:6" x14ac:dyDescent="0.3">
      <c r="B159" s="4" t="s">
        <v>6</v>
      </c>
      <c r="C159" s="4" t="s">
        <v>445</v>
      </c>
      <c r="D159" s="4">
        <f>C141/3</f>
        <v>23.58</v>
      </c>
      <c r="E159" s="4"/>
    </row>
    <row r="160" spans="1:6" x14ac:dyDescent="0.3">
      <c r="B160" s="4"/>
      <c r="C160" s="4" t="s">
        <v>446</v>
      </c>
      <c r="D160" s="4">
        <f>C142/2</f>
        <v>4.09</v>
      </c>
      <c r="E160" s="4"/>
    </row>
    <row r="163" spans="1:6" x14ac:dyDescent="0.3">
      <c r="A163" s="284" t="s">
        <v>355</v>
      </c>
      <c r="B163" s="285"/>
      <c r="C163" s="285"/>
      <c r="D163" s="285"/>
      <c r="E163" s="285"/>
      <c r="F163" s="286"/>
    </row>
    <row r="164" spans="1:6" x14ac:dyDescent="0.3">
      <c r="A164" s="129" t="s">
        <v>357</v>
      </c>
      <c r="B164" s="124" t="s">
        <v>358</v>
      </c>
      <c r="C164" s="124" t="s">
        <v>236</v>
      </c>
      <c r="D164" s="107"/>
      <c r="E164" s="4" t="s">
        <v>354</v>
      </c>
      <c r="F164" s="4" t="s">
        <v>356</v>
      </c>
    </row>
    <row r="165" spans="1:6" x14ac:dyDescent="0.3">
      <c r="A165" s="23" t="s">
        <v>101</v>
      </c>
      <c r="B165" s="26">
        <v>12</v>
      </c>
      <c r="C165" s="23"/>
      <c r="D165" s="23" t="s">
        <v>102</v>
      </c>
      <c r="E165" s="74">
        <f>B165</f>
        <v>12</v>
      </c>
      <c r="F165" s="4"/>
    </row>
    <row r="166" spans="1:6" x14ac:dyDescent="0.3">
      <c r="A166" s="23" t="s">
        <v>103</v>
      </c>
      <c r="B166" s="27">
        <v>2800</v>
      </c>
      <c r="C166" s="125" t="s">
        <v>353</v>
      </c>
      <c r="D166" s="27" t="s">
        <v>102</v>
      </c>
      <c r="E166" s="74">
        <f>B166</f>
        <v>2800</v>
      </c>
      <c r="F166" s="4"/>
    </row>
    <row r="167" spans="1:6" x14ac:dyDescent="0.3">
      <c r="A167" s="23" t="s">
        <v>105</v>
      </c>
      <c r="B167" s="23">
        <v>110</v>
      </c>
      <c r="C167" s="23"/>
      <c r="D167" s="23" t="s">
        <v>106</v>
      </c>
      <c r="F167" s="74">
        <f>B167</f>
        <v>110</v>
      </c>
    </row>
    <row r="168" spans="1:6" x14ac:dyDescent="0.3">
      <c r="A168" s="25" t="s">
        <v>110</v>
      </c>
      <c r="B168" s="25">
        <v>60</v>
      </c>
      <c r="C168" s="25" t="s">
        <v>111</v>
      </c>
      <c r="D168" s="25" t="s">
        <v>106</v>
      </c>
      <c r="F168" s="74">
        <f>B168</f>
        <v>60</v>
      </c>
    </row>
    <row r="169" spans="1:6" x14ac:dyDescent="0.3">
      <c r="A169" s="128" t="s">
        <v>207</v>
      </c>
      <c r="B169" s="4"/>
      <c r="C169" s="4"/>
      <c r="D169" s="4"/>
      <c r="E169" s="72">
        <f>SUM(E165:E168)</f>
        <v>2812</v>
      </c>
      <c r="F169" s="72">
        <f>SUM(F167:F168)</f>
        <v>170</v>
      </c>
    </row>
  </sheetData>
  <mergeCells count="18">
    <mergeCell ref="A7:D7"/>
    <mergeCell ref="A36:D36"/>
    <mergeCell ref="A25:D25"/>
    <mergeCell ref="A30:D30"/>
    <mergeCell ref="N11:P11"/>
    <mergeCell ref="A1:D3"/>
    <mergeCell ref="A163:F163"/>
    <mergeCell ref="F5:F7"/>
    <mergeCell ref="F8:F10"/>
    <mergeCell ref="F36:K36"/>
    <mergeCell ref="K11:M11"/>
    <mergeCell ref="A55:D55"/>
    <mergeCell ref="A60:D60"/>
    <mergeCell ref="A46:D46"/>
    <mergeCell ref="A42:D42"/>
    <mergeCell ref="A51:D51"/>
    <mergeCell ref="A20:D20"/>
    <mergeCell ref="A13:D1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Set-up + Definitions</vt:lpstr>
      <vt:lpstr>USDOT SDC Overall</vt:lpstr>
      <vt:lpstr>SDC Project</vt:lpstr>
      <vt:lpstr>SDC User</vt:lpstr>
      <vt:lpstr>UnitCosts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Gopalakrishna, Deepak</dc:creator>
  <cp:lastModifiedBy>Onaga, Jennifer</cp:lastModifiedBy>
  <dcterms:created xsi:type="dcterms:W3CDTF">2018-10-02T14:01:36Z</dcterms:created>
  <dcterms:modified xsi:type="dcterms:W3CDTF">2019-07-22T18:21:22Z</dcterms:modified>
</cp:coreProperties>
</file>