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rit/Documents/master-software-engineering/thesis/DYNAMOS/docs/"/>
    </mc:Choice>
  </mc:AlternateContent>
  <xr:revisionPtr revIDLastSave="0" documentId="13_ncr:1_{F04AD650-A631-D24A-B373-3C93716A415A}" xr6:coauthVersionLast="47" xr6:coauthVersionMax="47" xr10:uidLastSave="{00000000-0000-0000-0000-000000000000}"/>
  <bookViews>
    <workbookView xWindow="12240" yWindow="500" windowWidth="32120" windowHeight="20200" activeTab="3" xr2:uid="{D6BE7BD5-07AA-4048-B7F7-9B37E5199ABD}"/>
  </bookViews>
  <sheets>
    <sheet name="Microservices" sheetId="1" r:id="rId1"/>
    <sheet name="agent actions" sheetId="3" r:id="rId2"/>
    <sheet name="Experiment 1" sheetId="4" r:id="rId3"/>
    <sheet name="Experiment 2" sheetId="5" r:id="rId4"/>
    <sheet name="Dynamo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5" l="1"/>
  <c r="D67" i="5"/>
  <c r="D66" i="5"/>
  <c r="E68" i="5"/>
  <c r="E67" i="5"/>
  <c r="E66" i="5"/>
  <c r="F68" i="5"/>
  <c r="F67" i="5"/>
  <c r="F66" i="5"/>
  <c r="C68" i="5"/>
  <c r="C67" i="5"/>
  <c r="C66" i="5"/>
  <c r="D62" i="5"/>
  <c r="D63" i="5"/>
  <c r="E63" i="5"/>
  <c r="E62" i="5"/>
  <c r="F63" i="5"/>
  <c r="F62" i="5"/>
  <c r="C62" i="5"/>
  <c r="C63" i="5"/>
  <c r="C61" i="5"/>
  <c r="D61" i="5"/>
  <c r="E61" i="5"/>
  <c r="F61" i="5"/>
  <c r="D58" i="5"/>
  <c r="D57" i="5"/>
  <c r="E58" i="5"/>
  <c r="E57" i="5"/>
  <c r="F58" i="5"/>
  <c r="F57" i="5"/>
  <c r="C58" i="5"/>
  <c r="C57" i="5"/>
  <c r="D56" i="5"/>
  <c r="E56" i="5"/>
  <c r="F56" i="5"/>
  <c r="C56" i="5"/>
  <c r="D54" i="5"/>
  <c r="E54" i="5"/>
  <c r="F54" i="5"/>
  <c r="C54" i="5"/>
  <c r="D49" i="5"/>
  <c r="C49" i="5"/>
  <c r="F49" i="5" s="1"/>
  <c r="D48" i="5"/>
  <c r="E48" i="5" s="1"/>
  <c r="H48" i="5" s="1"/>
  <c r="C48" i="5"/>
  <c r="F48" i="5" s="1"/>
  <c r="D47" i="5"/>
  <c r="G47" i="5" s="1"/>
  <c r="C47" i="5"/>
  <c r="F47" i="5" s="1"/>
  <c r="D45" i="5"/>
  <c r="G45" i="5" s="1"/>
  <c r="D46" i="5"/>
  <c r="G46" i="5" s="1"/>
  <c r="C46" i="5"/>
  <c r="E47" i="5"/>
  <c r="H47" i="5" s="1"/>
  <c r="C45" i="5"/>
  <c r="D43" i="5"/>
  <c r="E43" i="5" s="1"/>
  <c r="H43" i="5" s="1"/>
  <c r="C43" i="5"/>
  <c r="D42" i="5"/>
  <c r="G42" i="5" s="1"/>
  <c r="C42" i="5"/>
  <c r="D41" i="5"/>
  <c r="G41" i="5" s="1"/>
  <c r="C41" i="5"/>
  <c r="F41" i="5" s="1"/>
  <c r="D40" i="5"/>
  <c r="G40" i="5" s="1"/>
  <c r="C40" i="5"/>
  <c r="F40" i="5" s="1"/>
  <c r="G39" i="5"/>
  <c r="F42" i="5"/>
  <c r="F43" i="5"/>
  <c r="G43" i="5"/>
  <c r="F45" i="5"/>
  <c r="F46" i="5"/>
  <c r="G48" i="5"/>
  <c r="G49" i="5"/>
  <c r="E41" i="5"/>
  <c r="H41" i="5" s="1"/>
  <c r="E42" i="5"/>
  <c r="H42" i="5" s="1"/>
  <c r="D39" i="5"/>
  <c r="E39" i="5" s="1"/>
  <c r="H39" i="5" s="1"/>
  <c r="C39" i="5"/>
  <c r="F39" i="5" s="1"/>
  <c r="D37" i="5"/>
  <c r="C37" i="5"/>
  <c r="F37" i="5" s="1"/>
  <c r="D36" i="5"/>
  <c r="G36" i="5" s="1"/>
  <c r="C36" i="5"/>
  <c r="F36" i="5" s="1"/>
  <c r="D35" i="5"/>
  <c r="C35" i="5"/>
  <c r="D33" i="5"/>
  <c r="E33" i="5" s="1"/>
  <c r="H33" i="5" s="1"/>
  <c r="G34" i="5"/>
  <c r="F35" i="5"/>
  <c r="G35" i="5"/>
  <c r="G37" i="5"/>
  <c r="E35" i="5"/>
  <c r="H35" i="5" s="1"/>
  <c r="E37" i="5"/>
  <c r="H37" i="5" s="1"/>
  <c r="D34" i="5"/>
  <c r="E34" i="5" s="1"/>
  <c r="H34" i="5" s="1"/>
  <c r="C34" i="5"/>
  <c r="F34" i="5" s="1"/>
  <c r="G33" i="5"/>
  <c r="F33" i="5"/>
  <c r="D17" i="5"/>
  <c r="G17" i="5" s="1"/>
  <c r="D16" i="5"/>
  <c r="E16" i="5" s="1"/>
  <c r="H16" i="5" s="1"/>
  <c r="D15" i="5"/>
  <c r="G15" i="5" s="1"/>
  <c r="D14" i="5"/>
  <c r="D13" i="5"/>
  <c r="D23" i="5"/>
  <c r="E23" i="5" s="1"/>
  <c r="H23" i="5" s="1"/>
  <c r="D22" i="5"/>
  <c r="E22" i="5" s="1"/>
  <c r="D21" i="5"/>
  <c r="D20" i="5"/>
  <c r="G20" i="5" s="1"/>
  <c r="D19" i="5"/>
  <c r="E19" i="5" s="1"/>
  <c r="D29" i="5"/>
  <c r="E29" i="5" s="1"/>
  <c r="H29" i="5" s="1"/>
  <c r="D28" i="5"/>
  <c r="D27" i="5"/>
  <c r="G27" i="5" s="1"/>
  <c r="D26" i="5"/>
  <c r="G26" i="5" s="1"/>
  <c r="D25" i="5"/>
  <c r="G25" i="5" s="1"/>
  <c r="C25" i="5"/>
  <c r="F25" i="5" s="1"/>
  <c r="C33" i="5"/>
  <c r="C29" i="5"/>
  <c r="F29" i="5" s="1"/>
  <c r="C28" i="5"/>
  <c r="F28" i="5" s="1"/>
  <c r="C27" i="5"/>
  <c r="F27" i="5" s="1"/>
  <c r="C26" i="5"/>
  <c r="F26" i="5" s="1"/>
  <c r="C23" i="5"/>
  <c r="F23" i="5" s="1"/>
  <c r="C22" i="5"/>
  <c r="C21" i="5"/>
  <c r="C20" i="5"/>
  <c r="F20" i="5" s="1"/>
  <c r="C19" i="5"/>
  <c r="F19" i="5" s="1"/>
  <c r="C17" i="5"/>
  <c r="F17" i="5" s="1"/>
  <c r="C16" i="5"/>
  <c r="F16" i="5" s="1"/>
  <c r="C15" i="5"/>
  <c r="F15" i="5" s="1"/>
  <c r="G14" i="5"/>
  <c r="C14" i="5"/>
  <c r="F14" i="5" s="1"/>
  <c r="G13" i="5"/>
  <c r="G16" i="5"/>
  <c r="C13" i="5"/>
  <c r="G39" i="4"/>
  <c r="G38" i="4"/>
  <c r="G37" i="4"/>
  <c r="F38" i="4"/>
  <c r="F39" i="4"/>
  <c r="F37" i="4"/>
  <c r="E39" i="4"/>
  <c r="E38" i="4"/>
  <c r="E37" i="4"/>
  <c r="G33" i="4"/>
  <c r="G32" i="4"/>
  <c r="G31" i="4"/>
  <c r="H31" i="4" s="1"/>
  <c r="H32" i="4"/>
  <c r="H33" i="4"/>
  <c r="M48" i="4"/>
  <c r="L48" i="4"/>
  <c r="M47" i="4"/>
  <c r="L47" i="4"/>
  <c r="M46" i="4"/>
  <c r="L46" i="4"/>
  <c r="M45" i="4"/>
  <c r="L45" i="4"/>
  <c r="M44" i="4"/>
  <c r="L44" i="4"/>
  <c r="M42" i="4"/>
  <c r="L42" i="4"/>
  <c r="M41" i="4"/>
  <c r="L41" i="4"/>
  <c r="M40" i="4"/>
  <c r="L40" i="4"/>
  <c r="M39" i="4"/>
  <c r="L39" i="4"/>
  <c r="M38" i="4"/>
  <c r="L38" i="4"/>
  <c r="M36" i="4"/>
  <c r="L36" i="4"/>
  <c r="M35" i="4"/>
  <c r="L35" i="4"/>
  <c r="M34" i="4"/>
  <c r="L34" i="4"/>
  <c r="M33" i="4"/>
  <c r="L33" i="4"/>
  <c r="M32" i="4"/>
  <c r="L32" i="4"/>
  <c r="F14" i="4"/>
  <c r="F13" i="4"/>
  <c r="F12" i="4"/>
  <c r="F11" i="4"/>
  <c r="F10" i="4"/>
  <c r="F20" i="4"/>
  <c r="F19" i="4"/>
  <c r="F18" i="4"/>
  <c r="F17" i="4"/>
  <c r="F16" i="4"/>
  <c r="F26" i="4"/>
  <c r="D64" i="4" s="1"/>
  <c r="F25" i="4"/>
  <c r="F24" i="4"/>
  <c r="F23" i="4"/>
  <c r="F22" i="4"/>
  <c r="E26" i="4"/>
  <c r="E25" i="4"/>
  <c r="E24" i="4"/>
  <c r="E23" i="4"/>
  <c r="E22" i="4"/>
  <c r="I36" i="4"/>
  <c r="I37" i="4"/>
  <c r="I38" i="4"/>
  <c r="U48" i="4"/>
  <c r="T48" i="4"/>
  <c r="R48" i="4"/>
  <c r="Q48" i="4"/>
  <c r="P48" i="4"/>
  <c r="U47" i="4"/>
  <c r="T47" i="4"/>
  <c r="S47" i="4"/>
  <c r="R47" i="4"/>
  <c r="Q47" i="4"/>
  <c r="P47" i="4"/>
  <c r="U46" i="4"/>
  <c r="T46" i="4"/>
  <c r="R46" i="4"/>
  <c r="Q46" i="4"/>
  <c r="P46" i="4"/>
  <c r="U45" i="4"/>
  <c r="T45" i="4"/>
  <c r="R45" i="4"/>
  <c r="Q45" i="4"/>
  <c r="P45" i="4"/>
  <c r="U44" i="4"/>
  <c r="T44" i="4"/>
  <c r="R44" i="4"/>
  <c r="Q44" i="4"/>
  <c r="P44" i="4"/>
  <c r="U42" i="4"/>
  <c r="T42" i="4"/>
  <c r="R42" i="4"/>
  <c r="Q42" i="4"/>
  <c r="P42" i="4"/>
  <c r="U41" i="4"/>
  <c r="T41" i="4"/>
  <c r="R41" i="4"/>
  <c r="Q41" i="4"/>
  <c r="P41" i="4"/>
  <c r="U40" i="4"/>
  <c r="T40" i="4"/>
  <c r="R40" i="4"/>
  <c r="Q40" i="4"/>
  <c r="P40" i="4"/>
  <c r="U39" i="4"/>
  <c r="T39" i="4"/>
  <c r="R39" i="4"/>
  <c r="P39" i="4"/>
  <c r="U38" i="4"/>
  <c r="T38" i="4"/>
  <c r="R38" i="4"/>
  <c r="Q38" i="4"/>
  <c r="P38" i="4"/>
  <c r="U36" i="4"/>
  <c r="T36" i="4"/>
  <c r="R36" i="4"/>
  <c r="Q36" i="4"/>
  <c r="P36" i="4"/>
  <c r="U35" i="4"/>
  <c r="T35" i="4"/>
  <c r="R35" i="4"/>
  <c r="Q35" i="4"/>
  <c r="P35" i="4"/>
  <c r="U34" i="4"/>
  <c r="T34" i="4"/>
  <c r="R34" i="4"/>
  <c r="Q34" i="4"/>
  <c r="P34" i="4"/>
  <c r="U33" i="4"/>
  <c r="T33" i="4"/>
  <c r="R33" i="4"/>
  <c r="Q33" i="4"/>
  <c r="P33" i="4"/>
  <c r="U32" i="4"/>
  <c r="T32" i="4"/>
  <c r="R32" i="4"/>
  <c r="Q32" i="4"/>
  <c r="P32" i="4"/>
  <c r="N48" i="4"/>
  <c r="N47" i="4"/>
  <c r="N46" i="4"/>
  <c r="N45" i="4"/>
  <c r="N44" i="4"/>
  <c r="N42" i="4"/>
  <c r="N41" i="4"/>
  <c r="N40" i="4"/>
  <c r="N39" i="4"/>
  <c r="N38" i="4"/>
  <c r="N36" i="4"/>
  <c r="N35" i="4"/>
  <c r="N34" i="4"/>
  <c r="N33" i="4"/>
  <c r="N32" i="4"/>
  <c r="E76" i="4"/>
  <c r="E75" i="4"/>
  <c r="F76" i="4"/>
  <c r="F75" i="4"/>
  <c r="G75" i="4"/>
  <c r="G74" i="4"/>
  <c r="F74" i="4"/>
  <c r="E74" i="4"/>
  <c r="D74" i="4"/>
  <c r="D75" i="4"/>
  <c r="D76" i="4"/>
  <c r="E67" i="4"/>
  <c r="D59" i="4"/>
  <c r="G26" i="4"/>
  <c r="G25" i="4"/>
  <c r="G24" i="4"/>
  <c r="G23" i="4"/>
  <c r="G22" i="4"/>
  <c r="D68" i="4" s="1"/>
  <c r="G20" i="4"/>
  <c r="F67" i="4" s="1"/>
  <c r="E20" i="4"/>
  <c r="G19" i="4"/>
  <c r="E19" i="4"/>
  <c r="G18" i="4"/>
  <c r="E18" i="4"/>
  <c r="G17" i="4"/>
  <c r="E17" i="4"/>
  <c r="G16" i="4"/>
  <c r="G67" i="4" s="1"/>
  <c r="E16" i="4"/>
  <c r="E59" i="4" s="1"/>
  <c r="G14" i="4"/>
  <c r="E14" i="4"/>
  <c r="G13" i="4"/>
  <c r="E13" i="4"/>
  <c r="G12" i="4"/>
  <c r="E12" i="4"/>
  <c r="G11" i="4"/>
  <c r="E11" i="4"/>
  <c r="G10" i="4"/>
  <c r="E66" i="4" s="1"/>
  <c r="E10" i="4"/>
  <c r="F58" i="4" s="1"/>
  <c r="Q26" i="4"/>
  <c r="P26" i="4"/>
  <c r="N26" i="4"/>
  <c r="E72" i="4" s="1"/>
  <c r="M26" i="4"/>
  <c r="L26" i="4"/>
  <c r="Q25" i="4"/>
  <c r="P25" i="4"/>
  <c r="O25" i="4"/>
  <c r="G76" i="4" s="1"/>
  <c r="N25" i="4"/>
  <c r="M25" i="4"/>
  <c r="L25" i="4"/>
  <c r="Q24" i="4"/>
  <c r="P24" i="4"/>
  <c r="N24" i="4"/>
  <c r="M24" i="4"/>
  <c r="L24" i="4"/>
  <c r="Q23" i="4"/>
  <c r="P23" i="4"/>
  <c r="N23" i="4"/>
  <c r="M23" i="4"/>
  <c r="L23" i="4"/>
  <c r="Q22" i="4"/>
  <c r="P22" i="4"/>
  <c r="N22" i="4"/>
  <c r="G72" i="4" s="1"/>
  <c r="M22" i="4"/>
  <c r="L22" i="4"/>
  <c r="Q20" i="4"/>
  <c r="P20" i="4"/>
  <c r="Q19" i="4"/>
  <c r="P19" i="4"/>
  <c r="Q18" i="4"/>
  <c r="P18" i="4"/>
  <c r="Q17" i="4"/>
  <c r="P17" i="4"/>
  <c r="Q16" i="4"/>
  <c r="P16" i="4"/>
  <c r="N20" i="4"/>
  <c r="N19" i="4"/>
  <c r="N18" i="4"/>
  <c r="N17" i="4"/>
  <c r="E71" i="4" s="1"/>
  <c r="N16" i="4"/>
  <c r="F71" i="4" s="1"/>
  <c r="M20" i="4"/>
  <c r="M19" i="4"/>
  <c r="M18" i="4"/>
  <c r="M16" i="4"/>
  <c r="L20" i="4"/>
  <c r="L19" i="4"/>
  <c r="L18" i="4"/>
  <c r="L17" i="4"/>
  <c r="L16" i="4"/>
  <c r="G63" i="4" s="1"/>
  <c r="Q14" i="4"/>
  <c r="Q13" i="4"/>
  <c r="Q12" i="4"/>
  <c r="Q11" i="4"/>
  <c r="Q10" i="4"/>
  <c r="P14" i="4"/>
  <c r="P13" i="4"/>
  <c r="P12" i="4"/>
  <c r="P11" i="4"/>
  <c r="P10" i="4"/>
  <c r="N14" i="4"/>
  <c r="N13" i="4"/>
  <c r="N12" i="4"/>
  <c r="N11" i="4"/>
  <c r="N10" i="4"/>
  <c r="D70" i="4" s="1"/>
  <c r="M10" i="4"/>
  <c r="M11" i="4"/>
  <c r="M12" i="4"/>
  <c r="M13" i="4"/>
  <c r="M14" i="4"/>
  <c r="L14" i="4"/>
  <c r="L13" i="4"/>
  <c r="L12" i="4"/>
  <c r="L11" i="4"/>
  <c r="L10" i="4"/>
  <c r="E45" i="5" l="1"/>
  <c r="H45" i="5" s="1"/>
  <c r="E21" i="5"/>
  <c r="E46" i="5"/>
  <c r="H46" i="5" s="1"/>
  <c r="E17" i="5"/>
  <c r="E15" i="5"/>
  <c r="E40" i="5"/>
  <c r="H40" i="5" s="1"/>
  <c r="E28" i="5"/>
  <c r="G29" i="5"/>
  <c r="G22" i="5"/>
  <c r="E49" i="5"/>
  <c r="H49" i="5" s="1"/>
  <c r="E36" i="5"/>
  <c r="H36" i="5" s="1"/>
  <c r="G28" i="5"/>
  <c r="E25" i="5"/>
  <c r="G21" i="5"/>
  <c r="G19" i="5"/>
  <c r="E14" i="5"/>
  <c r="E27" i="5"/>
  <c r="H22" i="5"/>
  <c r="E20" i="5"/>
  <c r="H20" i="5" s="1"/>
  <c r="E26" i="5"/>
  <c r="H26" i="5" s="1"/>
  <c r="H21" i="5"/>
  <c r="H19" i="5"/>
  <c r="H25" i="5"/>
  <c r="G23" i="5"/>
  <c r="E13" i="5"/>
  <c r="H13" i="5" s="1"/>
  <c r="F21" i="5"/>
  <c r="F13" i="5"/>
  <c r="F22" i="5"/>
  <c r="H14" i="5"/>
  <c r="H27" i="5"/>
  <c r="H17" i="5"/>
  <c r="H15" i="5"/>
  <c r="H28" i="5"/>
  <c r="D58" i="4"/>
  <c r="G58" i="4"/>
  <c r="F72" i="4"/>
  <c r="E63" i="4"/>
  <c r="F63" i="4"/>
  <c r="G70" i="4"/>
  <c r="F70" i="4"/>
  <c r="G60" i="4"/>
  <c r="G68" i="4"/>
  <c r="F68" i="4"/>
  <c r="G59" i="4"/>
  <c r="F59" i="4"/>
  <c r="E68" i="4"/>
  <c r="D71" i="4"/>
  <c r="E70" i="4"/>
  <c r="F64" i="4"/>
  <c r="D72" i="4"/>
  <c r="E64" i="4"/>
  <c r="G64" i="4"/>
  <c r="E58" i="4"/>
  <c r="D67" i="4"/>
  <c r="G71" i="4"/>
  <c r="D66" i="4"/>
  <c r="G66" i="4"/>
  <c r="F66" i="4"/>
  <c r="D62" i="4"/>
  <c r="D63" i="4"/>
  <c r="E60" i="4"/>
  <c r="D60" i="4"/>
  <c r="F60" i="4"/>
  <c r="F62" i="4"/>
  <c r="E62" i="4"/>
  <c r="G62" i="4"/>
</calcChain>
</file>

<file path=xl/sharedStrings.xml><?xml version="1.0" encoding="utf-8"?>
<sst xmlns="http://schemas.openxmlformats.org/spreadsheetml/2006/main" count="284" uniqueCount="194">
  <si>
    <t>Receive messages from an input queue</t>
  </si>
  <si>
    <t>Retrieve data from a 'data pod'</t>
  </si>
  <si>
    <t>Support querying  MySQL and CSV files</t>
  </si>
  <si>
    <t>Query Service</t>
  </si>
  <si>
    <t>Make use of side-car pattern for RabbitMQ connectivity</t>
  </si>
  <si>
    <t>To query CSV files data should be loaded into SQLite</t>
  </si>
  <si>
    <t>This loading should only be done if the data changed (hash comparison)</t>
  </si>
  <si>
    <t>Send query result to next Microservice</t>
  </si>
  <si>
    <t>Proper error handling</t>
  </si>
  <si>
    <t>Original user request should be enriched with next MS destinations</t>
  </si>
  <si>
    <t>Requirement:</t>
  </si>
  <si>
    <t>Specification</t>
  </si>
  <si>
    <t>General requirements</t>
  </si>
  <si>
    <t>Implement proper logging, forwarded to a dashboard</t>
  </si>
  <si>
    <t>Make use of side-car pattern for logging</t>
  </si>
  <si>
    <t>Implement distirbuted tracing</t>
  </si>
  <si>
    <t>Install Istio in the Kubernetes cluster</t>
  </si>
  <si>
    <t>Breaking errors are thrown to side-car to handle being returned to user. Computation stops</t>
  </si>
  <si>
    <t>Anonymize Service</t>
  </si>
  <si>
    <t>Nice to have: Caching of sql results</t>
  </si>
  <si>
    <t>Create a datastore where datasets are matched to query type</t>
  </si>
  <si>
    <t>Identify columns that need anonymization</t>
  </si>
  <si>
    <t>Information should be stored as metadata with the dataset</t>
  </si>
  <si>
    <t>Recognize a type of anonymizing (Generalization, Masking or Perturbation)</t>
  </si>
  <si>
    <t>Do anonymizing</t>
  </si>
  <si>
    <t>Create anonymization functions generalized for different types of data (strings, dates etc.)</t>
  </si>
  <si>
    <t>Create generic functions that can calculate average and sum and others</t>
  </si>
  <si>
    <t>Perform calculations on SQL results</t>
  </si>
  <si>
    <t>Recognize what to calculate from message input</t>
  </si>
  <si>
    <t xml:space="preserve">Generalize for different types of datasets </t>
  </si>
  <si>
    <t>Graph service:</t>
  </si>
  <si>
    <t>Convert data to graphs</t>
  </si>
  <si>
    <t>Graph type based on input</t>
  </si>
  <si>
    <t>Convert the charts to PNG</t>
  </si>
  <si>
    <t>Policy Enforcer</t>
  </si>
  <si>
    <t>Check if "providers" in request match users policy agreements</t>
  </si>
  <si>
    <t>Generate access and refresh token for providers (mocked)</t>
  </si>
  <si>
    <t>Send archetype data matched to users request to Orchestrator</t>
  </si>
  <si>
    <t>Check if those "providers" are online and accepting requests</t>
  </si>
  <si>
    <t>Add endpoints/queues for the user to send data-requests to</t>
  </si>
  <si>
    <t>Accept message ``RequestApproval"</t>
  </si>
  <si>
    <t>Return message ``AcceptedDataRequest"</t>
  </si>
  <si>
    <t>Send message ``OrchestratorRequest"</t>
  </si>
  <si>
    <t>Orchestrator:</t>
  </si>
  <si>
    <t>Send message ``CompositionRequest"</t>
  </si>
  <si>
    <t>Allow admin to upload new archetypes</t>
  </si>
  <si>
    <t>Allow admin to send a ``NewArchetype request"</t>
  </si>
  <si>
    <t>Distributed Agent</t>
  </si>
  <si>
    <t>Create datastore to capture metadata on known microservices</t>
  </si>
  <si>
    <t>Create Kubernetes adapter to parse and store Kubernetes deployment files</t>
  </si>
  <si>
    <t>Nice to have/investigate: Create Docker Swarm adapter to parse and store Docker Swarm stack files</t>
  </si>
  <si>
    <t>Create API endpoint, to create new Microservice schema through an API call</t>
  </si>
  <si>
    <t>Create Microservice compositions</t>
  </si>
  <si>
    <t>Read from existing datastore to parse Microservice specifications</t>
  </si>
  <si>
    <t>Send archetype and microservice configuration to Distributed agents</t>
  </si>
  <si>
    <t>Map user to metadata</t>
  </si>
  <si>
    <t>Add queue route to users message</t>
  </si>
  <si>
    <t>Check whether user's ms configuration is deployed and ready to serve</t>
  </si>
  <si>
    <t>Store incoming messages temporarily if MS composition is not yet ready</t>
  </si>
  <si>
    <t>Either a delayed message queue or a database like solution</t>
  </si>
  <si>
    <t>An insertMicroservice algorithm</t>
  </si>
  <si>
    <t>Required microservices need to be inserted into standard ms flows</t>
  </si>
  <si>
    <t>Handle queue not existing on message sent</t>
  </si>
  <si>
    <t>Set up consumer of dead-letter-queue. Analyze whether the architecture is being created or that there really is some error</t>
  </si>
  <si>
    <t>Generate a unique name based on the given job name</t>
  </si>
  <si>
    <t>X</t>
  </si>
  <si>
    <t>X </t>
  </si>
  <si>
    <t>Register composition request for later use</t>
  </si>
  <si>
    <t>Create a queue with that unique name, as input for the jobs</t>
  </si>
  <si>
    <t>Wait for incoming HTTP data requests from the data analyst</t>
  </si>
  <si>
    <t>Generate microservice chain and deploy job</t>
  </si>
  <si>
    <t>1: Composition request</t>
  </si>
  <si>
    <t>Data steward (Role: DataProvider)</t>
  </si>
  <si>
    <t>Third party (Role: ComputerProvider)</t>
  </si>
  <si>
    <t>Wait for incoming request from third party</t>
  </si>
  <si>
    <t>2: Data Request</t>
  </si>
  <si>
    <t>Generate and deploy microservice chain, possibly including optional services from the HTTP request</t>
  </si>
  <si>
    <t>Forward request to other data stewards</t>
  </si>
  <si>
    <t>Wait for results</t>
  </si>
  <si>
    <t>Put the request into the queue for this job</t>
  </si>
  <si>
    <t>3: Results</t>
  </si>
  <si>
    <t>Send result to ComputeProvider</t>
  </si>
  <si>
    <t>After processing, return results to data analyst</t>
  </si>
  <si>
    <t>Limit</t>
  </si>
  <si>
    <t>JSON bytes</t>
  </si>
  <si>
    <t>proto-wire format</t>
  </si>
  <si>
    <t>disk (bytes)</t>
  </si>
  <si>
    <t>Seconds to write to file</t>
  </si>
  <si>
    <t>0.055</t>
  </si>
  <si>
    <t>0.117</t>
  </si>
  <si>
    <t>0.168</t>
  </si>
  <si>
    <t>6.77</t>
  </si>
  <si>
    <t>TraceID DataThroughTtp</t>
  </si>
  <si>
    <t>TraceID ComputeToData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</si>
  <si>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</si>
  <si>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</si>
  <si>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</si>
  <si>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</si>
  <si>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</si>
  <si>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</si>
  <si>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</si>
  <si>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</si>
  <si>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</si>
  <si>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Compute to data</t>
  </si>
  <si>
    <t>671b13bd98f809825dc37030fa95903f</t>
  </si>
  <si>
    <t>4.49</t>
  </si>
  <si>
    <t>Data through a trusted third party</t>
  </si>
  <si>
    <t>c8da236bd443a1a4837744b37f8239d8</t>
  </si>
  <si>
    <t>4.41</t>
  </si>
  <si>
    <t>397fa67094492151620db74873ce64e9</t>
  </si>
  <si>
    <t>4.9</t>
  </si>
  <si>
    <t>8080d41bbd78431993f023220c4ec912</t>
  </si>
  <si>
    <t>4.58</t>
  </si>
  <si>
    <t>a792aeb2d0f5ba7cbc4f452d98a74607</t>
  </si>
  <si>
    <t>4.5</t>
  </si>
  <si>
    <t>f4e494e3a7607fcee24b4e29d7c26eb3</t>
  </si>
  <si>
    <t>5.45</t>
  </si>
  <si>
    <t>fb45bd6c7bc2eb420e483a207144f227</t>
  </si>
  <si>
    <t>728a3fa50bb27a80c109f0b66e2730c5</t>
  </si>
  <si>
    <t>6.09</t>
  </si>
  <si>
    <t>981def94b6abf804d5b92b03a5b5eab3</t>
  </si>
  <si>
    <t>5.95</t>
  </si>
  <si>
    <t>999c62f1951388f4e1aec67b0f19d23f</t>
  </si>
  <si>
    <t>6.01</t>
  </si>
  <si>
    <t>9117661af5e0d2e6682a926fc40c79d6</t>
  </si>
  <si>
    <t>7.82</t>
  </si>
  <si>
    <t>5ee3f6aa83282c996e7e61ca4a5c8da0</t>
  </si>
  <si>
    <t>8.08</t>
  </si>
  <si>
    <t>c7bb8be8cb5c585b27de791211148a52</t>
  </si>
  <si>
    <t>8.06</t>
  </si>
  <si>
    <t>3ff6b1cc4294cfba7c2a2a06ab995cdd</t>
  </si>
  <si>
    <t>8.22</t>
  </si>
  <si>
    <t>4bfc4fe9a001ca2b2a5baec9e6a40fb9</t>
  </si>
  <si>
    <t>8.01</t>
  </si>
  <si>
    <t>4433b19eced5d4739439989288f15f0a</t>
  </si>
  <si>
    <t>3.31</t>
  </si>
  <si>
    <t>cf582a7c1445d40e4815756699f00cef</t>
  </si>
  <si>
    <t>3.43</t>
  </si>
  <si>
    <t>24f5181f8b604a0b328a45a8346ed422</t>
  </si>
  <si>
    <t>3.51</t>
  </si>
  <si>
    <t>3d5de56aee170d75e636a491b2a9d4b0</t>
  </si>
  <si>
    <t>4.12</t>
  </si>
  <si>
    <t>9f8442162985c967d47d4a64f1c8be4a</t>
  </si>
  <si>
    <t>4.3</t>
  </si>
  <si>
    <t>555c7732b118ddae6487c0f7335a3811</t>
  </si>
  <si>
    <t>b7be3ebf9b59c78da1e7465bde376bf0</t>
  </si>
  <si>
    <t>5.08</t>
  </si>
  <si>
    <t>7df306ae8e6ad503b66475c5fcae312e</t>
  </si>
  <si>
    <t>4.85</t>
  </si>
  <si>
    <t>51aee5c2f10794e0c00f9a9affc36be2</t>
  </si>
  <si>
    <t>4.69</t>
  </si>
  <si>
    <t>1f5cf3101001ec2958d87157de9ff05e</t>
  </si>
  <si>
    <t>6.47</t>
  </si>
  <si>
    <t>9b5a3a699733e5cf9fc9ce610030ae3e</t>
  </si>
  <si>
    <t>988b82a173043c9fb255ef6836a13da4</t>
  </si>
  <si>
    <t>f7be89afcdc3892b2bd2e65d5ea0edcb</t>
  </si>
  <si>
    <t>5.59</t>
  </si>
  <si>
    <t>938ef240abfc392dc6ce906e84570887</t>
  </si>
  <si>
    <t>5.89</t>
  </si>
  <si>
    <t>61a026f82c5fd6fbcc2a1672aca7aa15</t>
  </si>
  <si>
    <t>4.74</t>
  </si>
  <si>
    <t>Latency</t>
  </si>
  <si>
    <t>Avg</t>
  </si>
  <si>
    <t>Min</t>
  </si>
  <si>
    <t>Max</t>
  </si>
  <si>
    <t>STDEV</t>
  </si>
  <si>
    <t>MP2, MP4, MP8</t>
  </si>
  <si>
    <t>MP3, MP5, MP9</t>
  </si>
  <si>
    <t>Measuring points</t>
  </si>
  <si>
    <t>Transfer speed MB/s</t>
  </si>
  <si>
    <t>Avg. gRPC transfer speed</t>
  </si>
  <si>
    <t>Vs. Just gRPC</t>
  </si>
  <si>
    <t>Startup time</t>
  </si>
  <si>
    <t>Transfer times</t>
  </si>
  <si>
    <t>Total processing time</t>
  </si>
  <si>
    <t>Other</t>
  </si>
  <si>
    <t xml:space="preserve">Startup time: </t>
  </si>
  <si>
    <t>Starttime query - starttime sendMicroservicComm</t>
  </si>
  <si>
    <t>Load and query csv + dataframe_to_protobuf + handleSqldatarequest</t>
  </si>
  <si>
    <t>Latency - (Startup + processing time)</t>
  </si>
  <si>
    <t>Startup</t>
  </si>
  <si>
    <t>ProcessingTime</t>
  </si>
  <si>
    <t>TransferTime</t>
  </si>
  <si>
    <t>TransferTimes</t>
  </si>
  <si>
    <t>TotalProcessingTime</t>
  </si>
  <si>
    <t>StartupTime</t>
  </si>
  <si>
    <t>Average</t>
  </si>
  <si>
    <t>min</t>
  </si>
  <si>
    <t>max</t>
  </si>
  <si>
    <t>Total Processing Time:</t>
  </si>
  <si>
    <t>STD</t>
  </si>
  <si>
    <t>ComputToData TransferTime:</t>
  </si>
  <si>
    <t>DataThroughTtp TransfertIme:</t>
  </si>
  <si>
    <t>Total StartupTime: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</si>
</sst>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4"/>
      <color rgb="FF24292E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7" fillId="0" borderId="0" xfId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0" xfId="0"/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9" fillId="2" borderId="0" xfId="2" applyAlignment="1">
      <alignment horizontal="center"/>
    </xf>
    <xf numFmtId="0" fontId="9" fillId="2" borderId="4" xfId="2" applyBorder="1" applyAlignment="1">
      <alignment horizontal="center"/>
    </xf>
    <xf numFmtId="0" fontId="11" fillId="4" borderId="0" xfId="4" applyAlignment="1">
      <alignment horizontal="center"/>
    </xf>
    <xf numFmtId="1" fontId="0" fillId="0" borderId="0" xfId="0" applyNumberFormat="1"/>
    <xf numFmtId="0" fontId="10" fillId="3" borderId="9" xfId="3" applyBorder="1"/>
    <xf numFmtId="0" fontId="10" fillId="3" borderId="0" xfId="3"/>
    <xf numFmtId="2" fontId="0" fillId="0" borderId="0" xfId="0" applyNumberFormat="1"/>
    <xf numFmtId="3" fontId="0" fillId="0" borderId="0" xfId="0" applyNumberFormat="1"/>
    <xf numFmtId="10" fontId="0" fillId="0" borderId="0" xfId="0" applyNumberFormat="1"/>
    <xf numFmtId="0" fontId="12" fillId="0" borderId="0" xfId="0" applyFont="1"/>
    <xf numFmtId="2" fontId="0" fillId="0" borderId="0" xfId="0" applyNumberFormat="1" applyAlignment="1">
      <alignment horizontal="right"/>
    </xf>
    <xf numFmtId="0" fontId="6" fillId="0" borderId="0" xfId="0" applyFont="1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728a3fa50bb27a80c109f0b66e2730c5%22%7D%5D%7D" TargetMode="External"/><Relationship Id="rId13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c7bb8be8cb5c585b27de791211148a52%22%7D%5D%7D" TargetMode="External"/><Relationship Id="rId1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3d5de56aee170d75e636a491b2a9d4b0%22%7D%5D%7D" TargetMode="External"/><Relationship Id="rId2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88b82a173043c9fb255ef6836a13da4%22%7D%5D%7D" TargetMode="External"/><Relationship Id="rId3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397fa67094492151620db74873ce64e9%22%7D%5D%7D" TargetMode="External"/><Relationship Id="rId21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b7be3ebf9b59c78da1e7465bde376bf0%22%7D%5D%7D" TargetMode="External"/><Relationship Id="rId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b45bd6c7bc2eb420e483a207144f227%22%7D%5D%7D" TargetMode="External"/><Relationship Id="rId12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ee3f6aa83282c996e7e61ca4a5c8da0%22%7D%5D%7D" TargetMode="External"/><Relationship Id="rId1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cf582a7c1445d40e4815756699f00cef%22%7D%5D%7D" TargetMode="External"/><Relationship Id="rId25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b5a3a699733e5cf9fc9ce610030ae3e%22%7D%5D%7D" TargetMode="External"/><Relationship Id="rId2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c8da236bd443a1a4837744b37f8239d8%22%7D%5D%7D" TargetMode="External"/><Relationship Id="rId1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4433b19eced5d4739439989288f15f0a%22%7D%5D%7D" TargetMode="External"/><Relationship Id="rId20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55c7732b118ddae6487c0f7335a3811%22%7D%5D%7D" TargetMode="External"/><Relationship Id="rId1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671b13bd98f809825dc37030fa95903f%22%7D%5D%7D" TargetMode="External"/><Relationship Id="rId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4e494e3a7607fcee24b4e29d7c26eb3%22%7D%5D%7D" TargetMode="External"/><Relationship Id="rId11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117661af5e0d2e6682a926fc40c79d6%22%7D%5D%7D" TargetMode="External"/><Relationship Id="rId24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1f5cf3101001ec2958d87157de9ff05e%22%7D%5D%7D" TargetMode="External"/><Relationship Id="rId5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a792aeb2d0f5ba7cbc4f452d98a74607%22%7D%5D%7D" TargetMode="External"/><Relationship Id="rId15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4bfc4fe9a001ca2b2a5baec9e6a40fb9%22%7D%5D%7D" TargetMode="External"/><Relationship Id="rId23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1aee5c2f10794e0c00f9a9affc36be2%22%7D%5D%7D" TargetMode="External"/><Relationship Id="rId2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38ef240abfc392dc6ce906e84570887%22%7D%5D%7D" TargetMode="External"/><Relationship Id="rId10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99c62f1951388f4e1aec67b0f19d23f%22%7D%5D%7D" TargetMode="External"/><Relationship Id="rId19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f8442162985c967d47d4a64f1c8be4a%22%7D%5D%7D" TargetMode="External"/><Relationship Id="rId4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8080d41bbd78431993f023220c4ec912%22%7D%5D%7D" TargetMode="External"/><Relationship Id="rId9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81def94b6abf804d5b92b03a5b5eab3%22%7D%5D%7D" TargetMode="External"/><Relationship Id="rId14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3ff6b1cc4294cfba7c2a2a06ab995cdd%22%7D%5D%7D" TargetMode="External"/><Relationship Id="rId22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7df306ae8e6ad503b66475c5fcae312e%22%7D%5D%7D" TargetMode="External"/><Relationship Id="rId2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7be89afcdc3892b2bd2e65d5ea0edcb%22%7D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03E5-5A9B-B045-91DD-31FCAE949AFA}">
  <dimension ref="A1:B37"/>
  <sheetViews>
    <sheetView workbookViewId="0">
      <selection activeCell="B9" sqref="B9"/>
    </sheetView>
  </sheetViews>
  <sheetFormatPr baseColWidth="10" defaultRowHeight="16" x14ac:dyDescent="0.2"/>
  <cols>
    <col min="1" max="1" width="58.33203125" bestFit="1" customWidth="1"/>
    <col min="2" max="2" width="61.1640625" bestFit="1" customWidth="1"/>
  </cols>
  <sheetData>
    <row r="1" spans="1:2" x14ac:dyDescent="0.2">
      <c r="A1" s="1" t="s">
        <v>12</v>
      </c>
    </row>
    <row r="2" spans="1:2" x14ac:dyDescent="0.2">
      <c r="A2" t="s">
        <v>10</v>
      </c>
      <c r="B2" s="1" t="s">
        <v>11</v>
      </c>
    </row>
    <row r="3" spans="1:2" x14ac:dyDescent="0.2">
      <c r="A3" t="s">
        <v>0</v>
      </c>
      <c r="B3" t="s">
        <v>4</v>
      </c>
    </row>
    <row r="4" spans="1:2" x14ac:dyDescent="0.2">
      <c r="A4" t="s">
        <v>13</v>
      </c>
      <c r="B4" t="s">
        <v>14</v>
      </c>
    </row>
    <row r="5" spans="1:2" x14ac:dyDescent="0.2">
      <c r="A5" t="s">
        <v>7</v>
      </c>
      <c r="B5" t="s">
        <v>9</v>
      </c>
    </row>
    <row r="6" spans="1:2" x14ac:dyDescent="0.2">
      <c r="A6" t="s">
        <v>8</v>
      </c>
      <c r="B6" t="s">
        <v>17</v>
      </c>
    </row>
    <row r="7" spans="1:2" x14ac:dyDescent="0.2">
      <c r="A7" t="s">
        <v>15</v>
      </c>
      <c r="B7" t="s">
        <v>16</v>
      </c>
    </row>
    <row r="8" spans="1:2" x14ac:dyDescent="0.2">
      <c r="A8" t="s">
        <v>62</v>
      </c>
      <c r="B8" t="s">
        <v>63</v>
      </c>
    </row>
    <row r="11" spans="1:2" x14ac:dyDescent="0.2">
      <c r="A11" s="1" t="s">
        <v>3</v>
      </c>
    </row>
    <row r="12" spans="1:2" x14ac:dyDescent="0.2">
      <c r="A12" t="s">
        <v>10</v>
      </c>
      <c r="B12" s="1" t="s">
        <v>11</v>
      </c>
    </row>
    <row r="13" spans="1:2" x14ac:dyDescent="0.2">
      <c r="A13" t="s">
        <v>1</v>
      </c>
      <c r="B13" t="s">
        <v>2</v>
      </c>
    </row>
    <row r="14" spans="1:2" x14ac:dyDescent="0.2">
      <c r="B14" t="s">
        <v>5</v>
      </c>
    </row>
    <row r="15" spans="1:2" x14ac:dyDescent="0.2">
      <c r="B15" t="s">
        <v>6</v>
      </c>
    </row>
    <row r="16" spans="1:2" x14ac:dyDescent="0.2">
      <c r="B16" t="s">
        <v>20</v>
      </c>
    </row>
    <row r="17" spans="1:2" x14ac:dyDescent="0.2">
      <c r="A17" t="s">
        <v>19</v>
      </c>
      <c r="B17" s="2"/>
    </row>
    <row r="18" spans="1:2" x14ac:dyDescent="0.2">
      <c r="B18" s="2"/>
    </row>
    <row r="20" spans="1:2" x14ac:dyDescent="0.2">
      <c r="A20" s="1" t="s">
        <v>18</v>
      </c>
    </row>
    <row r="21" spans="1:2" x14ac:dyDescent="0.2">
      <c r="A21" t="s">
        <v>10</v>
      </c>
      <c r="B21" s="1" t="s">
        <v>11</v>
      </c>
    </row>
    <row r="22" spans="1:2" x14ac:dyDescent="0.2">
      <c r="A22" t="s">
        <v>21</v>
      </c>
      <c r="B22" t="s">
        <v>22</v>
      </c>
    </row>
    <row r="23" spans="1:2" x14ac:dyDescent="0.2">
      <c r="A23" s="3" t="s">
        <v>23</v>
      </c>
      <c r="B23" t="s">
        <v>22</v>
      </c>
    </row>
    <row r="24" spans="1:2" x14ac:dyDescent="0.2">
      <c r="A24" t="s">
        <v>24</v>
      </c>
      <c r="B24" t="s">
        <v>25</v>
      </c>
    </row>
    <row r="27" spans="1:2" x14ac:dyDescent="0.2">
      <c r="A27" s="1" t="s">
        <v>18</v>
      </c>
    </row>
    <row r="28" spans="1:2" x14ac:dyDescent="0.2">
      <c r="A28" t="s">
        <v>10</v>
      </c>
      <c r="B28" s="1" t="s">
        <v>11</v>
      </c>
    </row>
    <row r="29" spans="1:2" x14ac:dyDescent="0.2">
      <c r="A29" t="s">
        <v>27</v>
      </c>
      <c r="B29" t="s">
        <v>26</v>
      </c>
    </row>
    <row r="30" spans="1:2" x14ac:dyDescent="0.2">
      <c r="B30" t="s">
        <v>28</v>
      </c>
    </row>
    <row r="31" spans="1:2" x14ac:dyDescent="0.2">
      <c r="B31" t="s">
        <v>29</v>
      </c>
    </row>
    <row r="34" spans="1:2" x14ac:dyDescent="0.2">
      <c r="A34" t="s">
        <v>30</v>
      </c>
    </row>
    <row r="35" spans="1:2" x14ac:dyDescent="0.2">
      <c r="A35" t="s">
        <v>10</v>
      </c>
      <c r="B35" s="1" t="s">
        <v>11</v>
      </c>
    </row>
    <row r="36" spans="1:2" x14ac:dyDescent="0.2">
      <c r="A36" t="s">
        <v>31</v>
      </c>
      <c r="B36" s="1" t="s">
        <v>32</v>
      </c>
    </row>
    <row r="37" spans="1:2" x14ac:dyDescent="0.2">
      <c r="A3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F638-91F0-0947-A05F-FF90DFB48E58}">
  <dimension ref="A1:C19"/>
  <sheetViews>
    <sheetView workbookViewId="0">
      <selection activeCell="D22" sqref="D22"/>
    </sheetView>
  </sheetViews>
  <sheetFormatPr baseColWidth="10" defaultRowHeight="16" x14ac:dyDescent="0.2"/>
  <cols>
    <col min="1" max="1" width="51" bestFit="1" customWidth="1"/>
    <col min="2" max="2" width="29.33203125" bestFit="1" customWidth="1"/>
  </cols>
  <sheetData>
    <row r="1" spans="1:3" x14ac:dyDescent="0.2">
      <c r="A1" s="4"/>
      <c r="B1" s="5" t="s">
        <v>72</v>
      </c>
      <c r="C1" s="5" t="s">
        <v>73</v>
      </c>
    </row>
    <row r="2" spans="1:3" x14ac:dyDescent="0.2">
      <c r="A2" s="17" t="s">
        <v>71</v>
      </c>
      <c r="B2" s="18"/>
      <c r="C2" s="18"/>
    </row>
    <row r="3" spans="1:3" x14ac:dyDescent="0.2">
      <c r="A3" s="5" t="s">
        <v>64</v>
      </c>
      <c r="B3" s="6" t="s">
        <v>65</v>
      </c>
      <c r="C3" s="6" t="s">
        <v>66</v>
      </c>
    </row>
    <row r="4" spans="1:3" x14ac:dyDescent="0.2">
      <c r="A4" s="5" t="s">
        <v>67</v>
      </c>
      <c r="B4" s="6" t="s">
        <v>66</v>
      </c>
      <c r="C4" s="6" t="s">
        <v>66</v>
      </c>
    </row>
    <row r="5" spans="1:3" x14ac:dyDescent="0.2">
      <c r="A5" s="5" t="s">
        <v>68</v>
      </c>
      <c r="B5" s="6" t="s">
        <v>65</v>
      </c>
      <c r="C5" s="6" t="s">
        <v>65</v>
      </c>
    </row>
    <row r="6" spans="1:3" x14ac:dyDescent="0.2">
      <c r="A6" s="5" t="s">
        <v>69</v>
      </c>
      <c r="B6" s="4"/>
      <c r="C6" s="6" t="s">
        <v>65</v>
      </c>
    </row>
    <row r="7" spans="1:3" x14ac:dyDescent="0.2">
      <c r="A7" s="5" t="s">
        <v>70</v>
      </c>
      <c r="B7" s="6" t="s">
        <v>65</v>
      </c>
      <c r="C7" s="4"/>
    </row>
    <row r="8" spans="1:3" x14ac:dyDescent="0.2">
      <c r="A8" s="5" t="s">
        <v>74</v>
      </c>
    </row>
    <row r="10" spans="1:3" x14ac:dyDescent="0.2">
      <c r="A10" s="5" t="s">
        <v>75</v>
      </c>
    </row>
    <row r="11" spans="1:3" x14ac:dyDescent="0.2">
      <c r="A11" t="s">
        <v>76</v>
      </c>
      <c r="C11" t="s">
        <v>65</v>
      </c>
    </row>
    <row r="12" spans="1:3" x14ac:dyDescent="0.2">
      <c r="A12" s="5" t="s">
        <v>77</v>
      </c>
      <c r="C12" t="s">
        <v>65</v>
      </c>
    </row>
    <row r="13" spans="1:3" x14ac:dyDescent="0.2">
      <c r="A13" t="s">
        <v>78</v>
      </c>
      <c r="C13" t="s">
        <v>65</v>
      </c>
    </row>
    <row r="14" spans="1:3" x14ac:dyDescent="0.2">
      <c r="A14" t="s">
        <v>79</v>
      </c>
      <c r="B14" t="s">
        <v>65</v>
      </c>
    </row>
    <row r="16" spans="1:3" x14ac:dyDescent="0.2">
      <c r="A16" t="s">
        <v>80</v>
      </c>
    </row>
    <row r="17" spans="1:3" x14ac:dyDescent="0.2">
      <c r="A17" t="s">
        <v>81</v>
      </c>
      <c r="B17" t="s">
        <v>65</v>
      </c>
    </row>
    <row r="18" spans="1:3" x14ac:dyDescent="0.2">
      <c r="A18" t="s">
        <v>79</v>
      </c>
      <c r="C18" t="s">
        <v>65</v>
      </c>
    </row>
    <row r="19" spans="1:3" x14ac:dyDescent="0.2">
      <c r="A19" t="s">
        <v>82</v>
      </c>
      <c r="C19" t="s">
        <v>65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B4D8-EEB6-994D-9F38-3AD51C0357E5}">
  <dimension ref="B4:U76"/>
  <sheetViews>
    <sheetView workbookViewId="0">
      <selection activeCell="E23" sqref="E23"/>
    </sheetView>
  </sheetViews>
  <sheetFormatPr baseColWidth="10" defaultRowHeight="16" x14ac:dyDescent="0.2"/>
  <cols>
    <col min="2" max="2" width="32.1640625" bestFit="1" customWidth="1"/>
    <col min="4" max="4" width="16" bestFit="1" customWidth="1"/>
    <col min="5" max="6" width="16" customWidth="1"/>
    <col min="7" max="7" width="16" bestFit="1" customWidth="1"/>
    <col min="8" max="8" width="16" customWidth="1"/>
    <col min="9" max="9" width="33.33203125" bestFit="1" customWidth="1"/>
    <col min="10" max="10" width="33.33203125" customWidth="1"/>
    <col min="11" max="11" width="16" customWidth="1"/>
    <col min="12" max="12" width="10.6640625" bestFit="1" customWidth="1"/>
    <col min="14" max="14" width="25.6640625" customWidth="1"/>
    <col min="15" max="15" width="20.33203125" bestFit="1" customWidth="1"/>
    <col min="20" max="20" width="18.6640625" customWidth="1"/>
    <col min="21" max="22" width="19.6640625" customWidth="1"/>
    <col min="23" max="23" width="35" customWidth="1"/>
    <col min="24" max="24" width="35.1640625" bestFit="1" customWidth="1"/>
    <col min="25" max="25" width="36.33203125" bestFit="1" customWidth="1"/>
  </cols>
  <sheetData>
    <row r="4" spans="2:17" x14ac:dyDescent="0.2">
      <c r="I4" s="27"/>
      <c r="J4" s="27"/>
    </row>
    <row r="7" spans="2:17" x14ac:dyDescent="0.2">
      <c r="E7" s="28"/>
      <c r="F7" s="29"/>
      <c r="L7" s="29"/>
      <c r="O7" s="29"/>
      <c r="P7" s="29"/>
    </row>
    <row r="8" spans="2:17" x14ac:dyDescent="0.2">
      <c r="B8" s="7" t="s">
        <v>93</v>
      </c>
      <c r="D8" s="22" t="s">
        <v>103</v>
      </c>
      <c r="E8" s="23"/>
      <c r="F8" s="23"/>
      <c r="G8" s="23"/>
      <c r="K8" s="19" t="s">
        <v>106</v>
      </c>
      <c r="L8" s="20"/>
      <c r="M8" s="20"/>
      <c r="N8" s="20"/>
      <c r="O8" s="20"/>
      <c r="P8" s="20"/>
      <c r="Q8" s="21"/>
    </row>
    <row r="9" spans="2:17" x14ac:dyDescent="0.2">
      <c r="C9" s="7" t="s">
        <v>83</v>
      </c>
      <c r="D9" s="7" t="s">
        <v>161</v>
      </c>
      <c r="E9" s="7" t="s">
        <v>94</v>
      </c>
      <c r="F9" s="26" t="s">
        <v>95</v>
      </c>
      <c r="G9" s="24" t="s">
        <v>96</v>
      </c>
      <c r="H9" s="7"/>
      <c r="I9" s="7" t="s">
        <v>92</v>
      </c>
      <c r="J9" s="7" t="s">
        <v>83</v>
      </c>
      <c r="K9" s="11" t="s">
        <v>161</v>
      </c>
      <c r="L9" s="26" t="s">
        <v>97</v>
      </c>
      <c r="M9" s="24" t="s">
        <v>98</v>
      </c>
      <c r="N9" s="7" t="s">
        <v>99</v>
      </c>
      <c r="O9" s="7" t="s">
        <v>100</v>
      </c>
      <c r="P9" s="26" t="s">
        <v>101</v>
      </c>
      <c r="Q9" s="25" t="s">
        <v>102</v>
      </c>
    </row>
    <row r="10" spans="2:17" x14ac:dyDescent="0.2">
      <c r="B10" s="10" t="s">
        <v>134</v>
      </c>
      <c r="C10" s="8">
        <v>10000</v>
      </c>
      <c r="D10" s="8" t="s">
        <v>135</v>
      </c>
      <c r="E10" s="8">
        <f>16032-15917</f>
        <v>115</v>
      </c>
      <c r="F10">
        <f>27734-27635</f>
        <v>99</v>
      </c>
      <c r="G10">
        <f>16316-16159</f>
        <v>157</v>
      </c>
      <c r="I10" s="10" t="s">
        <v>104</v>
      </c>
      <c r="J10" s="8">
        <v>10000</v>
      </c>
      <c r="K10" s="12" t="s">
        <v>105</v>
      </c>
      <c r="L10">
        <f>322-238</f>
        <v>84</v>
      </c>
      <c r="M10">
        <f>759-609</f>
        <v>150</v>
      </c>
      <c r="N10">
        <f>1071-848</f>
        <v>223</v>
      </c>
      <c r="O10">
        <v>98</v>
      </c>
      <c r="P10">
        <f>994-870</f>
        <v>124</v>
      </c>
      <c r="Q10">
        <f>1124-994</f>
        <v>130</v>
      </c>
    </row>
    <row r="11" spans="2:17" x14ac:dyDescent="0.2">
      <c r="B11" s="10" t="s">
        <v>136</v>
      </c>
      <c r="C11" s="8">
        <v>10000</v>
      </c>
      <c r="D11" s="8" t="s">
        <v>137</v>
      </c>
      <c r="E11" s="8">
        <f>33806-33710</f>
        <v>96</v>
      </c>
      <c r="F11">
        <f>33773-33659</f>
        <v>114</v>
      </c>
      <c r="G11">
        <f>34096-33936</f>
        <v>160</v>
      </c>
      <c r="I11" s="10" t="s">
        <v>107</v>
      </c>
      <c r="J11" s="8">
        <v>10000</v>
      </c>
      <c r="K11" s="12" t="s">
        <v>108</v>
      </c>
      <c r="L11">
        <f>322-238</f>
        <v>84</v>
      </c>
      <c r="M11">
        <f>508-345</f>
        <v>163</v>
      </c>
      <c r="N11">
        <f>858-605</f>
        <v>253</v>
      </c>
      <c r="O11">
        <v>96</v>
      </c>
      <c r="P11">
        <f>388-291</f>
        <v>97</v>
      </c>
      <c r="Q11">
        <f>525-388</f>
        <v>137</v>
      </c>
    </row>
    <row r="12" spans="2:17" x14ac:dyDescent="0.2">
      <c r="B12" s="10" t="s">
        <v>159</v>
      </c>
      <c r="C12" s="8">
        <v>10000</v>
      </c>
      <c r="D12" s="8" t="s">
        <v>135</v>
      </c>
      <c r="E12" s="8">
        <f>34295-34183</f>
        <v>112</v>
      </c>
      <c r="F12">
        <f>53058-52958</f>
        <v>100</v>
      </c>
      <c r="G12">
        <f>34703-34559</f>
        <v>144</v>
      </c>
      <c r="I12" s="10" t="s">
        <v>109</v>
      </c>
      <c r="J12" s="8">
        <v>10000</v>
      </c>
      <c r="K12" s="12" t="s">
        <v>110</v>
      </c>
      <c r="L12">
        <f>326-226</f>
        <v>100</v>
      </c>
      <c r="M12">
        <f>501-326</f>
        <v>175</v>
      </c>
      <c r="N12">
        <f>850-586</f>
        <v>264</v>
      </c>
      <c r="O12">
        <v>95</v>
      </c>
      <c r="P12">
        <f>361-273</f>
        <v>88</v>
      </c>
      <c r="Q12">
        <f>478-361</f>
        <v>117</v>
      </c>
    </row>
    <row r="13" spans="2:17" x14ac:dyDescent="0.2">
      <c r="B13" s="10" t="s">
        <v>138</v>
      </c>
      <c r="C13" s="8">
        <v>10000</v>
      </c>
      <c r="D13" s="8" t="s">
        <v>139</v>
      </c>
      <c r="E13" s="8">
        <f>53636-53539</f>
        <v>97</v>
      </c>
      <c r="F13">
        <f>12678-12565</f>
        <v>113</v>
      </c>
      <c r="G13">
        <f>53967-53768</f>
        <v>199</v>
      </c>
      <c r="I13" s="10" t="s">
        <v>111</v>
      </c>
      <c r="J13" s="8">
        <v>10000</v>
      </c>
      <c r="K13" s="12" t="s">
        <v>112</v>
      </c>
      <c r="L13">
        <f>345-258</f>
        <v>87</v>
      </c>
      <c r="M13">
        <f>474-322</f>
        <v>152</v>
      </c>
      <c r="N13">
        <f>831-575</f>
        <v>256</v>
      </c>
      <c r="O13">
        <v>111</v>
      </c>
      <c r="P13">
        <f>368-260</f>
        <v>108</v>
      </c>
      <c r="Q13">
        <f>492-368</f>
        <v>124</v>
      </c>
    </row>
    <row r="14" spans="2:17" x14ac:dyDescent="0.2">
      <c r="B14" s="10" t="s">
        <v>140</v>
      </c>
      <c r="C14" s="8">
        <v>10000</v>
      </c>
      <c r="D14" s="8" t="s">
        <v>141</v>
      </c>
      <c r="E14" s="8">
        <f>45372-45259</f>
        <v>113</v>
      </c>
      <c r="F14">
        <f>35192-35075</f>
        <v>117</v>
      </c>
      <c r="G14">
        <f>45694-45519</f>
        <v>175</v>
      </c>
      <c r="I14" s="10" t="s">
        <v>113</v>
      </c>
      <c r="J14" s="8">
        <v>10000</v>
      </c>
      <c r="K14" s="12" t="s">
        <v>114</v>
      </c>
      <c r="L14">
        <f>609-517</f>
        <v>92</v>
      </c>
      <c r="M14">
        <f>759-609</f>
        <v>150</v>
      </c>
      <c r="N14">
        <f>1107-864</f>
        <v>243</v>
      </c>
      <c r="O14">
        <v>97</v>
      </c>
      <c r="P14">
        <f>594-493</f>
        <v>101</v>
      </c>
      <c r="Q14">
        <f>720-594</f>
        <v>126</v>
      </c>
    </row>
    <row r="15" spans="2:17" x14ac:dyDescent="0.2">
      <c r="B15" s="8"/>
      <c r="C15" s="8"/>
      <c r="D15" s="8"/>
      <c r="E15" s="8"/>
      <c r="F15" s="8"/>
      <c r="I15" s="8"/>
      <c r="J15" s="8"/>
      <c r="K15" s="12"/>
      <c r="Q15" s="13"/>
    </row>
    <row r="16" spans="2:17" x14ac:dyDescent="0.2">
      <c r="B16" s="10" t="s">
        <v>142</v>
      </c>
      <c r="C16" s="8">
        <v>20000</v>
      </c>
      <c r="D16" s="8" t="s">
        <v>143</v>
      </c>
      <c r="E16">
        <f>14915-14729</f>
        <v>186</v>
      </c>
      <c r="F16">
        <f>31986-31787</f>
        <v>199</v>
      </c>
      <c r="G16">
        <f>15499-15152</f>
        <v>347</v>
      </c>
      <c r="I16" s="10" t="s">
        <v>115</v>
      </c>
      <c r="J16" s="8">
        <v>20000</v>
      </c>
      <c r="K16" s="12" t="s">
        <v>116</v>
      </c>
      <c r="L16">
        <f>656-465</f>
        <v>191</v>
      </c>
      <c r="M16">
        <f>979-656</f>
        <v>323</v>
      </c>
      <c r="N16">
        <f>890-120</f>
        <v>770</v>
      </c>
      <c r="O16">
        <v>273</v>
      </c>
      <c r="P16">
        <f>18328-18123</f>
        <v>205</v>
      </c>
      <c r="Q16" s="13">
        <f>18592-18328</f>
        <v>264</v>
      </c>
    </row>
    <row r="17" spans="2:21" x14ac:dyDescent="0.2">
      <c r="B17" s="10" t="s">
        <v>144</v>
      </c>
      <c r="C17" s="8">
        <v>20000</v>
      </c>
      <c r="D17" s="8" t="s">
        <v>160</v>
      </c>
      <c r="E17">
        <f>26228-26061</f>
        <v>167</v>
      </c>
      <c r="F17">
        <f>40062-39873</f>
        <v>189</v>
      </c>
      <c r="G17">
        <f>26841-26515</f>
        <v>326</v>
      </c>
      <c r="I17" s="10" t="s">
        <v>117</v>
      </c>
      <c r="J17" s="8">
        <v>20000</v>
      </c>
      <c r="K17" s="12" t="s">
        <v>91</v>
      </c>
      <c r="L17">
        <f>1059-832</f>
        <v>227</v>
      </c>
      <c r="M17">
        <v>300</v>
      </c>
      <c r="N17">
        <f>46971-46491</f>
        <v>480</v>
      </c>
      <c r="O17">
        <v>211</v>
      </c>
      <c r="P17">
        <f>47931-47750</f>
        <v>181</v>
      </c>
      <c r="Q17" s="13">
        <f>48190-47931</f>
        <v>259</v>
      </c>
    </row>
    <row r="18" spans="2:21" x14ac:dyDescent="0.2">
      <c r="B18" s="10" t="s">
        <v>145</v>
      </c>
      <c r="C18" s="8">
        <v>20000</v>
      </c>
      <c r="D18" s="8" t="s">
        <v>146</v>
      </c>
      <c r="E18" s="8">
        <f>42879-42539</f>
        <v>340</v>
      </c>
      <c r="F18">
        <f>19445-19251</f>
        <v>194</v>
      </c>
      <c r="G18">
        <f>43707-43368</f>
        <v>339</v>
      </c>
      <c r="I18" s="10" t="s">
        <v>118</v>
      </c>
      <c r="J18" s="8">
        <v>20000</v>
      </c>
      <c r="K18" s="12" t="s">
        <v>119</v>
      </c>
      <c r="L18">
        <f>1085-930</f>
        <v>155</v>
      </c>
      <c r="M18">
        <f>377-86</f>
        <v>291</v>
      </c>
      <c r="N18">
        <f>14954-14500</f>
        <v>454</v>
      </c>
      <c r="O18">
        <v>211</v>
      </c>
      <c r="P18">
        <f>15875-15702</f>
        <v>173</v>
      </c>
      <c r="Q18" s="13">
        <f>16114-15875</f>
        <v>239</v>
      </c>
    </row>
    <row r="19" spans="2:21" x14ac:dyDescent="0.2">
      <c r="B19" s="10" t="s">
        <v>147</v>
      </c>
      <c r="C19" s="8">
        <v>20000</v>
      </c>
      <c r="D19" s="8" t="s">
        <v>148</v>
      </c>
      <c r="E19" s="8">
        <f>56432-56251</f>
        <v>181</v>
      </c>
      <c r="F19">
        <f>25657-25407</f>
        <v>250</v>
      </c>
      <c r="G19">
        <f>57062-56713</f>
        <v>349</v>
      </c>
      <c r="I19" s="10" t="s">
        <v>120</v>
      </c>
      <c r="J19" s="8">
        <v>20000</v>
      </c>
      <c r="K19" s="12" t="s">
        <v>121</v>
      </c>
      <c r="L19">
        <f>299-142</f>
        <v>157</v>
      </c>
      <c r="M19">
        <f>580-299</f>
        <v>281</v>
      </c>
      <c r="N19">
        <f>38129-37707</f>
        <v>422</v>
      </c>
      <c r="O19">
        <v>190</v>
      </c>
      <c r="P19">
        <f>39069-38879</f>
        <v>190</v>
      </c>
      <c r="Q19" s="13">
        <f>39295-39069</f>
        <v>226</v>
      </c>
    </row>
    <row r="20" spans="2:21" x14ac:dyDescent="0.2">
      <c r="B20" s="10" t="s">
        <v>149</v>
      </c>
      <c r="C20" s="8">
        <v>20000</v>
      </c>
      <c r="D20" s="8" t="s">
        <v>150</v>
      </c>
      <c r="E20" s="8">
        <f>15159-14968</f>
        <v>191</v>
      </c>
      <c r="F20">
        <f>42950-42751</f>
        <v>199</v>
      </c>
      <c r="G20">
        <f>15815-15476</f>
        <v>339</v>
      </c>
      <c r="I20" s="10" t="s">
        <v>122</v>
      </c>
      <c r="J20" s="8">
        <v>20000</v>
      </c>
      <c r="K20" s="12" t="s">
        <v>123</v>
      </c>
      <c r="L20">
        <f>764-599</f>
        <v>165</v>
      </c>
      <c r="M20">
        <f>1076-764</f>
        <v>312</v>
      </c>
      <c r="N20">
        <f>56625-56178</f>
        <v>447</v>
      </c>
      <c r="O20">
        <v>202</v>
      </c>
      <c r="P20">
        <f>57580-57395</f>
        <v>185</v>
      </c>
      <c r="Q20" s="13">
        <f>57812-57580</f>
        <v>232</v>
      </c>
    </row>
    <row r="21" spans="2:21" x14ac:dyDescent="0.2">
      <c r="B21" s="8"/>
      <c r="C21" s="8"/>
      <c r="D21" s="8"/>
      <c r="E21" s="8"/>
      <c r="F21" s="8"/>
      <c r="I21" s="8"/>
      <c r="J21" s="8"/>
      <c r="K21" s="12"/>
      <c r="Q21" s="13"/>
    </row>
    <row r="22" spans="2:21" x14ac:dyDescent="0.2">
      <c r="B22" s="10" t="s">
        <v>151</v>
      </c>
      <c r="C22" s="8">
        <v>30000</v>
      </c>
      <c r="D22" s="8" t="s">
        <v>152</v>
      </c>
      <c r="E22">
        <f>59213-58994</f>
        <v>219</v>
      </c>
      <c r="F22">
        <f>57375-57090</f>
        <v>285</v>
      </c>
      <c r="G22">
        <f>40151-39444</f>
        <v>707</v>
      </c>
      <c r="I22" s="10" t="s">
        <v>124</v>
      </c>
      <c r="J22" s="8">
        <v>30000</v>
      </c>
      <c r="K22" s="12" t="s">
        <v>125</v>
      </c>
      <c r="L22">
        <f>18421-18174</f>
        <v>247</v>
      </c>
      <c r="M22">
        <f>18845-18421</f>
        <v>424</v>
      </c>
      <c r="N22">
        <f>19736-19039</f>
        <v>697</v>
      </c>
      <c r="O22">
        <v>320</v>
      </c>
      <c r="P22">
        <f>21336-21024</f>
        <v>312</v>
      </c>
      <c r="Q22" s="13">
        <f>21732-21336</f>
        <v>396</v>
      </c>
    </row>
    <row r="23" spans="2:21" x14ac:dyDescent="0.2">
      <c r="B23" s="10" t="s">
        <v>153</v>
      </c>
      <c r="C23" s="8">
        <v>30000</v>
      </c>
      <c r="D23" s="8" t="s">
        <v>123</v>
      </c>
      <c r="E23">
        <f>12346-12083</f>
        <v>263</v>
      </c>
      <c r="F23">
        <f>33402-33103</f>
        <v>299</v>
      </c>
      <c r="G23">
        <f>59743-59243</f>
        <v>500</v>
      </c>
      <c r="I23" s="10" t="s">
        <v>126</v>
      </c>
      <c r="J23" s="8">
        <v>30000</v>
      </c>
      <c r="K23" s="12" t="s">
        <v>127</v>
      </c>
      <c r="L23">
        <f>35955-35585</f>
        <v>370</v>
      </c>
      <c r="M23">
        <f>36415-35955</f>
        <v>460</v>
      </c>
      <c r="N23">
        <f>37294-36627</f>
        <v>667</v>
      </c>
      <c r="O23">
        <v>278</v>
      </c>
      <c r="P23">
        <f>38700-38434</f>
        <v>266</v>
      </c>
      <c r="Q23" s="13">
        <f>39057-38700</f>
        <v>357</v>
      </c>
    </row>
    <row r="24" spans="2:21" x14ac:dyDescent="0.2">
      <c r="B24" s="10" t="s">
        <v>154</v>
      </c>
      <c r="C24" s="8">
        <v>30000</v>
      </c>
      <c r="D24" s="8" t="s">
        <v>123</v>
      </c>
      <c r="E24">
        <f>23635-23379</f>
        <v>256</v>
      </c>
      <c r="F24">
        <f>23987-23690</f>
        <v>297</v>
      </c>
      <c r="G24">
        <f>13972-13386</f>
        <v>586</v>
      </c>
      <c r="I24" s="10" t="s">
        <v>128</v>
      </c>
      <c r="J24" s="8">
        <v>30000</v>
      </c>
      <c r="K24" s="12" t="s">
        <v>129</v>
      </c>
      <c r="L24">
        <f>1067-666</f>
        <v>401</v>
      </c>
      <c r="M24">
        <f>642-167</f>
        <v>475</v>
      </c>
      <c r="N24">
        <f>1506-840</f>
        <v>666</v>
      </c>
      <c r="O24">
        <v>287</v>
      </c>
      <c r="P24">
        <f>2882-2619</f>
        <v>263</v>
      </c>
      <c r="Q24" s="13">
        <f>3233-2882</f>
        <v>351</v>
      </c>
    </row>
    <row r="25" spans="2:21" x14ac:dyDescent="0.2">
      <c r="B25" s="10" t="s">
        <v>155</v>
      </c>
      <c r="C25" s="8">
        <v>30000</v>
      </c>
      <c r="D25" s="8" t="s">
        <v>156</v>
      </c>
      <c r="E25">
        <f>33052-32785</f>
        <v>267</v>
      </c>
      <c r="F25">
        <f>12864-12400</f>
        <v>464</v>
      </c>
      <c r="G25">
        <f>30841-30220</f>
        <v>621</v>
      </c>
      <c r="I25" s="10" t="s">
        <v>130</v>
      </c>
      <c r="J25" s="8">
        <v>30000</v>
      </c>
      <c r="K25" s="12" t="s">
        <v>131</v>
      </c>
      <c r="L25">
        <f>15283-15030</f>
        <v>253</v>
      </c>
      <c r="M25">
        <f>15751-15283</f>
        <v>468</v>
      </c>
      <c r="N25">
        <f>16632-15954</f>
        <v>678</v>
      </c>
      <c r="O25">
        <f>309</f>
        <v>309</v>
      </c>
      <c r="P25">
        <f>18290-17859</f>
        <v>431</v>
      </c>
      <c r="Q25" s="13">
        <f>18681-18290</f>
        <v>391</v>
      </c>
    </row>
    <row r="26" spans="2:21" x14ac:dyDescent="0.2">
      <c r="B26" s="10" t="s">
        <v>157</v>
      </c>
      <c r="C26" s="8">
        <v>30000</v>
      </c>
      <c r="D26" s="8" t="s">
        <v>158</v>
      </c>
      <c r="E26">
        <f>57054-56817</f>
        <v>237</v>
      </c>
      <c r="F26">
        <f>59533-59255</f>
        <v>278</v>
      </c>
      <c r="G26">
        <f>44524-44048</f>
        <v>476</v>
      </c>
      <c r="I26" s="10" t="s">
        <v>132</v>
      </c>
      <c r="J26" s="8">
        <v>30000</v>
      </c>
      <c r="K26" s="14" t="s">
        <v>133</v>
      </c>
      <c r="L26" s="15">
        <f>31457-31217</f>
        <v>240</v>
      </c>
      <c r="M26" s="15">
        <f>31943-31457</f>
        <v>486</v>
      </c>
      <c r="N26" s="15">
        <f>32866-32218</f>
        <v>648</v>
      </c>
      <c r="O26" s="15">
        <v>283</v>
      </c>
      <c r="P26" s="15">
        <f>34310-34032</f>
        <v>278</v>
      </c>
      <c r="Q26" s="16">
        <f>34674-34310</f>
        <v>364</v>
      </c>
    </row>
    <row r="27" spans="2:21" x14ac:dyDescent="0.2">
      <c r="I27" s="8"/>
      <c r="J27" s="8"/>
    </row>
    <row r="30" spans="2:21" x14ac:dyDescent="0.2">
      <c r="C30" s="7" t="s">
        <v>83</v>
      </c>
      <c r="D30" s="7" t="s">
        <v>85</v>
      </c>
      <c r="E30" s="7" t="s">
        <v>84</v>
      </c>
      <c r="F30" s="7" t="s">
        <v>86</v>
      </c>
      <c r="G30" s="7" t="s">
        <v>170</v>
      </c>
      <c r="H30" s="7" t="s">
        <v>169</v>
      </c>
    </row>
    <row r="31" spans="2:21" x14ac:dyDescent="0.2">
      <c r="C31" s="8">
        <v>10000</v>
      </c>
      <c r="D31" s="9">
        <v>1344899</v>
      </c>
      <c r="E31" s="9">
        <v>1180220</v>
      </c>
      <c r="F31" s="9">
        <v>983455</v>
      </c>
      <c r="G31" s="31">
        <f>AVERAGE(E10:E14,L10:L14,F10:F14,O10:P14)</f>
        <v>101.52</v>
      </c>
      <c r="H31" s="30">
        <f>(D31/G31)/1000</f>
        <v>13.24762608353034</v>
      </c>
      <c r="J31" s="7" t="s">
        <v>83</v>
      </c>
      <c r="K31" s="7" t="s">
        <v>161</v>
      </c>
      <c r="L31" s="7" t="s">
        <v>94</v>
      </c>
      <c r="M31" s="26" t="s">
        <v>95</v>
      </c>
      <c r="N31" s="24" t="s">
        <v>96</v>
      </c>
      <c r="O31" s="11" t="s">
        <v>161</v>
      </c>
      <c r="P31" s="26" t="s">
        <v>97</v>
      </c>
      <c r="Q31" s="24" t="s">
        <v>98</v>
      </c>
      <c r="R31" s="7" t="s">
        <v>99</v>
      </c>
      <c r="S31" s="7" t="s">
        <v>100</v>
      </c>
      <c r="T31" s="26" t="s">
        <v>101</v>
      </c>
      <c r="U31" s="25" t="s">
        <v>102</v>
      </c>
    </row>
    <row r="32" spans="2:21" x14ac:dyDescent="0.2">
      <c r="C32">
        <v>20000</v>
      </c>
      <c r="D32" s="9">
        <v>2693365</v>
      </c>
      <c r="E32" s="9">
        <v>2364465</v>
      </c>
      <c r="F32" s="9">
        <v>2463677</v>
      </c>
      <c r="G32" s="27">
        <f>AVERAGE(E16:F20,L16:L20,O16:P20)</f>
        <v>200.48</v>
      </c>
      <c r="H32" s="30">
        <f>(D32/G32)/1000</f>
        <v>13.43458200319234</v>
      </c>
      <c r="J32" s="8">
        <v>10000</v>
      </c>
      <c r="K32" s="8" t="s">
        <v>135</v>
      </c>
      <c r="L32" s="8">
        <f>16032-15917</f>
        <v>115</v>
      </c>
      <c r="M32">
        <f>27734-27635</f>
        <v>99</v>
      </c>
      <c r="N32">
        <f>16316-16159</f>
        <v>157</v>
      </c>
      <c r="O32" s="12" t="s">
        <v>105</v>
      </c>
      <c r="P32">
        <f>322-238</f>
        <v>84</v>
      </c>
      <c r="Q32">
        <f>759-609</f>
        <v>150</v>
      </c>
      <c r="R32">
        <f>1071-848</f>
        <v>223</v>
      </c>
      <c r="S32">
        <v>98</v>
      </c>
      <c r="T32">
        <f>994-870</f>
        <v>124</v>
      </c>
      <c r="U32">
        <f>1124-994</f>
        <v>130</v>
      </c>
    </row>
    <row r="33" spans="3:21" x14ac:dyDescent="0.2">
      <c r="C33">
        <v>30000</v>
      </c>
      <c r="D33" s="9">
        <v>4036759</v>
      </c>
      <c r="E33" s="9">
        <v>3542934</v>
      </c>
      <c r="F33" s="9">
        <v>2955314</v>
      </c>
      <c r="G33" s="27">
        <f>AVERAGE(E22:F26,L22:L26,O22:P26)</f>
        <v>296.12</v>
      </c>
      <c r="H33" s="30">
        <f>(D33/G33)/1000</f>
        <v>13.63217276779684</v>
      </c>
      <c r="J33" s="8">
        <v>10000</v>
      </c>
      <c r="K33" s="8" t="s">
        <v>137</v>
      </c>
      <c r="L33" s="8">
        <f>33806-33710</f>
        <v>96</v>
      </c>
      <c r="M33">
        <f>33773-33659</f>
        <v>114</v>
      </c>
      <c r="N33">
        <f>34096-33936</f>
        <v>160</v>
      </c>
      <c r="O33" s="12" t="s">
        <v>108</v>
      </c>
      <c r="P33">
        <f>322-238</f>
        <v>84</v>
      </c>
      <c r="Q33">
        <f>508-345</f>
        <v>163</v>
      </c>
      <c r="R33">
        <f>858-605</f>
        <v>253</v>
      </c>
      <c r="S33">
        <v>96</v>
      </c>
      <c r="T33">
        <f>388-291</f>
        <v>97</v>
      </c>
      <c r="U33">
        <f>525-388</f>
        <v>137</v>
      </c>
    </row>
    <row r="34" spans="3:21" x14ac:dyDescent="0.2">
      <c r="D34" s="8"/>
      <c r="E34" s="8"/>
      <c r="F34" s="8"/>
      <c r="G34" s="8"/>
      <c r="H34" s="8"/>
      <c r="J34" s="8">
        <v>10000</v>
      </c>
      <c r="K34" s="8" t="s">
        <v>135</v>
      </c>
      <c r="L34" s="8">
        <f>34295-34183</f>
        <v>112</v>
      </c>
      <c r="M34">
        <f>53058-52958</f>
        <v>100</v>
      </c>
      <c r="N34">
        <f>34703-34559</f>
        <v>144</v>
      </c>
      <c r="O34" s="12" t="s">
        <v>110</v>
      </c>
      <c r="P34">
        <f>326-226</f>
        <v>100</v>
      </c>
      <c r="Q34">
        <f>501-326</f>
        <v>175</v>
      </c>
      <c r="R34">
        <f>850-586</f>
        <v>264</v>
      </c>
      <c r="S34">
        <v>95</v>
      </c>
      <c r="T34">
        <f>361-273</f>
        <v>88</v>
      </c>
      <c r="U34">
        <f>478-361</f>
        <v>117</v>
      </c>
    </row>
    <row r="35" spans="3:21" x14ac:dyDescent="0.2">
      <c r="D35" s="8"/>
      <c r="E35" s="8"/>
      <c r="F35" s="8"/>
      <c r="G35" s="8"/>
      <c r="H35" s="8"/>
      <c r="J35" s="8">
        <v>10000</v>
      </c>
      <c r="K35" s="8" t="s">
        <v>139</v>
      </c>
      <c r="L35" s="8">
        <f>53636-53539</f>
        <v>97</v>
      </c>
      <c r="M35">
        <f>12678-12565</f>
        <v>113</v>
      </c>
      <c r="N35">
        <f>53967-53768</f>
        <v>199</v>
      </c>
      <c r="O35" s="12" t="s">
        <v>112</v>
      </c>
      <c r="P35">
        <f>345-258</f>
        <v>87</v>
      </c>
      <c r="Q35">
        <f>474-322</f>
        <v>152</v>
      </c>
      <c r="R35">
        <f>831-575</f>
        <v>256</v>
      </c>
      <c r="S35">
        <v>111</v>
      </c>
      <c r="T35">
        <f>368-260</f>
        <v>108</v>
      </c>
      <c r="U35">
        <f>492-368</f>
        <v>124</v>
      </c>
    </row>
    <row r="36" spans="3:21" x14ac:dyDescent="0.2">
      <c r="C36" s="7" t="s">
        <v>83</v>
      </c>
      <c r="D36" s="7" t="s">
        <v>85</v>
      </c>
      <c r="E36" s="7" t="s">
        <v>167</v>
      </c>
      <c r="F36" s="7" t="s">
        <v>169</v>
      </c>
      <c r="G36" s="7" t="s">
        <v>171</v>
      </c>
      <c r="H36" s="8"/>
      <c r="I36">
        <f>E31/D31</f>
        <v>0.8775528868710587</v>
      </c>
      <c r="J36" s="8">
        <v>10000</v>
      </c>
      <c r="K36" s="8" t="s">
        <v>141</v>
      </c>
      <c r="L36" s="8">
        <f>45372-45259</f>
        <v>113</v>
      </c>
      <c r="M36">
        <f>35192-35075</f>
        <v>117</v>
      </c>
      <c r="N36">
        <f>45694-45519</f>
        <v>175</v>
      </c>
      <c r="O36" s="12" t="s">
        <v>114</v>
      </c>
      <c r="P36">
        <f>609-517</f>
        <v>92</v>
      </c>
      <c r="Q36">
        <f>759-609</f>
        <v>150</v>
      </c>
      <c r="R36">
        <f>1107-864</f>
        <v>243</v>
      </c>
      <c r="S36">
        <v>97</v>
      </c>
      <c r="T36">
        <f>594-493</f>
        <v>101</v>
      </c>
      <c r="U36">
        <f>720-594</f>
        <v>126</v>
      </c>
    </row>
    <row r="37" spans="3:21" x14ac:dyDescent="0.2">
      <c r="C37" s="8">
        <v>10000</v>
      </c>
      <c r="D37" s="9">
        <v>1344899</v>
      </c>
      <c r="E37" s="9">
        <f>AVERAGE($G$10:$G$14,$M$10:$M$14,$Q$10:$Q$14)</f>
        <v>150.6</v>
      </c>
      <c r="F37" s="30">
        <f>(D37/E37)/1000</f>
        <v>8.9302722443559102</v>
      </c>
      <c r="G37" s="32">
        <f>F37/H31</f>
        <v>0.6741035856573705</v>
      </c>
      <c r="H37" s="9"/>
      <c r="I37">
        <f>E32/D32</f>
        <v>0.87788509912321577</v>
      </c>
      <c r="J37" s="8"/>
      <c r="K37" s="8"/>
      <c r="L37" s="8"/>
      <c r="M37" s="8"/>
      <c r="O37" s="12"/>
      <c r="U37" s="13"/>
    </row>
    <row r="38" spans="3:21" x14ac:dyDescent="0.2">
      <c r="C38">
        <v>20000</v>
      </c>
      <c r="D38" s="9">
        <v>2693365</v>
      </c>
      <c r="E38" s="9">
        <f>AVERAGE($G$16:$G$20,$M$16:$M$20,$Q$16:$Q$20)</f>
        <v>295.13333333333333</v>
      </c>
      <c r="F38" s="30">
        <f t="shared" ref="F38:F39" si="0">(D38/E38)/1000</f>
        <v>9.1259261350801903</v>
      </c>
      <c r="G38" s="32">
        <f>F38/H32</f>
        <v>0.67928619832843906</v>
      </c>
      <c r="H38" s="9"/>
      <c r="I38">
        <f>E33/D33</f>
        <v>0.87766795094777761</v>
      </c>
      <c r="J38" s="8">
        <v>20000</v>
      </c>
      <c r="K38" s="8" t="s">
        <v>143</v>
      </c>
      <c r="L38">
        <f>14915-14729</f>
        <v>186</v>
      </c>
      <c r="M38">
        <f>31986-31787</f>
        <v>199</v>
      </c>
      <c r="N38">
        <f>15499-15152</f>
        <v>347</v>
      </c>
      <c r="O38" s="12" t="s">
        <v>116</v>
      </c>
      <c r="P38">
        <f>656-465</f>
        <v>191</v>
      </c>
      <c r="Q38">
        <f>979-656</f>
        <v>323</v>
      </c>
      <c r="R38">
        <f>890-120</f>
        <v>770</v>
      </c>
      <c r="S38">
        <v>273</v>
      </c>
      <c r="T38">
        <f>18328-18123</f>
        <v>205</v>
      </c>
      <c r="U38" s="13">
        <f>18592-18328</f>
        <v>264</v>
      </c>
    </row>
    <row r="39" spans="3:21" x14ac:dyDescent="0.2">
      <c r="C39">
        <v>30000</v>
      </c>
      <c r="D39" s="9">
        <v>4036759</v>
      </c>
      <c r="E39" s="9">
        <f>AVERAGE($G$22:$G$26,$M$22:$M$26,$Q$22:$Q$26)</f>
        <v>470.8</v>
      </c>
      <c r="F39" s="30">
        <f t="shared" si="0"/>
        <v>8.5742544604927797</v>
      </c>
      <c r="G39" s="32">
        <f>F39/H33</f>
        <v>0.62897196261682253</v>
      </c>
      <c r="H39" s="9"/>
      <c r="J39" s="8">
        <v>20000</v>
      </c>
      <c r="K39" s="8" t="s">
        <v>160</v>
      </c>
      <c r="L39">
        <f>26228-26061</f>
        <v>167</v>
      </c>
      <c r="M39">
        <f>40062-39873</f>
        <v>189</v>
      </c>
      <c r="N39">
        <f>26841-26515</f>
        <v>326</v>
      </c>
      <c r="O39" s="12" t="s">
        <v>91</v>
      </c>
      <c r="P39">
        <f>1059-832</f>
        <v>227</v>
      </c>
      <c r="Q39">
        <v>300</v>
      </c>
      <c r="R39">
        <f>46971-46491</f>
        <v>480</v>
      </c>
      <c r="S39">
        <v>211</v>
      </c>
      <c r="T39">
        <f>47931-47750</f>
        <v>181</v>
      </c>
      <c r="U39" s="13">
        <f>48190-47931</f>
        <v>259</v>
      </c>
    </row>
    <row r="40" spans="3:21" x14ac:dyDescent="0.2">
      <c r="H40" s="8"/>
      <c r="J40" s="8">
        <v>20000</v>
      </c>
      <c r="K40" s="8" t="s">
        <v>146</v>
      </c>
      <c r="L40" s="8">
        <f>42879-42539</f>
        <v>340</v>
      </c>
      <c r="M40">
        <f>19445-19251</f>
        <v>194</v>
      </c>
      <c r="N40">
        <f>43707-43368</f>
        <v>339</v>
      </c>
      <c r="O40" s="12" t="s">
        <v>119</v>
      </c>
      <c r="P40">
        <f>1085-930</f>
        <v>155</v>
      </c>
      <c r="Q40">
        <f>377-86</f>
        <v>291</v>
      </c>
      <c r="R40">
        <f>14954-14500</f>
        <v>454</v>
      </c>
      <c r="S40">
        <v>211</v>
      </c>
      <c r="T40">
        <f>15875-15702</f>
        <v>173</v>
      </c>
      <c r="U40" s="13">
        <f>16114-15875</f>
        <v>239</v>
      </c>
    </row>
    <row r="41" spans="3:21" x14ac:dyDescent="0.2">
      <c r="H41" s="8"/>
      <c r="J41" s="8">
        <v>20000</v>
      </c>
      <c r="K41" s="8" t="s">
        <v>148</v>
      </c>
      <c r="L41" s="8">
        <f>56432-56251</f>
        <v>181</v>
      </c>
      <c r="M41">
        <f>25657-25407</f>
        <v>250</v>
      </c>
      <c r="N41">
        <f>57062-56713</f>
        <v>349</v>
      </c>
      <c r="O41" s="12" t="s">
        <v>121</v>
      </c>
      <c r="P41">
        <f>299-142</f>
        <v>157</v>
      </c>
      <c r="Q41">
        <f>580-299</f>
        <v>281</v>
      </c>
      <c r="R41">
        <f>38129-37707</f>
        <v>422</v>
      </c>
      <c r="S41">
        <v>190</v>
      </c>
      <c r="T41">
        <f>39069-38879</f>
        <v>190</v>
      </c>
      <c r="U41" s="13">
        <f>39295-39069</f>
        <v>226</v>
      </c>
    </row>
    <row r="42" spans="3:21" x14ac:dyDescent="0.2">
      <c r="I42" s="7" t="s">
        <v>87</v>
      </c>
      <c r="J42" s="8">
        <v>20000</v>
      </c>
      <c r="K42" s="8" t="s">
        <v>150</v>
      </c>
      <c r="L42" s="8">
        <f>15159-14968</f>
        <v>191</v>
      </c>
      <c r="M42">
        <f>42950-42751</f>
        <v>199</v>
      </c>
      <c r="N42">
        <f>15815-15476</f>
        <v>339</v>
      </c>
      <c r="O42" s="12" t="s">
        <v>123</v>
      </c>
      <c r="P42">
        <f>764-599</f>
        <v>165</v>
      </c>
      <c r="Q42">
        <f>1076-764</f>
        <v>312</v>
      </c>
      <c r="R42">
        <f>56625-56178</f>
        <v>447</v>
      </c>
      <c r="S42">
        <v>202</v>
      </c>
      <c r="T42">
        <f>57580-57395</f>
        <v>185</v>
      </c>
      <c r="U42" s="13">
        <f>57812-57580</f>
        <v>232</v>
      </c>
    </row>
    <row r="43" spans="3:21" x14ac:dyDescent="0.2">
      <c r="I43" s="8" t="s">
        <v>88</v>
      </c>
      <c r="J43" s="8"/>
      <c r="K43" s="8"/>
      <c r="L43" s="8"/>
      <c r="M43" s="8"/>
      <c r="O43" s="12"/>
      <c r="U43" s="13"/>
    </row>
    <row r="44" spans="3:21" x14ac:dyDescent="0.2">
      <c r="I44" s="8" t="s">
        <v>89</v>
      </c>
      <c r="J44" s="8">
        <v>30000</v>
      </c>
      <c r="K44" s="8" t="s">
        <v>152</v>
      </c>
      <c r="L44">
        <f>59213-58994</f>
        <v>219</v>
      </c>
      <c r="M44">
        <f>57375-57090</f>
        <v>285</v>
      </c>
      <c r="N44">
        <f>40151-39444</f>
        <v>707</v>
      </c>
      <c r="O44" s="12" t="s">
        <v>125</v>
      </c>
      <c r="P44">
        <f>18421-18174</f>
        <v>247</v>
      </c>
      <c r="Q44">
        <f>18845-18421</f>
        <v>424</v>
      </c>
      <c r="R44">
        <f>19736-19039</f>
        <v>697</v>
      </c>
      <c r="S44">
        <v>320</v>
      </c>
      <c r="T44">
        <f>21336-21024</f>
        <v>312</v>
      </c>
      <c r="U44" s="13">
        <f>21732-21336</f>
        <v>396</v>
      </c>
    </row>
    <row r="45" spans="3:21" x14ac:dyDescent="0.2">
      <c r="H45" s="9"/>
      <c r="I45" s="8" t="s">
        <v>90</v>
      </c>
      <c r="J45" s="8">
        <v>30000</v>
      </c>
      <c r="K45" s="8" t="s">
        <v>123</v>
      </c>
      <c r="L45">
        <f>12346-12083</f>
        <v>263</v>
      </c>
      <c r="M45">
        <f>33402-33103</f>
        <v>299</v>
      </c>
      <c r="N45">
        <f>59743-59243</f>
        <v>500</v>
      </c>
      <c r="O45" s="12" t="s">
        <v>127</v>
      </c>
      <c r="P45">
        <f>35955-35585</f>
        <v>370</v>
      </c>
      <c r="Q45">
        <f>36415-35955</f>
        <v>460</v>
      </c>
      <c r="R45">
        <f>37294-36627</f>
        <v>667</v>
      </c>
      <c r="S45">
        <v>278</v>
      </c>
      <c r="T45">
        <f>38700-38434</f>
        <v>266</v>
      </c>
      <c r="U45" s="13">
        <f>39057-38700</f>
        <v>357</v>
      </c>
    </row>
    <row r="46" spans="3:21" x14ac:dyDescent="0.2">
      <c r="H46" s="9"/>
      <c r="J46" s="8">
        <v>30000</v>
      </c>
      <c r="K46" s="8" t="s">
        <v>123</v>
      </c>
      <c r="L46">
        <f>23635-23379</f>
        <v>256</v>
      </c>
      <c r="M46">
        <f>23987-23690</f>
        <v>297</v>
      </c>
      <c r="N46">
        <f>13972-13386</f>
        <v>586</v>
      </c>
      <c r="O46" s="12" t="s">
        <v>129</v>
      </c>
      <c r="P46">
        <f>1067-666</f>
        <v>401</v>
      </c>
      <c r="Q46">
        <f>642-167</f>
        <v>475</v>
      </c>
      <c r="R46">
        <f>1506-840</f>
        <v>666</v>
      </c>
      <c r="S46">
        <v>287</v>
      </c>
      <c r="T46">
        <f>2882-2619</f>
        <v>263</v>
      </c>
      <c r="U46" s="13">
        <f>3233-2882</f>
        <v>351</v>
      </c>
    </row>
    <row r="47" spans="3:21" x14ac:dyDescent="0.2">
      <c r="H47" s="9"/>
      <c r="J47" s="8">
        <v>30000</v>
      </c>
      <c r="K47" s="8" t="s">
        <v>156</v>
      </c>
      <c r="L47">
        <f>33052-32785</f>
        <v>267</v>
      </c>
      <c r="M47">
        <f>12864-12400</f>
        <v>464</v>
      </c>
      <c r="N47">
        <f>30841-30220</f>
        <v>621</v>
      </c>
      <c r="O47" s="12" t="s">
        <v>131</v>
      </c>
      <c r="P47">
        <f>15283-15030</f>
        <v>253</v>
      </c>
      <c r="Q47">
        <f>15751-15283</f>
        <v>468</v>
      </c>
      <c r="R47">
        <f>16632-15954</f>
        <v>678</v>
      </c>
      <c r="S47">
        <f>309</f>
        <v>309</v>
      </c>
      <c r="T47">
        <f>18290-17859</f>
        <v>431</v>
      </c>
      <c r="U47" s="13">
        <f>18681-18290</f>
        <v>391</v>
      </c>
    </row>
    <row r="48" spans="3:21" x14ac:dyDescent="0.2">
      <c r="H48" s="9"/>
      <c r="J48" s="8">
        <v>30000</v>
      </c>
      <c r="K48" s="8" t="s">
        <v>158</v>
      </c>
      <c r="L48">
        <f>57054-56817</f>
        <v>237</v>
      </c>
      <c r="M48">
        <f>59533-59255</f>
        <v>278</v>
      </c>
      <c r="N48">
        <f>44524-44048</f>
        <v>476</v>
      </c>
      <c r="O48" s="14" t="s">
        <v>133</v>
      </c>
      <c r="P48" s="15">
        <f>31457-31217</f>
        <v>240</v>
      </c>
      <c r="Q48" s="15">
        <f>31943-31457</f>
        <v>486</v>
      </c>
      <c r="R48" s="15">
        <f>32866-32218</f>
        <v>648</v>
      </c>
      <c r="S48" s="15">
        <v>283</v>
      </c>
      <c r="T48" s="15">
        <f>34310-34032</f>
        <v>278</v>
      </c>
      <c r="U48" s="16">
        <f>34674-34310</f>
        <v>364</v>
      </c>
    </row>
    <row r="49" spans="2:8" x14ac:dyDescent="0.2">
      <c r="H49" s="9"/>
    </row>
    <row r="50" spans="2:8" x14ac:dyDescent="0.2">
      <c r="H50" s="9"/>
    </row>
    <row r="51" spans="2:8" x14ac:dyDescent="0.2">
      <c r="H51" s="9"/>
    </row>
    <row r="52" spans="2:8" x14ac:dyDescent="0.2">
      <c r="H52" s="9"/>
    </row>
    <row r="53" spans="2:8" x14ac:dyDescent="0.2">
      <c r="H53" s="9"/>
    </row>
    <row r="54" spans="2:8" x14ac:dyDescent="0.2">
      <c r="H54" s="9"/>
    </row>
    <row r="55" spans="2:8" x14ac:dyDescent="0.2">
      <c r="H55" s="9"/>
    </row>
    <row r="56" spans="2:8" x14ac:dyDescent="0.2">
      <c r="D56" s="9"/>
      <c r="E56" s="9"/>
      <c r="F56" s="9"/>
      <c r="G56" s="9"/>
      <c r="H56" s="9"/>
    </row>
    <row r="57" spans="2:8" x14ac:dyDescent="0.2">
      <c r="B57" t="s">
        <v>168</v>
      </c>
      <c r="C57" s="7" t="s">
        <v>83</v>
      </c>
      <c r="D57" t="s">
        <v>162</v>
      </c>
      <c r="E57" t="s">
        <v>163</v>
      </c>
      <c r="F57" t="s">
        <v>164</v>
      </c>
      <c r="G57" t="s">
        <v>165</v>
      </c>
    </row>
    <row r="58" spans="2:8" x14ac:dyDescent="0.2">
      <c r="B58" t="s">
        <v>94</v>
      </c>
      <c r="C58">
        <v>10000</v>
      </c>
      <c r="D58" s="9">
        <f>AVERAGE($E$10:E14)</f>
        <v>106.6</v>
      </c>
      <c r="E58" s="9">
        <f>MIN($E$10:E14)</f>
        <v>96</v>
      </c>
      <c r="F58" s="9">
        <f>MAX($E$10:E14)</f>
        <v>115</v>
      </c>
      <c r="G58" s="9">
        <f>STDEV($E$10:E14)</f>
        <v>9.2897793299948734</v>
      </c>
    </row>
    <row r="59" spans="2:8" x14ac:dyDescent="0.2">
      <c r="C59" s="8">
        <v>20000</v>
      </c>
      <c r="D59" s="9">
        <f>AVERAGE($E$16:$E$20)</f>
        <v>213</v>
      </c>
      <c r="E59" s="9">
        <f>MIN($E$16:$E$20)</f>
        <v>167</v>
      </c>
      <c r="F59" s="9">
        <f>MAX($E$16:$E$20)</f>
        <v>340</v>
      </c>
      <c r="G59" s="9">
        <f>STDEV($E$16:$E$20)</f>
        <v>71.557669050913049</v>
      </c>
    </row>
    <row r="60" spans="2:8" x14ac:dyDescent="0.2">
      <c r="C60" s="8">
        <v>30000</v>
      </c>
      <c r="D60" s="9">
        <f>AVERAGE($E$22:$E$26)</f>
        <v>248.4</v>
      </c>
      <c r="E60" s="9">
        <f>MIN($E$22:$E$26)</f>
        <v>219</v>
      </c>
      <c r="F60" s="9">
        <f>MAX($E$22:$E$26)</f>
        <v>267</v>
      </c>
      <c r="G60" s="9">
        <f>STDEV($E$22:$E$26)</f>
        <v>20.069877926883361</v>
      </c>
    </row>
    <row r="61" spans="2:8" x14ac:dyDescent="0.2">
      <c r="D61" s="8"/>
      <c r="E61" s="8"/>
      <c r="F61" s="8"/>
      <c r="G61" s="8"/>
    </row>
    <row r="62" spans="2:8" x14ac:dyDescent="0.2">
      <c r="B62" t="s">
        <v>166</v>
      </c>
      <c r="C62">
        <v>10000</v>
      </c>
      <c r="D62" s="27">
        <f>AVERAGE(F10:$F$14,L10:$L$14,P10:$P$14)</f>
        <v>100.53333333333333</v>
      </c>
      <c r="E62" s="27">
        <f>MIN(F10:$F$14,$L$10:L14,P10:$P$14)</f>
        <v>84</v>
      </c>
      <c r="F62" s="27">
        <f>MAX($F$10:F14,L10:$L$14,$P$10:P14)</f>
        <v>124</v>
      </c>
      <c r="G62" s="27">
        <f>STDEV($F$10:F14,$L$10:L14,P10:$P$14)</f>
        <v>12.506379324549695</v>
      </c>
    </row>
    <row r="63" spans="2:8" x14ac:dyDescent="0.2">
      <c r="C63" s="8">
        <v>20000</v>
      </c>
      <c r="D63" s="9">
        <f>AVERAGE($F16:$F20,$L16:$L20,$P16:$P20)</f>
        <v>190.66666666666666</v>
      </c>
      <c r="E63" s="9">
        <f>MIN($F16:$F20,$L16:$L20,$P16:$P20)</f>
        <v>155</v>
      </c>
      <c r="F63" s="9">
        <f>MAX($F16:$F20,$L16:$L20,$P16:$P20)</f>
        <v>250</v>
      </c>
      <c r="G63" s="9">
        <f>STDEV($F16:$F20,$L16:$L20,$P16:$P20)</f>
        <v>24.930379249498237</v>
      </c>
    </row>
    <row r="64" spans="2:8" x14ac:dyDescent="0.2">
      <c r="C64" s="8">
        <v>30000</v>
      </c>
      <c r="D64" s="9">
        <f>AVERAGE($F22:$F26,$L22:$L26,$P22:$P26)</f>
        <v>312.26666666666665</v>
      </c>
      <c r="E64" s="9">
        <f>MIN($F22:$F26,$L22:$L26,$P22:$P26)</f>
        <v>240</v>
      </c>
      <c r="F64" s="9">
        <f>MAX($F22:$F26,$L22:$L26,$P22:$P26)</f>
        <v>464</v>
      </c>
      <c r="G64" s="9">
        <f>STDEV($F22:$F26,$L22:$L26,$P22:$P26)</f>
        <v>70.402380912120009</v>
      </c>
    </row>
    <row r="66" spans="2:7" x14ac:dyDescent="0.2">
      <c r="B66" t="s">
        <v>167</v>
      </c>
      <c r="C66">
        <v>10000</v>
      </c>
      <c r="D66" s="9">
        <f>AVERAGE($G$10:$G$14,$M$10:$M$14,$Q$10:$Q$14)</f>
        <v>150.6</v>
      </c>
      <c r="E66" s="9">
        <f>MIN($G$10:$G$14,$M$10:$M$14,$Q$10:$Q$14)</f>
        <v>117</v>
      </c>
      <c r="F66" s="9">
        <f>MAX($G$10:$G$14,$M$10:$M$14,$Q$10:$Q$14)</f>
        <v>199</v>
      </c>
      <c r="G66" s="9">
        <f>STDEV($G$10:$G$14,$M$10:$M$14,$Q$10:$Q$14)</f>
        <v>22.222253968231254</v>
      </c>
    </row>
    <row r="67" spans="2:7" x14ac:dyDescent="0.2">
      <c r="C67" s="8">
        <v>20000</v>
      </c>
      <c r="D67" s="9">
        <f>AVERAGE($G$16:$G$20,$M$16:$M$20,$Q$16:$Q$20)</f>
        <v>295.13333333333333</v>
      </c>
      <c r="E67" s="9">
        <f>MIN($G$16:$G$20,$M$16:$M$20,$Q$16:$Q$20)</f>
        <v>226</v>
      </c>
      <c r="F67" s="9">
        <f>MAX($G$16:$G$20,$M$16:$M$20,$Q$16:$Q$20)</f>
        <v>349</v>
      </c>
      <c r="G67" s="9">
        <f>STDEV($G$16:$G$20,$M$16:$M$20,$Q$16:$Q$20)</f>
        <v>42.999778515487222</v>
      </c>
    </row>
    <row r="68" spans="2:7" x14ac:dyDescent="0.2">
      <c r="C68" s="8">
        <v>30000</v>
      </c>
      <c r="D68" s="9">
        <f>AVERAGE($G$22:$G$26,$M$22:$M$26,$Q$22:$Q$26)</f>
        <v>470.8</v>
      </c>
      <c r="E68" s="9">
        <f>MIN($G$22:$G$26,$M$22:$M$26,$Q$22:$Q$26)</f>
        <v>351</v>
      </c>
      <c r="F68" s="9">
        <f>MAX($G$22:$G$26,$M$22:$M$26,$Q$22:$Q$26)</f>
        <v>707</v>
      </c>
      <c r="G68" s="9">
        <f>STDEV($G$22:$G$26,$M$22:$M$26,$Q$22:$Q$26)</f>
        <v>102.02814737680406</v>
      </c>
    </row>
    <row r="69" spans="2:7" x14ac:dyDescent="0.2">
      <c r="D69" s="9"/>
      <c r="E69" s="9"/>
      <c r="F69" s="9"/>
      <c r="G69" s="9"/>
    </row>
    <row r="70" spans="2:7" x14ac:dyDescent="0.2">
      <c r="B70" t="s">
        <v>99</v>
      </c>
      <c r="C70">
        <v>10000</v>
      </c>
      <c r="D70" s="9">
        <f>AVERAGE($N$10:$N$14)</f>
        <v>247.8</v>
      </c>
      <c r="E70" s="9">
        <f>MIN($N$10:$N$14)</f>
        <v>223</v>
      </c>
      <c r="F70" s="9">
        <f>MAX($N$10:$N$14)</f>
        <v>264</v>
      </c>
      <c r="G70" s="9">
        <f>STDEV($N$10:$N$14)</f>
        <v>15.77022510936353</v>
      </c>
    </row>
    <row r="71" spans="2:7" x14ac:dyDescent="0.2">
      <c r="C71" s="8">
        <v>20000</v>
      </c>
      <c r="D71" s="9">
        <f>AVERAGE($N$16:$N$20)</f>
        <v>514.6</v>
      </c>
      <c r="E71" s="9">
        <f>MIN($N$16:$N$20)</f>
        <v>422</v>
      </c>
      <c r="F71" s="9">
        <f>MAX($N$16:$N$20)</f>
        <v>770</v>
      </c>
      <c r="G71" s="9">
        <f>STDEV($N$16:$N$20)</f>
        <v>144.25948842277234</v>
      </c>
    </row>
    <row r="72" spans="2:7" x14ac:dyDescent="0.2">
      <c r="C72" s="8">
        <v>30000</v>
      </c>
      <c r="D72" s="9">
        <f>AVERAGE($N$22:$N$26)</f>
        <v>671.2</v>
      </c>
      <c r="E72" s="9">
        <f>MIN($N$22:$N$26)</f>
        <v>648</v>
      </c>
      <c r="F72" s="9">
        <f>MAX($N$22:$N$26)</f>
        <v>697</v>
      </c>
      <c r="G72" s="9">
        <f>STDEV($N$22:$N$26)</f>
        <v>17.99166473676074</v>
      </c>
    </row>
    <row r="73" spans="2:7" x14ac:dyDescent="0.2">
      <c r="D73" s="9"/>
      <c r="E73" s="9"/>
      <c r="F73" s="9"/>
      <c r="G73" s="9"/>
    </row>
    <row r="74" spans="2:7" x14ac:dyDescent="0.2">
      <c r="B74" t="s">
        <v>100</v>
      </c>
      <c r="C74">
        <v>10000</v>
      </c>
      <c r="D74" s="9">
        <f>AVERAGE($O$10:$O$14)</f>
        <v>99.4</v>
      </c>
      <c r="E74" s="9">
        <f>AVERAGE($O$10:$O$14)</f>
        <v>99.4</v>
      </c>
      <c r="F74" s="9">
        <f>AVERAGE($O$10:$O$14)</f>
        <v>99.4</v>
      </c>
      <c r="G74" s="9">
        <f>AVERAGE($O$10:$O$14)</f>
        <v>99.4</v>
      </c>
    </row>
    <row r="75" spans="2:7" x14ac:dyDescent="0.2">
      <c r="C75" s="8">
        <v>20000</v>
      </c>
      <c r="D75" s="9">
        <f>AVERAGE($O$16:$O$20)</f>
        <v>217.4</v>
      </c>
      <c r="E75" s="9">
        <f>MIN($O$16:$O$20)</f>
        <v>190</v>
      </c>
      <c r="F75" s="9">
        <f>MAX($O$16:$O$20)</f>
        <v>273</v>
      </c>
      <c r="G75" s="9">
        <f>STDEV($O$16:$O$20)</f>
        <v>32.253681960359238</v>
      </c>
    </row>
    <row r="76" spans="2:7" x14ac:dyDescent="0.2">
      <c r="C76" s="8">
        <v>30000</v>
      </c>
      <c r="D76" s="9">
        <f>AVERAGE($O$22:$O$26)</f>
        <v>295.39999999999998</v>
      </c>
      <c r="E76" s="9">
        <f>MIN($O$22:$O$26)</f>
        <v>278</v>
      </c>
      <c r="F76" s="9">
        <f>MAX($O$22:$O$26)</f>
        <v>320</v>
      </c>
      <c r="G76" s="9">
        <f>STDEV($O$22:$O$26)</f>
        <v>18.146625030566977</v>
      </c>
    </row>
  </sheetData>
  <mergeCells count="2">
    <mergeCell ref="K8:Q8"/>
    <mergeCell ref="D8:G8"/>
  </mergeCells>
  <phoneticPr fontId="8" type="noConversion"/>
  <hyperlinks>
    <hyperlink ref="I10" r:id="rId1" tooltip="Trace: 671b13bd98f809825dc37030fa95903f" display="http://localhost:30001/grafana/explore?left=%7B%22range%22%3A%7B%22from%22%3A%22now-5m%22%2C%22to%22%3A%22now%22%7D%2C%22datasource%22%3A%22PC9A941E8F2E49454%22%2C%22queries%22%3A%5B%7B%22query%22%3A%22671b13bd98f809825dc37030fa95903f%22%7D%5D%7D" xr:uid="{424B5E4F-49DC-C541-8233-FD3C2F1232DD}"/>
    <hyperlink ref="I11" r:id="rId2" tooltip="Trace: c8da236bd443a1a4837744b37f8239d8" display="http://localhost:30001/grafana/explore?left=%7B%22range%22%3A%7B%22from%22%3A%22now-5m%22%2C%22to%22%3A%22now%22%7D%2C%22datasource%22%3A%22PC9A941E8F2E49454%22%2C%22queries%22%3A%5B%7B%22query%22%3A%22c8da236bd443a1a4837744b37f8239d8%22%7D%5D%7D" xr:uid="{C5CD8A30-58DB-B348-98A1-FD4CEBACC3D5}"/>
    <hyperlink ref="I12" r:id="rId3" tooltip="Trace: 397fa67094492151620db74873ce64e9" display="http://localhost:30001/grafana/explore?left=%7B%22range%22%3A%7B%22from%22%3A%22now-5m%22%2C%22to%22%3A%22now%22%7D%2C%22datasource%22%3A%22PC9A941E8F2E49454%22%2C%22queries%22%3A%5B%7B%22query%22%3A%22397fa67094492151620db74873ce64e9%22%7D%5D%7D" xr:uid="{1DF3CC91-4E08-7945-8971-5BB4311C6F33}"/>
    <hyperlink ref="I13" r:id="rId4" tooltip="Trace: 8080d41bbd78431993f023220c4ec912" display="http://localhost:30001/grafana/explore?left=%7B%22range%22%3A%7B%22from%22%3A%22now-5m%22%2C%22to%22%3A%22now%22%7D%2C%22datasource%22%3A%22PC9A941E8F2E49454%22%2C%22queries%22%3A%5B%7B%22query%22%3A%228080d41bbd78431993f023220c4ec912%22%7D%5D%7D" xr:uid="{5A6E4631-6FED-B14B-A622-24F56EF73F4B}"/>
    <hyperlink ref="I14" r:id="rId5" tooltip="Trace: a792aeb2d0f5ba7cbc4f452d98a74607" display="http://localhost:30001/grafana/explore?left=%7B%22range%22%3A%7B%22from%22%3A%22now-5m%22%2C%22to%22%3A%22now%22%7D%2C%22datasource%22%3A%22PC9A941E8F2E49454%22%2C%22queries%22%3A%5B%7B%22query%22%3A%22a792aeb2d0f5ba7cbc4f452d98a74607%22%7D%5D%7D" xr:uid="{4706F2A4-ECB6-644F-B94C-B5B5BBE98AC3}"/>
    <hyperlink ref="I16" r:id="rId6" tooltip="Trace: f4e494e3a7607fcee24b4e29d7c26eb3" display="http://localhost:30001/grafana/explore?left=%7B%22range%22%3A%7B%22from%22%3A%22now-1h%22%2C%22to%22%3A%22now%22%7D%2C%22datasource%22%3A%22PC9A941E8F2E49454%22%2C%22queries%22%3A%5B%7B%22query%22%3A%22f4e494e3a7607fcee24b4e29d7c26eb3%22%7D%5D%7D" xr:uid="{598D7319-A4E7-4D45-BB6E-E40098F995FA}"/>
    <hyperlink ref="I17" r:id="rId7" tooltip="Trace: fb45bd6c7bc2eb420e483a207144f227" display="http://localhost:30001/grafana/explore?left=%7B%22range%22%3A%7B%22from%22%3A%22now-1h%22%2C%22to%22%3A%22now%22%7D%2C%22datasource%22%3A%22PC9A941E8F2E49454%22%2C%22queries%22%3A%5B%7B%22query%22%3A%22fb45bd6c7bc2eb420e483a207144f227%22%7D%5D%7D" xr:uid="{5CD9EEC9-45B7-2C48-89A6-3A2118552EEE}"/>
    <hyperlink ref="I18" r:id="rId8" tooltip="Trace: 728a3fa50bb27a80c109f0b66e2730c5" display="http://localhost:30001/grafana/explore?left=%7B%22range%22%3A%7B%22from%22%3A%22now-1h%22%2C%22to%22%3A%22now%22%7D%2C%22datasource%22%3A%22PC9A941E8F2E49454%22%2C%22queries%22%3A%5B%7B%22query%22%3A%22728a3fa50bb27a80c109f0b66e2730c5%22%7D%5D%7D" xr:uid="{A66AB600-B40C-934D-BDF6-477AF3685AA3}"/>
    <hyperlink ref="I19" r:id="rId9" tooltip="Trace: 981def94b6abf804d5b92b03a5b5eab3" display="http://localhost:30001/grafana/explore?left=%7B%22range%22%3A%7B%22from%22%3A%22now-1h%22%2C%22to%22%3A%22now%22%7D%2C%22datasource%22%3A%22PC9A941E8F2E49454%22%2C%22queries%22%3A%5B%7B%22query%22%3A%22981def94b6abf804d5b92b03a5b5eab3%22%7D%5D%7D" xr:uid="{B2D953F2-1223-654C-B261-2C6BBB0A31D1}"/>
    <hyperlink ref="I20" r:id="rId10" tooltip="Trace: 999c62f1951388f4e1aec67b0f19d23f" display="http://localhost:30001/grafana/explore?left=%7B%22range%22%3A%7B%22from%22%3A%22now-1h%22%2C%22to%22%3A%22now%22%7D%2C%22datasource%22%3A%22PC9A941E8F2E49454%22%2C%22queries%22%3A%5B%7B%22query%22%3A%22999c62f1951388f4e1aec67b0f19d23f%22%7D%5D%7D" xr:uid="{1157093E-6648-6F45-890A-984670D78C33}"/>
    <hyperlink ref="I22" r:id="rId11" tooltip="Trace: 9117661af5e0d2e6682a926fc40c79d6" display="http://localhost:30001/grafana/explore?left=%7B%22range%22%3A%7B%22from%22%3A%22now-1h%22%2C%22to%22%3A%22now%22%7D%2C%22datasource%22%3A%22PC9A941E8F2E49454%22%2C%22queries%22%3A%5B%7B%22query%22%3A%229117661af5e0d2e6682a926fc40c79d6%22%7D%5D%7D" xr:uid="{DA697E46-769A-C640-948B-3A352DE40249}"/>
    <hyperlink ref="I23" r:id="rId12" tooltip="Trace: 5ee3f6aa83282c996e7e61ca4a5c8da0" display="http://localhost:30001/grafana/explore?left=%7B%22range%22%3A%7B%22from%22%3A%22now-1h%22%2C%22to%22%3A%22now%22%7D%2C%22datasource%22%3A%22PC9A941E8F2E49454%22%2C%22queries%22%3A%5B%7B%22query%22%3A%225ee3f6aa83282c996e7e61ca4a5c8da0%22%7D%5D%7D" xr:uid="{7AB21127-74D1-D245-AF18-B3794BF6303C}"/>
    <hyperlink ref="I24" r:id="rId13" tooltip="Trace: c7bb8be8cb5c585b27de791211148a52" display="http://localhost:30001/grafana/explore?left=%7B%22range%22%3A%7B%22from%22%3A%22now-1h%22%2C%22to%22%3A%22now%22%7D%2C%22datasource%22%3A%22PC9A941E8F2E49454%22%2C%22queries%22%3A%5B%7B%22query%22%3A%22c7bb8be8cb5c585b27de791211148a52%22%7D%5D%7D" xr:uid="{1E0A3D41-6DC1-F647-8CE9-A56ED16DEF0F}"/>
    <hyperlink ref="I25" r:id="rId14" tooltip="Trace: 3ff6b1cc4294cfba7c2a2a06ab995cdd" display="http://localhost:30001/grafana/explore?left=%7B%22range%22%3A%7B%22from%22%3A%22now-1h%22%2C%22to%22%3A%22now%22%7D%2C%22datasource%22%3A%22PC9A941E8F2E49454%22%2C%22queries%22%3A%5B%7B%22query%22%3A%223ff6b1cc4294cfba7c2a2a06ab995cdd%22%7D%5D%7D" xr:uid="{68A7FFE1-4779-9E47-AFEC-D9909871537C}"/>
    <hyperlink ref="I26" r:id="rId15" tooltip="Trace: 4bfc4fe9a001ca2b2a5baec9e6a40fb9" display="http://localhost:30001/grafana/explore?left=%7B%22range%22%3A%7B%22from%22%3A%22now-1h%22%2C%22to%22%3A%22now%22%7D%2C%22datasource%22%3A%22PC9A941E8F2E49454%22%2C%22queries%22%3A%5B%7B%22query%22%3A%224bfc4fe9a001ca2b2a5baec9e6a40fb9%22%7D%5D%7D" xr:uid="{B6C09F00-3DD7-474A-B68F-1E3E96AB61D5}"/>
    <hyperlink ref="B10" r:id="rId16" tooltip="Trace: 4433b19eced5d4739439989288f15f0a" display="http://localhost:30001/grafana/explore?left=%7B%22range%22%3A%7B%22from%22%3A%22now-1h%22%2C%22to%22%3A%22now%22%7D%2C%22datasource%22%3A%22PC9A941E8F2E49454%22%2C%22queries%22%3A%5B%7B%22query%22%3A%224433b19eced5d4739439989288f15f0a%22%7D%5D%7D" xr:uid="{4BB6B610-C03E-A44C-B3D7-893B3A592F02}"/>
    <hyperlink ref="B11" r:id="rId17" tooltip="Trace: cf582a7c1445d40e4815756699f00cef" display="http://localhost:30001/grafana/explore?left=%7B%22range%22%3A%7B%22from%22%3A%22now-1h%22%2C%22to%22%3A%22now%22%7D%2C%22datasource%22%3A%22PC9A941E8F2E49454%22%2C%22queries%22%3A%5B%7B%22query%22%3A%22cf582a7c1445d40e4815756699f00cef%22%7D%5D%7D" xr:uid="{C121BD4B-F158-0A4F-81B1-EC976A27C6AA}"/>
    <hyperlink ref="B14" r:id="rId18" tooltip="Trace: 3d5de56aee170d75e636a491b2a9d4b0" display="http://localhost:30001/grafana/explore?left=%7B%22range%22%3A%7B%22from%22%3A%22now-1h%22%2C%22to%22%3A%22now%22%7D%2C%22datasource%22%3A%22PC9A941E8F2E49454%22%2C%22queries%22%3A%5B%7B%22query%22%3A%223d5de56aee170d75e636a491b2a9d4b0%22%7D%5D%7D" xr:uid="{62BB0104-1323-6E49-B8AE-F7CAC9977B43}"/>
    <hyperlink ref="B16" r:id="rId19" tooltip="Trace: 9f8442162985c967d47d4a64f1c8be4a" display="http://localhost:30001/grafana/explore?left=%7B%22range%22%3A%7B%22from%22%3A%22now-1h%22%2C%22to%22%3A%22now%22%7D%2C%22datasource%22%3A%22PC9A941E8F2E49454%22%2C%22queries%22%3A%5B%7B%22query%22%3A%229f8442162985c967d47d4a64f1c8be4a%22%7D%5D%7D" xr:uid="{DE9FE605-BF7E-4C42-BAE3-20D3FA0A17A8}"/>
    <hyperlink ref="B17" r:id="rId20" tooltip="Trace: 555c7732b118ddae6487c0f7335a3811" display="http://localhost:30001/grafana/explore?left=%7B%22range%22%3A%7B%22from%22%3A%22now-1h%22%2C%22to%22%3A%22now%22%7D%2C%22datasource%22%3A%22PC9A941E8F2E49454%22%2C%22queries%22%3A%5B%7B%22query%22%3A%22555c7732b118ddae6487c0f7335a3811%22%7D%5D%7D" xr:uid="{CC9898BD-9097-B942-9DC2-E8BB60F5CD2C}"/>
    <hyperlink ref="B18" r:id="rId21" tooltip="Trace: b7be3ebf9b59c78da1e7465bde376bf0" display="http://localhost:30001/grafana/explore?left=%7B%22range%22%3A%7B%22from%22%3A%22now-1h%22%2C%22to%22%3A%22now%22%7D%2C%22datasource%22%3A%22PC9A941E8F2E49454%22%2C%22queries%22%3A%5B%7B%22query%22%3A%22b7be3ebf9b59c78da1e7465bde376bf0%22%7D%5D%7D" xr:uid="{4A1D1B8D-CF73-254E-B62B-E0792E891022}"/>
    <hyperlink ref="B19" r:id="rId22" tooltip="Trace: 7df306ae8e6ad503b66475c5fcae312e" display="http://localhost:30001/grafana/explore?left=%7B%22range%22%3A%7B%22from%22%3A%22now-1h%22%2C%22to%22%3A%22now%22%7D%2C%22datasource%22%3A%22PC9A941E8F2E49454%22%2C%22queries%22%3A%5B%7B%22query%22%3A%227df306ae8e6ad503b66475c5fcae312e%22%7D%5D%7D" xr:uid="{9D89EEF3-5195-BB4F-92AB-DB30DA8F95BE}"/>
    <hyperlink ref="B20" r:id="rId23" tooltip="Trace: 51aee5c2f10794e0c00f9a9affc36be2" display="http://localhost:30001/grafana/explore?left=%7B%22range%22%3A%7B%22from%22%3A%22now-1h%22%2C%22to%22%3A%22now%22%7D%2C%22datasource%22%3A%22PC9A941E8F2E49454%22%2C%22queries%22%3A%5B%7B%22query%22%3A%2251aee5c2f10794e0c00f9a9affc36be2%22%7D%5D%7D" xr:uid="{5F19F994-95E3-EB41-A454-56D74C6BFFC5}"/>
    <hyperlink ref="B22" r:id="rId24" tooltip="Trace: 1f5cf3101001ec2958d87157de9ff05e" display="http://localhost:30001/grafana/explore?left=%7B%22range%22%3A%7B%22from%22%3A%22now-1h%22%2C%22to%22%3A%22now%22%7D%2C%22datasource%22%3A%22PC9A941E8F2E49454%22%2C%22queries%22%3A%5B%7B%22query%22%3A%221f5cf3101001ec2958d87157de9ff05e%22%7D%5D%7D" xr:uid="{2DEF1C2E-179E-004E-BBEC-E425A0E54ACA}"/>
    <hyperlink ref="B23" r:id="rId25" tooltip="Trace: 9b5a3a699733e5cf9fc9ce610030ae3e" display="http://localhost:30001/grafana/explore?left=%7B%22range%22%3A%7B%22from%22%3A%22now-1h%22%2C%22to%22%3A%22now%22%7D%2C%22datasource%22%3A%22PC9A941E8F2E49454%22%2C%22queries%22%3A%5B%7B%22query%22%3A%229b5a3a699733e5cf9fc9ce610030ae3e%22%7D%5D%7D" xr:uid="{69D00CAF-F389-FD4B-900B-4CFBAAC60851}"/>
    <hyperlink ref="B24" r:id="rId26" tooltip="Trace: 988b82a173043c9fb255ef6836a13da4" display="http://localhost:30001/grafana/explore?left=%7B%22range%22%3A%7B%22from%22%3A%22now-1h%22%2C%22to%22%3A%22now%22%7D%2C%22datasource%22%3A%22PC9A941E8F2E49454%22%2C%22queries%22%3A%5B%7B%22query%22%3A%22988b82a173043c9fb255ef6836a13da4%22%7D%5D%7D" xr:uid="{5A55AFCB-EF24-D641-B08A-B546E90D767B}"/>
    <hyperlink ref="B25" r:id="rId27" tooltip="Trace: f7be89afcdc3892b2bd2e65d5ea0edcb" display="http://localhost:30001/grafana/explore?left=%7B%22range%22%3A%7B%22from%22%3A%22now-1h%22%2C%22to%22%3A%22now%22%7D%2C%22datasource%22%3A%22PC9A941E8F2E49454%22%2C%22queries%22%3A%5B%7B%22query%22%3A%22f7be89afcdc3892b2bd2e65d5ea0edcb%22%7D%5D%7D" xr:uid="{43F1EF18-EB94-314E-A8CD-63072792D9CF}"/>
    <hyperlink ref="B26" r:id="rId28" tooltip="Trace: 938ef240abfc392dc6ce906e84570887" display="http://localhost:30001/grafana/explore?left=%7B%22range%22%3A%7B%22from%22%3A%22now-1h%22%2C%22to%22%3A%22now%22%7D%2C%22datasource%22%3A%22PC9A941E8F2E49454%22%2C%22queries%22%3A%5B%7B%22query%22%3A%22938ef240abfc392dc6ce906e84570887%22%7D%5D%7D" xr:uid="{5E263B18-FE6A-BC44-A6D1-9AAD270B68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B211-41A9-054B-9CDE-A7E508CC657A}">
  <dimension ref="A1:H68"/>
  <sheetViews>
    <sheetView tabSelected="1" topLeftCell="A24" workbookViewId="0">
      <selection activeCell="B54" sqref="B54"/>
    </sheetView>
  </sheetViews>
  <sheetFormatPr baseColWidth="10" defaultRowHeight="16" x14ac:dyDescent="0.2"/>
  <cols>
    <col min="2" max="2" width="19" bestFit="1" customWidth="1"/>
    <col min="3" max="3" width="34" customWidth="1"/>
    <col min="4" max="4" width="19" bestFit="1" customWidth="1"/>
    <col min="6" max="6" width="17" bestFit="1" customWidth="1"/>
    <col min="7" max="7" width="17" customWidth="1"/>
    <col min="8" max="8" width="22.33203125" customWidth="1"/>
  </cols>
  <sheetData>
    <row r="1" spans="1:8" x14ac:dyDescent="0.2">
      <c r="B1" t="s">
        <v>176</v>
      </c>
      <c r="C1" t="s">
        <v>177</v>
      </c>
    </row>
    <row r="2" spans="1:8" x14ac:dyDescent="0.2">
      <c r="B2" t="s">
        <v>174</v>
      </c>
      <c r="C2" t="s">
        <v>178</v>
      </c>
    </row>
    <row r="3" spans="1:8" x14ac:dyDescent="0.2">
      <c r="B3" t="s">
        <v>173</v>
      </c>
      <c r="C3" t="s">
        <v>179</v>
      </c>
    </row>
    <row r="11" spans="1:8" x14ac:dyDescent="0.2">
      <c r="B11" s="22" t="s">
        <v>103</v>
      </c>
      <c r="C11" s="23"/>
      <c r="D11" s="23"/>
      <c r="E11" s="23"/>
    </row>
    <row r="12" spans="1:8" x14ac:dyDescent="0.2">
      <c r="A12" s="7" t="s">
        <v>83</v>
      </c>
      <c r="B12" s="7" t="s">
        <v>161</v>
      </c>
      <c r="C12" t="s">
        <v>185</v>
      </c>
      <c r="D12" t="s">
        <v>184</v>
      </c>
      <c r="E12" t="s">
        <v>183</v>
      </c>
      <c r="F12" t="s">
        <v>180</v>
      </c>
      <c r="G12" t="s">
        <v>181</v>
      </c>
      <c r="H12" t="s">
        <v>182</v>
      </c>
    </row>
    <row r="13" spans="1:8" x14ac:dyDescent="0.2">
      <c r="A13" s="8">
        <v>10000</v>
      </c>
      <c r="B13" s="8">
        <v>3.22</v>
      </c>
      <c r="C13" s="30">
        <f>(46935-45382)/1000</f>
        <v>1.5529999999999999</v>
      </c>
      <c r="D13" s="30">
        <f>0.677+0.337+0.136</f>
        <v>1.1499999999999999</v>
      </c>
      <c r="E13" s="30">
        <f>B13-(D13+C13)</f>
        <v>0.51700000000000035</v>
      </c>
      <c r="F13" s="32">
        <f>C13/B13</f>
        <v>0.48229813664596266</v>
      </c>
      <c r="G13" s="32">
        <f>D13/B13</f>
        <v>0.3571428571428571</v>
      </c>
      <c r="H13" s="32">
        <f>E13/B13</f>
        <v>0.16055900621118022</v>
      </c>
    </row>
    <row r="14" spans="1:8" x14ac:dyDescent="0.2">
      <c r="A14" s="8">
        <v>10000</v>
      </c>
      <c r="B14" s="8">
        <v>3.41</v>
      </c>
      <c r="C14" s="30">
        <f>(53772-52220)/1000</f>
        <v>1.552</v>
      </c>
      <c r="D14" s="30">
        <f>0.79+0.343+0.227</f>
        <v>1.36</v>
      </c>
      <c r="E14" s="30">
        <f t="shared" ref="E14:E29" si="0">B14-(D14+C14)</f>
        <v>0.49800000000000022</v>
      </c>
      <c r="F14" s="32">
        <f>C14/B14</f>
        <v>0.45513196480938417</v>
      </c>
      <c r="G14" s="32">
        <f>D14/B14</f>
        <v>0.3988269794721408</v>
      </c>
      <c r="H14" s="32">
        <f>E14/B14</f>
        <v>0.14604105571847514</v>
      </c>
    </row>
    <row r="15" spans="1:8" x14ac:dyDescent="0.2">
      <c r="A15" s="8">
        <v>10000</v>
      </c>
      <c r="B15" s="8">
        <v>3.17</v>
      </c>
      <c r="C15" s="30">
        <f>(60126-58557)/1000</f>
        <v>1.569</v>
      </c>
      <c r="D15" s="30">
        <f>0.654+0.347+0.135</f>
        <v>1.1359999999999999</v>
      </c>
      <c r="E15" s="30">
        <f t="shared" si="0"/>
        <v>0.46499999999999986</v>
      </c>
      <c r="F15" s="32">
        <f>C15/B15</f>
        <v>0.49495268138801263</v>
      </c>
      <c r="G15" s="32">
        <f>D15/B15</f>
        <v>0.35835962145110406</v>
      </c>
      <c r="H15" s="32">
        <f>E15/B15</f>
        <v>0.14668769716088323</v>
      </c>
    </row>
    <row r="16" spans="1:8" x14ac:dyDescent="0.2">
      <c r="A16" s="8">
        <v>10000</v>
      </c>
      <c r="B16" s="8">
        <v>4.1399999999999997</v>
      </c>
      <c r="C16" s="30">
        <f>(6441-4331)/1000</f>
        <v>2.11</v>
      </c>
      <c r="D16" s="30">
        <f>0.814+0.44+0.141</f>
        <v>1.395</v>
      </c>
      <c r="E16" s="30">
        <f t="shared" si="0"/>
        <v>0.63499999999999979</v>
      </c>
      <c r="F16" s="32">
        <f>C16/B16</f>
        <v>0.50966183574879231</v>
      </c>
      <c r="G16" s="32">
        <f>D16/B16</f>
        <v>0.33695652173913049</v>
      </c>
      <c r="H16" s="32">
        <f>E16/B16</f>
        <v>0.15338164251207725</v>
      </c>
    </row>
    <row r="17" spans="1:8" x14ac:dyDescent="0.2">
      <c r="A17" s="8">
        <v>10000</v>
      </c>
      <c r="B17" s="8">
        <v>3.73</v>
      </c>
      <c r="C17" s="30">
        <f>(17727-15760)/1000</f>
        <v>1.9670000000000001</v>
      </c>
      <c r="D17" s="30">
        <f>0.707+0.376+0.137</f>
        <v>1.22</v>
      </c>
      <c r="E17" s="30">
        <f t="shared" si="0"/>
        <v>0.54299999999999971</v>
      </c>
      <c r="F17" s="32">
        <f>C17/B17</f>
        <v>0.52734584450402144</v>
      </c>
      <c r="G17" s="32">
        <f>D17/B17</f>
        <v>0.32707774798927614</v>
      </c>
      <c r="H17" s="32">
        <f>E17/B17</f>
        <v>0.14557640750670234</v>
      </c>
    </row>
    <row r="18" spans="1:8" x14ac:dyDescent="0.2">
      <c r="A18" s="8"/>
      <c r="B18" s="8"/>
      <c r="C18" s="30"/>
      <c r="D18" s="34"/>
      <c r="E18" s="30"/>
      <c r="F18" s="32"/>
      <c r="G18" s="32"/>
      <c r="H18" s="32"/>
    </row>
    <row r="19" spans="1:8" x14ac:dyDescent="0.2">
      <c r="A19" s="8">
        <v>20000</v>
      </c>
      <c r="B19" s="8">
        <v>4.3099999999999996</v>
      </c>
      <c r="C19" s="30">
        <f>(30512-28931)/1000</f>
        <v>1.581</v>
      </c>
      <c r="D19" s="30">
        <f>0.732+0.788+0.308</f>
        <v>1.8280000000000001</v>
      </c>
      <c r="E19" s="30">
        <f t="shared" si="0"/>
        <v>0.9009999999999998</v>
      </c>
      <c r="F19" s="32">
        <f>C19/B19</f>
        <v>0.36682134570765662</v>
      </c>
      <c r="G19" s="32">
        <f>D19/B19</f>
        <v>0.42412993039443159</v>
      </c>
      <c r="H19" s="32">
        <f>E19/B19</f>
        <v>0.20904872389791179</v>
      </c>
    </row>
    <row r="20" spans="1:8" x14ac:dyDescent="0.2">
      <c r="A20" s="8">
        <v>20000</v>
      </c>
      <c r="B20" s="8">
        <v>5.63</v>
      </c>
      <c r="C20" s="30">
        <f>(37379-35219)/1000</f>
        <v>2.16</v>
      </c>
      <c r="D20" s="30">
        <f>0.882+1.23+0.313</f>
        <v>2.4250000000000003</v>
      </c>
      <c r="E20" s="30">
        <f t="shared" si="0"/>
        <v>1.044999999999999</v>
      </c>
      <c r="F20" s="32">
        <f>C20/B20</f>
        <v>0.38365896980461817</v>
      </c>
      <c r="G20" s="32">
        <f>D20/B20</f>
        <v>0.43072824156305511</v>
      </c>
      <c r="H20" s="32">
        <f>E20/B20</f>
        <v>0.18561278863232666</v>
      </c>
    </row>
    <row r="21" spans="1:8" x14ac:dyDescent="0.2">
      <c r="A21" s="8">
        <v>20000</v>
      </c>
      <c r="B21" s="8">
        <v>4.47</v>
      </c>
      <c r="C21" s="30">
        <f>(44176-42565)/1000</f>
        <v>1.611</v>
      </c>
      <c r="D21" s="30">
        <f>0.762+0.348+0.731</f>
        <v>1.8409999999999997</v>
      </c>
      <c r="E21" s="30">
        <f t="shared" si="0"/>
        <v>1.0179999999999998</v>
      </c>
      <c r="F21" s="32">
        <f>C21/B21</f>
        <v>0.3604026845637584</v>
      </c>
      <c r="G21" s="32">
        <f>D21/B21</f>
        <v>0.4118568232662192</v>
      </c>
      <c r="H21" s="32">
        <f>E21/B21</f>
        <v>0.22774049217002235</v>
      </c>
    </row>
    <row r="22" spans="1:8" x14ac:dyDescent="0.2">
      <c r="A22" s="8">
        <v>20000</v>
      </c>
      <c r="B22" s="8">
        <v>4.42</v>
      </c>
      <c r="C22" s="30">
        <f>(51500-49904)/1000</f>
        <v>1.5960000000000001</v>
      </c>
      <c r="D22" s="30">
        <f>0.779+0.816+0.352</f>
        <v>1.9470000000000001</v>
      </c>
      <c r="E22" s="30">
        <f t="shared" si="0"/>
        <v>0.87699999999999978</v>
      </c>
      <c r="F22" s="32">
        <f>C22/B22</f>
        <v>0.36108597285067878</v>
      </c>
      <c r="G22" s="32">
        <f>D22/B22</f>
        <v>0.44049773755656113</v>
      </c>
      <c r="H22" s="32">
        <f>E22/B22</f>
        <v>0.19841628959276014</v>
      </c>
    </row>
    <row r="23" spans="1:8" x14ac:dyDescent="0.2">
      <c r="A23" s="8">
        <v>20000</v>
      </c>
      <c r="B23" s="8">
        <v>5.1100000000000003</v>
      </c>
      <c r="C23" s="30">
        <f>(58885-57191)/1000</f>
        <v>1.694</v>
      </c>
      <c r="D23" s="30">
        <f>1.03+0.911+0.336</f>
        <v>2.2770000000000001</v>
      </c>
      <c r="E23" s="30">
        <f t="shared" si="0"/>
        <v>1.1390000000000002</v>
      </c>
      <c r="F23" s="32">
        <f>C23/B23</f>
        <v>0.33150684931506846</v>
      </c>
      <c r="G23" s="32">
        <f>D23/B23</f>
        <v>0.44559686888454014</v>
      </c>
      <c r="H23" s="32">
        <f>E23/B23</f>
        <v>0.22289628180039142</v>
      </c>
    </row>
    <row r="24" spans="1:8" x14ac:dyDescent="0.2">
      <c r="A24" s="8"/>
      <c r="B24" s="8"/>
      <c r="C24" s="30"/>
      <c r="D24" s="34"/>
      <c r="E24" s="30"/>
      <c r="F24" s="32"/>
      <c r="G24" s="32"/>
      <c r="H24" s="32"/>
    </row>
    <row r="25" spans="1:8" x14ac:dyDescent="0.2">
      <c r="A25" s="8">
        <v>30000</v>
      </c>
      <c r="B25" s="8">
        <v>5.24</v>
      </c>
      <c r="C25" s="30">
        <f>(34819-33278)/1000</f>
        <v>1.5409999999999999</v>
      </c>
      <c r="D25" s="30">
        <f>0.412+1.12+0.835</f>
        <v>2.367</v>
      </c>
      <c r="E25" s="30">
        <f t="shared" si="0"/>
        <v>1.3320000000000003</v>
      </c>
      <c r="F25" s="32">
        <f>C25/B25</f>
        <v>0.29408396946564885</v>
      </c>
      <c r="G25" s="32">
        <f>D25/B25</f>
        <v>0.45171755725190837</v>
      </c>
      <c r="H25" s="32">
        <f>E25/B25</f>
        <v>0.25419847328244277</v>
      </c>
    </row>
    <row r="26" spans="1:8" x14ac:dyDescent="0.2">
      <c r="A26" s="8">
        <v>30000</v>
      </c>
      <c r="B26" s="8">
        <v>5.76</v>
      </c>
      <c r="C26" s="30">
        <f>(40627-38982)/1000</f>
        <v>1.645</v>
      </c>
      <c r="D26" s="30">
        <f>0.971+0.47755+1.4</f>
        <v>2.8485499999999999</v>
      </c>
      <c r="E26" s="30">
        <f t="shared" si="0"/>
        <v>1.2664499999999999</v>
      </c>
      <c r="F26" s="32">
        <f>C26/B26</f>
        <v>0.28559027777777779</v>
      </c>
      <c r="G26" s="32">
        <f>D26/B26</f>
        <v>0.49453993055555556</v>
      </c>
      <c r="H26" s="32">
        <f>E26/B26</f>
        <v>0.21986979166666665</v>
      </c>
    </row>
    <row r="27" spans="1:8" x14ac:dyDescent="0.2">
      <c r="A27" s="8">
        <v>30000</v>
      </c>
      <c r="B27" s="8">
        <v>5.34</v>
      </c>
      <c r="C27" s="30">
        <f>(13207-11507)/1000</f>
        <v>1.7</v>
      </c>
      <c r="D27" s="30">
        <f>0.845+1.07+0.508</f>
        <v>2.423</v>
      </c>
      <c r="E27" s="30">
        <f t="shared" si="0"/>
        <v>1.2169999999999996</v>
      </c>
      <c r="F27" s="32">
        <f>C27/B27</f>
        <v>0.31835205992509363</v>
      </c>
      <c r="G27" s="32">
        <f>D27/B27</f>
        <v>0.45374531835205995</v>
      </c>
      <c r="H27" s="32">
        <f>E27/B27</f>
        <v>0.22790262172284639</v>
      </c>
    </row>
    <row r="28" spans="1:8" x14ac:dyDescent="0.2">
      <c r="A28" s="8">
        <v>30000</v>
      </c>
      <c r="B28" s="8">
        <v>5.2</v>
      </c>
      <c r="C28" s="30">
        <f>(24839-23215)/1000</f>
        <v>1.6240000000000001</v>
      </c>
      <c r="D28" s="30">
        <f>0.858+1.1+0.45</f>
        <v>2.4080000000000004</v>
      </c>
      <c r="E28" s="30">
        <f t="shared" si="0"/>
        <v>1.1680000000000001</v>
      </c>
      <c r="F28" s="32">
        <f>C28/B28</f>
        <v>0.31230769230769234</v>
      </c>
      <c r="G28" s="32">
        <f>D28/B28</f>
        <v>0.46307692307692311</v>
      </c>
      <c r="H28" s="32">
        <f>E28/B28</f>
        <v>0.22461538461538463</v>
      </c>
    </row>
    <row r="29" spans="1:8" x14ac:dyDescent="0.2">
      <c r="A29" s="8">
        <v>30000</v>
      </c>
      <c r="B29" s="8">
        <v>5.41</v>
      </c>
      <c r="C29" s="30">
        <f>(33612-32045)/1000</f>
        <v>1.5669999999999999</v>
      </c>
      <c r="D29" s="30">
        <f>0.84+1.36+0.42</f>
        <v>2.62</v>
      </c>
      <c r="E29" s="30">
        <f t="shared" si="0"/>
        <v>1.2229999999999999</v>
      </c>
      <c r="F29" s="32">
        <f>C29/B29</f>
        <v>0.28964879852125691</v>
      </c>
      <c r="G29" s="32">
        <f>D29/B29</f>
        <v>0.48428835489833644</v>
      </c>
      <c r="H29" s="32">
        <f>E29/B29</f>
        <v>0.22606284658040662</v>
      </c>
    </row>
    <row r="31" spans="1:8" x14ac:dyDescent="0.2">
      <c r="B31" s="8"/>
    </row>
    <row r="32" spans="1:8" ht="18" x14ac:dyDescent="0.2">
      <c r="A32" s="7" t="s">
        <v>83</v>
      </c>
      <c r="B32" s="7" t="s">
        <v>161</v>
      </c>
      <c r="C32" t="s">
        <v>172</v>
      </c>
      <c r="D32" t="s">
        <v>174</v>
      </c>
      <c r="E32" t="s">
        <v>175</v>
      </c>
      <c r="F32" s="33"/>
      <c r="G32" s="33"/>
    </row>
    <row r="33" spans="1:8" x14ac:dyDescent="0.2">
      <c r="A33" s="8">
        <v>10000</v>
      </c>
      <c r="B33" s="8">
        <v>4.13</v>
      </c>
      <c r="C33" s="30">
        <f>(8944-7216)/1000</f>
        <v>1.728</v>
      </c>
      <c r="D33" s="30">
        <f>0.98+0.216-0.12</f>
        <v>1.0760000000000001</v>
      </c>
      <c r="E33" s="30">
        <f t="shared" ref="E33:E49" si="1">B33-(D33+C33)</f>
        <v>1.3259999999999996</v>
      </c>
      <c r="F33" s="32">
        <f>C33/B33</f>
        <v>0.41840193704600487</v>
      </c>
      <c r="G33" s="32">
        <f>D33/B33</f>
        <v>0.26053268765133175</v>
      </c>
      <c r="H33" s="32">
        <f>E33/B33</f>
        <v>0.32106537530266338</v>
      </c>
    </row>
    <row r="34" spans="1:8" x14ac:dyDescent="0.2">
      <c r="A34" s="8">
        <v>10000</v>
      </c>
      <c r="B34" s="8">
        <v>4.41</v>
      </c>
      <c r="C34" s="30">
        <f>(18278-16646)/1000</f>
        <v>1.6319999999999999</v>
      </c>
      <c r="D34" s="30">
        <f>(723+378+315-205)/1000</f>
        <v>1.2110000000000001</v>
      </c>
      <c r="E34" s="30">
        <f t="shared" si="1"/>
        <v>1.5670000000000002</v>
      </c>
      <c r="F34" s="32">
        <f t="shared" ref="F34:F37" si="2">C34/B34</f>
        <v>0.37006802721088433</v>
      </c>
      <c r="G34" s="32">
        <f t="shared" ref="G34:G37" si="3">D34/B34</f>
        <v>0.27460317460317463</v>
      </c>
      <c r="H34" s="32">
        <f t="shared" ref="H34:H37" si="4">E34/B34</f>
        <v>0.3553287981859411</v>
      </c>
    </row>
    <row r="35" spans="1:8" x14ac:dyDescent="0.2">
      <c r="A35" s="8">
        <v>10000</v>
      </c>
      <c r="B35" s="8">
        <v>4.49</v>
      </c>
      <c r="C35" s="30">
        <f>(40807-39196)/1000</f>
        <v>1.611</v>
      </c>
      <c r="D35" s="30">
        <f>(738+436+245-120)/1000</f>
        <v>1.2989999999999999</v>
      </c>
      <c r="E35" s="30">
        <f t="shared" si="1"/>
        <v>1.58</v>
      </c>
      <c r="F35" s="32">
        <f t="shared" si="2"/>
        <v>0.35879732739420933</v>
      </c>
      <c r="G35" s="32">
        <f t="shared" si="3"/>
        <v>0.28930957683741643</v>
      </c>
      <c r="H35" s="32">
        <f t="shared" si="4"/>
        <v>0.35189309576837419</v>
      </c>
    </row>
    <row r="36" spans="1:8" x14ac:dyDescent="0.2">
      <c r="A36" s="8">
        <v>10000</v>
      </c>
      <c r="B36" s="8">
        <v>4.3</v>
      </c>
      <c r="C36" s="30">
        <f>(47402-45711)/1000</f>
        <v>1.6910000000000001</v>
      </c>
      <c r="D36" s="30">
        <f>(681+366+217-127)/1000</f>
        <v>1.137</v>
      </c>
      <c r="E36" s="30">
        <f t="shared" si="1"/>
        <v>1.4719999999999995</v>
      </c>
      <c r="F36" s="32">
        <f t="shared" si="2"/>
        <v>0.39325581395348841</v>
      </c>
      <c r="G36" s="32">
        <f t="shared" si="3"/>
        <v>0.26441860465116279</v>
      </c>
      <c r="H36" s="32">
        <f t="shared" si="4"/>
        <v>0.34232558139534874</v>
      </c>
    </row>
    <row r="37" spans="1:8" x14ac:dyDescent="0.2">
      <c r="A37" s="8">
        <v>10000</v>
      </c>
      <c r="B37" s="8">
        <v>3.99</v>
      </c>
      <c r="C37" s="30">
        <f>(58488-56866)/1000</f>
        <v>1.6220000000000001</v>
      </c>
      <c r="D37" s="30">
        <f>(655+340+209-120)/1000</f>
        <v>1.0840000000000001</v>
      </c>
      <c r="E37" s="30">
        <f t="shared" si="1"/>
        <v>1.2839999999999998</v>
      </c>
      <c r="F37" s="32">
        <f t="shared" si="2"/>
        <v>0.40651629072681705</v>
      </c>
      <c r="G37" s="32">
        <f t="shared" si="3"/>
        <v>0.27167919799498746</v>
      </c>
      <c r="H37" s="32">
        <f t="shared" si="4"/>
        <v>0.32180451127819543</v>
      </c>
    </row>
    <row r="38" spans="1:8" x14ac:dyDescent="0.2">
      <c r="C38" s="30"/>
      <c r="D38" s="30"/>
      <c r="E38" s="30"/>
      <c r="F38" s="32"/>
      <c r="G38" s="32"/>
      <c r="H38" s="32"/>
    </row>
    <row r="39" spans="1:8" x14ac:dyDescent="0.2">
      <c r="A39" s="8">
        <v>20000</v>
      </c>
      <c r="B39" s="8">
        <v>6.16</v>
      </c>
      <c r="C39" s="30">
        <f>(55575-53906)/1000</f>
        <v>1.669</v>
      </c>
      <c r="D39" s="30">
        <f>(773+824+436-205)/1000</f>
        <v>1.8280000000000001</v>
      </c>
      <c r="E39" s="30">
        <f t="shared" si="1"/>
        <v>2.6630000000000003</v>
      </c>
      <c r="F39" s="32">
        <f>C39/B39</f>
        <v>0.27094155844155843</v>
      </c>
      <c r="G39" s="32">
        <f>D39/B39</f>
        <v>0.29675324675324677</v>
      </c>
      <c r="H39" s="32">
        <f>E39/B39</f>
        <v>0.43230519480519486</v>
      </c>
    </row>
    <row r="40" spans="1:8" x14ac:dyDescent="0.2">
      <c r="A40" s="8">
        <v>20000</v>
      </c>
      <c r="B40" s="8">
        <v>6.41</v>
      </c>
      <c r="C40" s="30">
        <f>(64461-62676)/1000</f>
        <v>1.7849999999999999</v>
      </c>
      <c r="D40" s="30">
        <f>(778+742+703-452)/1000</f>
        <v>1.7709999999999999</v>
      </c>
      <c r="E40" s="30">
        <f t="shared" si="1"/>
        <v>2.8540000000000001</v>
      </c>
      <c r="F40" s="32">
        <f>C40/B40</f>
        <v>0.2784711388455538</v>
      </c>
      <c r="G40" s="32">
        <f>D40/B40</f>
        <v>0.27628705148205929</v>
      </c>
      <c r="H40" s="32">
        <f>E40/B40</f>
        <v>0.44524180967238691</v>
      </c>
    </row>
    <row r="41" spans="1:8" x14ac:dyDescent="0.2">
      <c r="A41" s="8">
        <v>20000</v>
      </c>
      <c r="B41" s="8">
        <v>6.11</v>
      </c>
      <c r="C41" s="30">
        <f>(15434-13705)/1000</f>
        <v>1.7290000000000001</v>
      </c>
      <c r="D41" s="30">
        <f>(887+791+432-265)/1000</f>
        <v>1.845</v>
      </c>
      <c r="E41" s="30">
        <f t="shared" si="1"/>
        <v>2.5360000000000005</v>
      </c>
      <c r="F41" s="32">
        <f>C41/B41</f>
        <v>0.28297872340425534</v>
      </c>
      <c r="G41" s="32">
        <f>D41/B41</f>
        <v>0.30196399345335512</v>
      </c>
      <c r="H41" s="32">
        <f>E41/B41</f>
        <v>0.4150572831423896</v>
      </c>
    </row>
    <row r="42" spans="1:8" x14ac:dyDescent="0.2">
      <c r="A42" s="8">
        <v>20000</v>
      </c>
      <c r="B42" s="8">
        <v>5.65</v>
      </c>
      <c r="C42" s="30">
        <f>(12215-10626)/1000</f>
        <v>1.589</v>
      </c>
      <c r="D42" s="30">
        <f>(730+716+386-226)/1000</f>
        <v>1.6060000000000001</v>
      </c>
      <c r="E42" s="30">
        <f t="shared" si="1"/>
        <v>2.4550000000000001</v>
      </c>
      <c r="F42" s="32">
        <f>C42/B42</f>
        <v>0.2812389380530973</v>
      </c>
      <c r="G42" s="32">
        <f>D42/B42</f>
        <v>0.28424778761061947</v>
      </c>
      <c r="H42" s="32">
        <f>E42/B42</f>
        <v>0.43451327433628317</v>
      </c>
    </row>
    <row r="43" spans="1:8" x14ac:dyDescent="0.2">
      <c r="A43" s="8">
        <v>20000</v>
      </c>
      <c r="B43" s="8">
        <v>6.84</v>
      </c>
      <c r="C43" s="30">
        <f>(21190-18773)/1000</f>
        <v>2.4169999999999998</v>
      </c>
      <c r="D43" s="30">
        <f>(722+718+474-307)/1000</f>
        <v>1.607</v>
      </c>
      <c r="E43" s="30">
        <f t="shared" si="1"/>
        <v>2.8159999999999998</v>
      </c>
      <c r="F43" s="32">
        <f>C43/B43</f>
        <v>0.35336257309941521</v>
      </c>
      <c r="G43" s="32">
        <f>D43/B43</f>
        <v>0.23494152046783626</v>
      </c>
      <c r="H43" s="32">
        <f>E43/B43</f>
        <v>0.4116959064327485</v>
      </c>
    </row>
    <row r="44" spans="1:8" x14ac:dyDescent="0.2">
      <c r="C44" s="30"/>
      <c r="D44" s="30"/>
      <c r="E44" s="30"/>
      <c r="F44" s="32"/>
      <c r="G44" s="32"/>
      <c r="H44" s="32"/>
    </row>
    <row r="45" spans="1:8" x14ac:dyDescent="0.2">
      <c r="A45" s="8">
        <v>30000</v>
      </c>
      <c r="B45" s="8">
        <v>7.66</v>
      </c>
      <c r="C45" s="30">
        <f>(45123-43507)/1000</f>
        <v>1.6160000000000001</v>
      </c>
      <c r="D45" s="30">
        <f>(862+1112+582-285)/1000</f>
        <v>2.2709999999999999</v>
      </c>
      <c r="E45" s="30">
        <f t="shared" si="1"/>
        <v>3.7730000000000001</v>
      </c>
      <c r="F45" s="32">
        <f>C45/B45</f>
        <v>0.21096605744125327</v>
      </c>
      <c r="G45" s="32">
        <f>D45/B45</f>
        <v>0.2964751958224543</v>
      </c>
      <c r="H45" s="32">
        <f>E45/B45</f>
        <v>0.49255874673629246</v>
      </c>
    </row>
    <row r="46" spans="1:8" x14ac:dyDescent="0.2">
      <c r="A46" s="8">
        <v>30000</v>
      </c>
      <c r="B46" s="8">
        <v>7.59</v>
      </c>
      <c r="C46" s="30">
        <f>(1747-184)/1000</f>
        <v>1.5629999999999999</v>
      </c>
      <c r="D46" s="30">
        <f>(1010+1112+582-327)/1000</f>
        <v>2.3769999999999998</v>
      </c>
      <c r="E46" s="30">
        <f t="shared" si="1"/>
        <v>3.6500000000000004</v>
      </c>
      <c r="F46" s="32">
        <f>C46/B46</f>
        <v>0.20592885375494072</v>
      </c>
      <c r="G46" s="32">
        <f>D46/B46</f>
        <v>0.3131752305665349</v>
      </c>
      <c r="H46" s="32">
        <f>E46/B46</f>
        <v>0.48089591567852441</v>
      </c>
    </row>
    <row r="47" spans="1:8" x14ac:dyDescent="0.2">
      <c r="A47" s="8">
        <v>30000</v>
      </c>
      <c r="B47" s="8">
        <v>7.7</v>
      </c>
      <c r="C47" s="30">
        <f>(18853-17328)/1000</f>
        <v>1.5249999999999999</v>
      </c>
      <c r="D47" s="30">
        <f>(807+1100+618-342)/1000</f>
        <v>2.1829999999999998</v>
      </c>
      <c r="E47" s="30">
        <f t="shared" si="1"/>
        <v>3.9920000000000004</v>
      </c>
      <c r="F47" s="32">
        <f>C47/B47</f>
        <v>0.19805194805194803</v>
      </c>
      <c r="G47" s="32">
        <f>D47/B47</f>
        <v>0.28350649350649348</v>
      </c>
      <c r="H47" s="32">
        <f>E47/B47</f>
        <v>0.51844155844155848</v>
      </c>
    </row>
    <row r="48" spans="1:8" x14ac:dyDescent="0.2">
      <c r="A48" s="8">
        <v>30000</v>
      </c>
      <c r="B48" s="8">
        <v>8.31</v>
      </c>
      <c r="C48" s="30">
        <f>(34499-32895)/1000</f>
        <v>1.6040000000000001</v>
      </c>
      <c r="D48" s="30">
        <f>(828+1360+669-330)/1000</f>
        <v>2.5270000000000001</v>
      </c>
      <c r="E48" s="30">
        <f t="shared" si="1"/>
        <v>4.1790000000000003</v>
      </c>
      <c r="F48" s="32">
        <f>C48/B48</f>
        <v>0.19302045728038508</v>
      </c>
      <c r="G48" s="32">
        <f>D48/B48</f>
        <v>0.30409145607701565</v>
      </c>
      <c r="H48" s="32">
        <f>E48/B48</f>
        <v>0.50288808664259932</v>
      </c>
    </row>
    <row r="49" spans="1:8" x14ac:dyDescent="0.2">
      <c r="A49" s="8">
        <v>30000</v>
      </c>
      <c r="B49" s="8">
        <v>7.99</v>
      </c>
      <c r="C49" s="30">
        <f>(45136-43378)/1000</f>
        <v>1.758</v>
      </c>
      <c r="D49" s="30">
        <f>(844+1120+608-354)/1000</f>
        <v>2.218</v>
      </c>
      <c r="E49" s="30">
        <f t="shared" si="1"/>
        <v>4.0140000000000002</v>
      </c>
      <c r="F49" s="32">
        <f>C49/B49</f>
        <v>0.22002503128911138</v>
      </c>
      <c r="G49" s="32">
        <f>D49/B49</f>
        <v>0.27759699624530665</v>
      </c>
      <c r="H49" s="32">
        <f>E49/B49</f>
        <v>0.50237797246558202</v>
      </c>
    </row>
    <row r="50" spans="1:8" x14ac:dyDescent="0.2">
      <c r="F50" s="32"/>
      <c r="G50" s="32"/>
      <c r="H50" s="32"/>
    </row>
    <row r="51" spans="1:8" x14ac:dyDescent="0.2">
      <c r="F51" s="32"/>
      <c r="G51" s="32"/>
      <c r="H51" s="32"/>
    </row>
    <row r="52" spans="1:8" x14ac:dyDescent="0.2">
      <c r="F52" s="32"/>
      <c r="G52" s="32"/>
      <c r="H52" s="32"/>
    </row>
    <row r="53" spans="1:8" x14ac:dyDescent="0.2">
      <c r="C53" s="30" t="s">
        <v>186</v>
      </c>
      <c r="D53" t="s">
        <v>187</v>
      </c>
      <c r="E53" t="s">
        <v>188</v>
      </c>
      <c r="F53" s="32" t="s">
        <v>190</v>
      </c>
      <c r="G53" s="32"/>
      <c r="H53" s="32"/>
    </row>
    <row r="54" spans="1:8" x14ac:dyDescent="0.2">
      <c r="B54" s="35" t="s">
        <v>193</v>
      </c>
      <c r="C54" s="30">
        <f>AVERAGE($C$33:$C$49,$C$13:$C$29)</f>
        <v>1.7003000000000001</v>
      </c>
      <c r="D54" s="30">
        <f>MIN($C$33:$C$49,$C$13:$C$29)</f>
        <v>1.5249999999999999</v>
      </c>
      <c r="E54" s="30">
        <f>MAX($C$33:$C$49,$C$13:$C$29)</f>
        <v>2.4169999999999998</v>
      </c>
      <c r="F54" s="30">
        <f>STDEV($C$33:$C$49,$C$13:$C$29)</f>
        <v>0.2051346319892845</v>
      </c>
      <c r="G54" s="32"/>
      <c r="H54" s="32"/>
    </row>
    <row r="55" spans="1:8" x14ac:dyDescent="0.2">
      <c r="B55" s="35" t="s">
        <v>189</v>
      </c>
    </row>
    <row r="56" spans="1:8" x14ac:dyDescent="0.2">
      <c r="B56" s="8">
        <v>10000</v>
      </c>
      <c r="C56" s="30">
        <f>AVERAGE($D$33:$D$37,$D$13:$D$17)</f>
        <v>1.2067999999999999</v>
      </c>
      <c r="D56" s="30">
        <f>MIN($D$33:$D$37,$D$13:$D$17)</f>
        <v>1.0760000000000001</v>
      </c>
      <c r="E56" s="30">
        <f>MAX($D$33:$D$37,$D$13:$D$17)</f>
        <v>1.395</v>
      </c>
      <c r="F56" s="30">
        <f>STDEV($D$33:$D$37,$D$13:$D$17)</f>
        <v>0.11199285691507295</v>
      </c>
    </row>
    <row r="57" spans="1:8" x14ac:dyDescent="0.2">
      <c r="B57" s="8">
        <v>20000</v>
      </c>
      <c r="C57" s="30">
        <f>AVERAGE($D$39:$D$43,$D$19:$D$23)</f>
        <v>1.8975000000000002</v>
      </c>
      <c r="D57" s="30">
        <f>MIN($D$39:$D$43,$D$19:$D$23)</f>
        <v>1.6060000000000001</v>
      </c>
      <c r="E57" s="30">
        <f>MAX($D$39:$D$43,$D$19:$D$23)</f>
        <v>2.4250000000000003</v>
      </c>
      <c r="F57" s="30">
        <f>STDEV($D$39:$D$43,$D$19:$D$23)</f>
        <v>0.26367077535778793</v>
      </c>
    </row>
    <row r="58" spans="1:8" x14ac:dyDescent="0.2">
      <c r="B58" s="8">
        <v>30000</v>
      </c>
      <c r="C58" s="30">
        <f>AVERAGE($D$45:$D$49,$D$25:$D$29)</f>
        <v>2.4242550000000005</v>
      </c>
      <c r="D58" s="30">
        <f>MIN($D$45:$D$49,$D$25:$D$29)</f>
        <v>2.1829999999999998</v>
      </c>
      <c r="E58" s="30">
        <f>MAX($D$45:$D$49,$D$25:$D$29)</f>
        <v>2.8485499999999999</v>
      </c>
      <c r="F58" s="30">
        <f>STDEV($D$45:$D$49,$D$25:$D$29)</f>
        <v>0.19969645082530194</v>
      </c>
    </row>
    <row r="60" spans="1:8" x14ac:dyDescent="0.2">
      <c r="B60" s="35" t="s">
        <v>191</v>
      </c>
    </row>
    <row r="61" spans="1:8" x14ac:dyDescent="0.2">
      <c r="B61" s="8">
        <v>10000</v>
      </c>
      <c r="C61" s="30">
        <f>AVERAGE($E$13:E17)</f>
        <v>0.53159999999999996</v>
      </c>
      <c r="D61" s="30">
        <f>MIN($E$13:$E$29)</f>
        <v>0.46499999999999986</v>
      </c>
      <c r="E61" s="30">
        <f>MAX($E$13:$E$29)</f>
        <v>1.3320000000000003</v>
      </c>
      <c r="F61" s="30">
        <f>STDEV($E$13:$E$29)</f>
        <v>0.31366882926484935</v>
      </c>
    </row>
    <row r="62" spans="1:8" x14ac:dyDescent="0.2">
      <c r="B62" s="8">
        <v>20000</v>
      </c>
      <c r="C62" s="30">
        <f>AVERAGE($E$19:$E$23)</f>
        <v>0.99599999999999977</v>
      </c>
      <c r="D62" s="30">
        <f>MIN($E$19:$E$23)</f>
        <v>0.87699999999999978</v>
      </c>
      <c r="E62" s="30">
        <f>MAX($E$19:$E$23)</f>
        <v>1.1390000000000002</v>
      </c>
      <c r="F62" s="30">
        <f>STDEV($E$19:$E$23)</f>
        <v>0.10784247771634335</v>
      </c>
    </row>
    <row r="63" spans="1:8" x14ac:dyDescent="0.2">
      <c r="B63" s="8">
        <v>30000</v>
      </c>
      <c r="C63" s="30">
        <f>AVERAGE($E$25:$E$29)</f>
        <v>1.2412899999999998</v>
      </c>
      <c r="D63" s="30">
        <f>MIN($E$25:$E$29)</f>
        <v>1.1680000000000001</v>
      </c>
      <c r="E63" s="30">
        <f>MAX($E$25:$E$29)</f>
        <v>1.3320000000000003</v>
      </c>
      <c r="F63" s="30">
        <f>STDEV($E$25:$E$29)</f>
        <v>6.1557456900037805E-2</v>
      </c>
    </row>
    <row r="65" spans="2:6" x14ac:dyDescent="0.2">
      <c r="B65" s="35" t="s">
        <v>192</v>
      </c>
    </row>
    <row r="66" spans="2:6" x14ac:dyDescent="0.2">
      <c r="B66" s="8">
        <v>10000</v>
      </c>
      <c r="C66" s="30">
        <f>AVERAGE($E$33:$E$37)</f>
        <v>1.4457999999999998</v>
      </c>
      <c r="D66" s="30">
        <f>MIN($E$33:$E$37)</f>
        <v>1.2839999999999998</v>
      </c>
      <c r="E66" s="30">
        <f>MAX($E$33:$E$37)</f>
        <v>1.58</v>
      </c>
      <c r="F66" s="30">
        <f>STDEV($E$33:$E$37)</f>
        <v>0.13593822126245456</v>
      </c>
    </row>
    <row r="67" spans="2:6" x14ac:dyDescent="0.2">
      <c r="B67" s="8">
        <v>20000</v>
      </c>
      <c r="C67" s="30">
        <f>AVERAGE($E39:$E43)</f>
        <v>2.6648000000000005</v>
      </c>
      <c r="D67" s="30">
        <f>MIN($E39:$E43)</f>
        <v>2.4550000000000001</v>
      </c>
      <c r="E67" s="30">
        <f>MAX($E39:$E43)</f>
        <v>2.8540000000000001</v>
      </c>
      <c r="F67" s="30">
        <f>STDEV($E39:$E43)</f>
        <v>0.17267512849278543</v>
      </c>
    </row>
    <row r="68" spans="2:6" x14ac:dyDescent="0.2">
      <c r="B68" s="8">
        <v>30000</v>
      </c>
      <c r="C68" s="30">
        <f>AVERAGE($E$45:$E$49)</f>
        <v>3.9216000000000002</v>
      </c>
      <c r="D68" s="30">
        <f>MIN($E$45:$E$49)</f>
        <v>3.6500000000000004</v>
      </c>
      <c r="E68" s="30">
        <f>MAX($E$45:$E$49)</f>
        <v>4.1790000000000003</v>
      </c>
      <c r="F68" s="30">
        <f>STDEV($E$45:$E$49)</f>
        <v>0.20952159793205091</v>
      </c>
    </row>
  </sheetData>
  <mergeCells count="1">
    <mergeCell ref="B11:E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EDB9-BA4C-4942-8C93-E43D2C82CF7F}">
  <dimension ref="A1:B36"/>
  <sheetViews>
    <sheetView topLeftCell="A5" workbookViewId="0">
      <selection activeCell="B37" sqref="B37"/>
    </sheetView>
  </sheetViews>
  <sheetFormatPr baseColWidth="10" defaultRowHeight="16" x14ac:dyDescent="0.2"/>
  <cols>
    <col min="1" max="1" width="62" bestFit="1" customWidth="1"/>
    <col min="2" max="2" width="23" bestFit="1" customWidth="1"/>
  </cols>
  <sheetData>
    <row r="1" spans="1:2" x14ac:dyDescent="0.2">
      <c r="A1" t="s">
        <v>34</v>
      </c>
    </row>
    <row r="2" spans="1:2" x14ac:dyDescent="0.2">
      <c r="A2" t="s">
        <v>10</v>
      </c>
      <c r="B2" s="1" t="s">
        <v>11</v>
      </c>
    </row>
    <row r="3" spans="1:2" x14ac:dyDescent="0.2">
      <c r="A3" t="s">
        <v>40</v>
      </c>
      <c r="B3" s="1" t="s">
        <v>35</v>
      </c>
    </row>
    <row r="4" spans="1:2" x14ac:dyDescent="0.2">
      <c r="B4" t="s">
        <v>38</v>
      </c>
    </row>
    <row r="5" spans="1:2" x14ac:dyDescent="0.2">
      <c r="A5" t="s">
        <v>41</v>
      </c>
      <c r="B5" t="s">
        <v>36</v>
      </c>
    </row>
    <row r="6" spans="1:2" x14ac:dyDescent="0.2">
      <c r="B6" t="s">
        <v>39</v>
      </c>
    </row>
    <row r="7" spans="1:2" x14ac:dyDescent="0.2">
      <c r="A7" t="s">
        <v>42</v>
      </c>
      <c r="B7" t="s">
        <v>37</v>
      </c>
    </row>
    <row r="19" spans="1:2" x14ac:dyDescent="0.2">
      <c r="A19" t="s">
        <v>43</v>
      </c>
    </row>
    <row r="20" spans="1:2" x14ac:dyDescent="0.2">
      <c r="A20" t="s">
        <v>10</v>
      </c>
      <c r="B20" s="1" t="s">
        <v>11</v>
      </c>
    </row>
    <row r="21" spans="1:2" x14ac:dyDescent="0.2">
      <c r="A21" t="s">
        <v>44</v>
      </c>
      <c r="B21" t="s">
        <v>54</v>
      </c>
    </row>
    <row r="22" spans="1:2" x14ac:dyDescent="0.2">
      <c r="A22" t="s">
        <v>45</v>
      </c>
    </row>
    <row r="23" spans="1:2" x14ac:dyDescent="0.2">
      <c r="A23" t="s">
        <v>46</v>
      </c>
    </row>
    <row r="24" spans="1:2" x14ac:dyDescent="0.2">
      <c r="A24" t="s">
        <v>48</v>
      </c>
      <c r="B24" t="s">
        <v>49</v>
      </c>
    </row>
    <row r="25" spans="1:2" x14ac:dyDescent="0.2">
      <c r="B25" t="s">
        <v>51</v>
      </c>
    </row>
    <row r="26" spans="1:2" x14ac:dyDescent="0.2">
      <c r="B26" t="s">
        <v>50</v>
      </c>
    </row>
    <row r="31" spans="1:2" x14ac:dyDescent="0.2">
      <c r="A31" t="s">
        <v>47</v>
      </c>
    </row>
    <row r="32" spans="1:2" x14ac:dyDescent="0.2">
      <c r="A32" t="s">
        <v>52</v>
      </c>
      <c r="B32" t="s">
        <v>53</v>
      </c>
    </row>
    <row r="33" spans="1:2" x14ac:dyDescent="0.2">
      <c r="A33" t="s">
        <v>55</v>
      </c>
      <c r="B33" t="s">
        <v>56</v>
      </c>
    </row>
    <row r="34" spans="1:2" x14ac:dyDescent="0.2">
      <c r="B34" t="s">
        <v>57</v>
      </c>
    </row>
    <row r="35" spans="1:2" x14ac:dyDescent="0.2">
      <c r="A35" t="s">
        <v>58</v>
      </c>
      <c r="B35" t="s">
        <v>59</v>
      </c>
    </row>
    <row r="36" spans="1:2" x14ac:dyDescent="0.2">
      <c r="A36" t="s">
        <v>60</v>
      </c>
      <c r="B3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Microservices</vt:lpstr>
      <vt:lpstr>agent actions</vt:lpstr>
      <vt:lpstr>Experiment 1</vt:lpstr>
      <vt:lpstr>Experiment 2</vt:lpstr>
      <vt:lpstr>Dynamos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2023-05-24T14:01:29Z</dcterms:created>
  <dcterms:modified xsi:type="dcterms:W3CDTF">2023-07-30T15:45:12Z</dcterms:modified>
</cp:coreProperties>
</file>