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rano\Desktop\"/>
    </mc:Choice>
  </mc:AlternateContent>
  <bookViews>
    <workbookView xWindow="0" yWindow="0" windowWidth="15330" windowHeight="7080"/>
  </bookViews>
  <sheets>
    <sheet name="Sheet1" sheetId="1" r:id="rId1"/>
    <sheet name="Resource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1" l="1"/>
  <c r="AG13" i="1"/>
  <c r="AG12" i="1"/>
  <c r="Z9" i="1" l="1"/>
  <c r="AA9" i="1"/>
  <c r="AC10" i="1"/>
  <c r="AC11" i="1"/>
  <c r="AC12" i="1"/>
  <c r="AC13" i="1"/>
  <c r="AC9" i="1"/>
  <c r="B6" i="1"/>
  <c r="B5" i="1"/>
  <c r="AC28" i="1"/>
  <c r="M28" i="1"/>
  <c r="I28" i="1"/>
  <c r="H28" i="1"/>
  <c r="J28" i="1" s="1"/>
  <c r="F28" i="1"/>
  <c r="E28" i="1"/>
  <c r="AC27" i="1"/>
  <c r="M27" i="1"/>
  <c r="I27" i="1"/>
  <c r="H27" i="1"/>
  <c r="J27" i="1" s="1"/>
  <c r="F27" i="1"/>
  <c r="E27" i="1"/>
  <c r="AC26" i="1"/>
  <c r="M26" i="1"/>
  <c r="J26" i="1"/>
  <c r="I26" i="1"/>
  <c r="H26" i="1"/>
  <c r="F26" i="1"/>
  <c r="K26" i="1" s="1"/>
  <c r="E26" i="1"/>
  <c r="AC25" i="1"/>
  <c r="M25" i="1"/>
  <c r="I25" i="1"/>
  <c r="H25" i="1"/>
  <c r="J25" i="1" s="1"/>
  <c r="F25" i="1"/>
  <c r="E25" i="1"/>
  <c r="AC24" i="1"/>
  <c r="M24" i="1"/>
  <c r="I24" i="1"/>
  <c r="H24" i="1"/>
  <c r="J24" i="1" s="1"/>
  <c r="F24" i="1"/>
  <c r="K24" i="1" s="1"/>
  <c r="E24" i="1"/>
  <c r="E11" i="1"/>
  <c r="F11" i="1"/>
  <c r="H11" i="1"/>
  <c r="K11" i="1" s="1"/>
  <c r="L11" i="1" s="1"/>
  <c r="I11" i="1"/>
  <c r="E12" i="1"/>
  <c r="F12" i="1"/>
  <c r="H12" i="1"/>
  <c r="J12" i="1" s="1"/>
  <c r="I12" i="1"/>
  <c r="E13" i="1"/>
  <c r="F13" i="1"/>
  <c r="H13" i="1"/>
  <c r="K13" i="1" s="1"/>
  <c r="L13" i="1" s="1"/>
  <c r="I13" i="1"/>
  <c r="E10" i="1"/>
  <c r="F10" i="1"/>
  <c r="H10" i="1"/>
  <c r="J10" i="1" s="1"/>
  <c r="I10" i="1"/>
  <c r="AC39" i="1"/>
  <c r="M39" i="1"/>
  <c r="J39" i="1"/>
  <c r="I39" i="1"/>
  <c r="H39" i="1"/>
  <c r="F39" i="1"/>
  <c r="E39" i="1"/>
  <c r="I9" i="1"/>
  <c r="H9" i="1"/>
  <c r="J9" i="1" s="1"/>
  <c r="F9" i="1"/>
  <c r="E9" i="1"/>
  <c r="D8" i="2"/>
  <c r="C8" i="2"/>
  <c r="B8" i="2"/>
  <c r="K25" i="1" l="1"/>
  <c r="K27" i="1"/>
  <c r="L27" i="1" s="1"/>
  <c r="K28" i="1"/>
  <c r="L28" i="1" s="1"/>
  <c r="L24" i="1"/>
  <c r="L25" i="1"/>
  <c r="L26" i="1"/>
  <c r="J13" i="1"/>
  <c r="K12" i="1"/>
  <c r="L12" i="1" s="1"/>
  <c r="S12" i="1" s="1"/>
  <c r="Q12" i="1" s="1"/>
  <c r="P12" i="1" s="1"/>
  <c r="J11" i="1"/>
  <c r="S13" i="1"/>
  <c r="Q13" i="1" s="1"/>
  <c r="P13" i="1" s="1"/>
  <c r="S11" i="1"/>
  <c r="Q11" i="1" s="1"/>
  <c r="P11" i="1" s="1"/>
  <c r="K10" i="1"/>
  <c r="L10" i="1" s="1"/>
  <c r="K39" i="1"/>
  <c r="L39" i="1" s="1"/>
  <c r="K9" i="1"/>
  <c r="L9" i="1" s="1"/>
  <c r="S28" i="1" l="1"/>
  <c r="Q28" i="1" s="1"/>
  <c r="P28" i="1" s="1"/>
  <c r="S27" i="1"/>
  <c r="Q27" i="1" s="1"/>
  <c r="P27" i="1" s="1"/>
  <c r="S25" i="1"/>
  <c r="Q25" i="1" s="1"/>
  <c r="P25" i="1" s="1"/>
  <c r="S26" i="1"/>
  <c r="Q26" i="1" s="1"/>
  <c r="P26" i="1" s="1"/>
  <c r="S24" i="1"/>
  <c r="Q24" i="1" s="1"/>
  <c r="P24" i="1" s="1"/>
  <c r="R11" i="1"/>
  <c r="T11" i="1" s="1"/>
  <c r="U11" i="1" s="1"/>
  <c r="O11" i="1"/>
  <c r="R12" i="1"/>
  <c r="T12" i="1" s="1"/>
  <c r="U12" i="1" s="1"/>
  <c r="O12" i="1"/>
  <c r="R13" i="1"/>
  <c r="T13" i="1" s="1"/>
  <c r="U13" i="1" s="1"/>
  <c r="O13" i="1"/>
  <c r="S10" i="1"/>
  <c r="Q10" i="1" s="1"/>
  <c r="P10" i="1" s="1"/>
  <c r="S39" i="1"/>
  <c r="Q39" i="1" s="1"/>
  <c r="P39" i="1" s="1"/>
  <c r="S9" i="1"/>
  <c r="R26" i="1" l="1"/>
  <c r="T26" i="1" s="1"/>
  <c r="U26" i="1" s="1"/>
  <c r="O26" i="1"/>
  <c r="R24" i="1"/>
  <c r="T24" i="1" s="1"/>
  <c r="U24" i="1" s="1"/>
  <c r="O24" i="1"/>
  <c r="R25" i="1"/>
  <c r="T25" i="1" s="1"/>
  <c r="U25" i="1" s="1"/>
  <c r="O25" i="1"/>
  <c r="R27" i="1"/>
  <c r="T27" i="1" s="1"/>
  <c r="U27" i="1" s="1"/>
  <c r="O27" i="1"/>
  <c r="R28" i="1"/>
  <c r="T28" i="1" s="1"/>
  <c r="U28" i="1" s="1"/>
  <c r="O28" i="1"/>
  <c r="Y13" i="1"/>
  <c r="V13" i="1"/>
  <c r="Y11" i="1"/>
  <c r="V11" i="1"/>
  <c r="Y12" i="1"/>
  <c r="V12" i="1"/>
  <c r="O10" i="1"/>
  <c r="R10" i="1"/>
  <c r="T10" i="1" s="1"/>
  <c r="U10" i="1" s="1"/>
  <c r="R39" i="1"/>
  <c r="T39" i="1" s="1"/>
  <c r="U39" i="1" s="1"/>
  <c r="O39" i="1"/>
  <c r="Q9" i="1"/>
  <c r="P9" i="1" s="1"/>
  <c r="V24" i="1" l="1"/>
  <c r="Y24" i="1"/>
  <c r="V25" i="1"/>
  <c r="Y25" i="1"/>
  <c r="V27" i="1"/>
  <c r="Y27" i="1"/>
  <c r="V28" i="1"/>
  <c r="Y28" i="1"/>
  <c r="V26" i="1"/>
  <c r="Y26" i="1"/>
  <c r="W12" i="1"/>
  <c r="Z12" i="1" s="1"/>
  <c r="W13" i="1"/>
  <c r="Z13" i="1" s="1"/>
  <c r="W11" i="1"/>
  <c r="Z11" i="1" s="1"/>
  <c r="Y10" i="1"/>
  <c r="V10" i="1"/>
  <c r="V39" i="1"/>
  <c r="Y39" i="1"/>
  <c r="R9" i="1"/>
  <c r="T9" i="1" s="1"/>
  <c r="O9" i="1"/>
  <c r="W28" i="1" l="1"/>
  <c r="Z28" i="1" s="1"/>
  <c r="W25" i="1"/>
  <c r="Z25" i="1" s="1"/>
  <c r="W26" i="1"/>
  <c r="Z26" i="1" s="1"/>
  <c r="W24" i="1"/>
  <c r="Z24" i="1" s="1"/>
  <c r="W27" i="1"/>
  <c r="Z27" i="1" s="1"/>
  <c r="X12" i="1"/>
  <c r="AA12" i="1" s="1"/>
  <c r="AF12" i="1" s="1"/>
  <c r="X11" i="1"/>
  <c r="AA11" i="1" s="1"/>
  <c r="AB11" i="1" s="1"/>
  <c r="X13" i="1"/>
  <c r="AA13" i="1" s="1"/>
  <c r="AF13" i="1" s="1"/>
  <c r="W10" i="1"/>
  <c r="Z10" i="1" s="1"/>
  <c r="W39" i="1"/>
  <c r="Z39" i="1" s="1"/>
  <c r="U9" i="1"/>
  <c r="X24" i="1" l="1"/>
  <c r="AA24" i="1" s="1"/>
  <c r="AF24" i="1" s="1"/>
  <c r="X26" i="1"/>
  <c r="AA26" i="1" s="1"/>
  <c r="AF26" i="1" s="1"/>
  <c r="X25" i="1"/>
  <c r="AA25" i="1" s="1"/>
  <c r="AF25" i="1" s="1"/>
  <c r="V9" i="1"/>
  <c r="Y9" i="1"/>
  <c r="W9" i="1" s="1"/>
  <c r="X27" i="1"/>
  <c r="AA27" i="1" s="1"/>
  <c r="AF27" i="1" s="1"/>
  <c r="AB26" i="1"/>
  <c r="X28" i="1"/>
  <c r="AA28" i="1" s="1"/>
  <c r="AF28" i="1" s="1"/>
  <c r="AB13" i="1"/>
  <c r="AB12" i="1"/>
  <c r="AD12" i="1" s="1"/>
  <c r="AH12" i="1" s="1"/>
  <c r="AI12" i="1" s="1"/>
  <c r="AF11" i="1"/>
  <c r="AD11" i="1"/>
  <c r="AH11" i="1" s="1"/>
  <c r="X10" i="1"/>
  <c r="AA10" i="1" s="1"/>
  <c r="AB10" i="1" s="1"/>
  <c r="X39" i="1"/>
  <c r="AA39" i="1" s="1"/>
  <c r="AF39" i="1" s="1"/>
  <c r="AI11" i="1" l="1"/>
  <c r="AB28" i="1"/>
  <c r="AB24" i="1"/>
  <c r="AD24" i="1" s="1"/>
  <c r="AH24" i="1" s="1"/>
  <c r="AI24" i="1" s="1"/>
  <c r="AB25" i="1"/>
  <c r="AD25" i="1" s="1"/>
  <c r="AH25" i="1" s="1"/>
  <c r="AI25" i="1" s="1"/>
  <c r="X9" i="1"/>
  <c r="AD28" i="1"/>
  <c r="AH28" i="1" s="1"/>
  <c r="AI28" i="1" s="1"/>
  <c r="AD26" i="1"/>
  <c r="AH26" i="1" s="1"/>
  <c r="AI26" i="1" s="1"/>
  <c r="AB27" i="1"/>
  <c r="AD13" i="1"/>
  <c r="AH13" i="1" s="1"/>
  <c r="AI13" i="1" s="1"/>
  <c r="AE12" i="1"/>
  <c r="AE11" i="1"/>
  <c r="AF10" i="1"/>
  <c r="AD10" i="1"/>
  <c r="AH10" i="1" s="1"/>
  <c r="AB39" i="1"/>
  <c r="AF9" i="1" l="1"/>
  <c r="AB9" i="1"/>
  <c r="AD9" i="1" s="1"/>
  <c r="AH9" i="1" s="1"/>
  <c r="AD27" i="1"/>
  <c r="AH27" i="1" s="1"/>
  <c r="AI27" i="1" s="1"/>
  <c r="AE26" i="1"/>
  <c r="AE28" i="1"/>
  <c r="AE24" i="1"/>
  <c r="AE25" i="1"/>
  <c r="AE13" i="1"/>
  <c r="AI10" i="1"/>
  <c r="AE10" i="1"/>
  <c r="AD39" i="1"/>
  <c r="AH39" i="1" s="1"/>
  <c r="AI39" i="1" s="1"/>
  <c r="AE9" i="1" l="1"/>
  <c r="AE27" i="1"/>
  <c r="AE39" i="1"/>
  <c r="AI9" i="1"/>
</calcChain>
</file>

<file path=xl/sharedStrings.xml><?xml version="1.0" encoding="utf-8"?>
<sst xmlns="http://schemas.openxmlformats.org/spreadsheetml/2006/main" count="150" uniqueCount="63">
  <si>
    <t>SphericalTanks Comparison</t>
  </si>
  <si>
    <t>Part Name</t>
  </si>
  <si>
    <t>DM-SphericalTank-125-55</t>
  </si>
  <si>
    <t>LF (units)</t>
  </si>
  <si>
    <t>Ox (units)</t>
  </si>
  <si>
    <t>V (m3)</t>
  </si>
  <si>
    <t>As (m2)</t>
  </si>
  <si>
    <t>Usable %</t>
  </si>
  <si>
    <t>Resource Type</t>
  </si>
  <si>
    <t>LF</t>
  </si>
  <si>
    <t>Cost ($/U)</t>
  </si>
  <si>
    <t>Volume (L/U)</t>
  </si>
  <si>
    <t>Ox</t>
  </si>
  <si>
    <t>MP</t>
  </si>
  <si>
    <t>SF</t>
  </si>
  <si>
    <t>Xe</t>
  </si>
  <si>
    <t>Ore</t>
  </si>
  <si>
    <t>Mass (T/U)</t>
  </si>
  <si>
    <t>LFO</t>
  </si>
  <si>
    <t>Fuel Mass (T)</t>
  </si>
  <si>
    <t>Mass Fraction</t>
  </si>
  <si>
    <t>Dry Mass</t>
  </si>
  <si>
    <t>Fuel Cost</t>
  </si>
  <si>
    <t>Dry Cost</t>
  </si>
  <si>
    <t>Total Mass</t>
  </si>
  <si>
    <t>Container Type</t>
  </si>
  <si>
    <t>Nom FMass (T)</t>
  </si>
  <si>
    <t>OS or (m)</t>
  </si>
  <si>
    <t>OS Vol</t>
  </si>
  <si>
    <t>OS Thk %</t>
  </si>
  <si>
    <t>OS Thk (m)</t>
  </si>
  <si>
    <t>Cryo Dbl Sphere</t>
  </si>
  <si>
    <t>IS ir</t>
  </si>
  <si>
    <t>OS ir</t>
  </si>
  <si>
    <t>IS Thk %</t>
  </si>
  <si>
    <t>Amb Dbl Sphere</t>
  </si>
  <si>
    <t>IS Thk (m)</t>
  </si>
  <si>
    <t>OS or</t>
  </si>
  <si>
    <t>IS or</t>
  </si>
  <si>
    <t>IS Vol</t>
  </si>
  <si>
    <t>Inr Vol</t>
  </si>
  <si>
    <t>Otr Vol</t>
  </si>
  <si>
    <t>OC Vol</t>
  </si>
  <si>
    <t>Fuel Frac</t>
  </si>
  <si>
    <t>Usable V</t>
  </si>
  <si>
    <t>Inr (LF) Cap</t>
  </si>
  <si>
    <t>Otr (Ox) Cap</t>
  </si>
  <si>
    <t>Usable Cap (L)</t>
  </si>
  <si>
    <t>Total Cost</t>
  </si>
  <si>
    <t>Str $/T</t>
  </si>
  <si>
    <t>DM-SphericalTank-125-70</t>
  </si>
  <si>
    <t>DM-SphericalTank-125-88</t>
  </si>
  <si>
    <t>DM-SphericalTank-125-111</t>
  </si>
  <si>
    <t>DM-SphericalTank-125-140</t>
  </si>
  <si>
    <t>Amb Sgl Sphere</t>
  </si>
  <si>
    <t>Fuel:</t>
  </si>
  <si>
    <t>Oxidizer:</t>
  </si>
  <si>
    <t>Name</t>
  </si>
  <si>
    <t>Mix</t>
  </si>
  <si>
    <t>Ox Frac</t>
  </si>
  <si>
    <t>LiquidFuel</t>
  </si>
  <si>
    <t>Sh Name</t>
  </si>
  <si>
    <t>Oxidizer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</si>
</sst>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"/>
    <numFmt numFmtId="168" formatCode="0.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0" fillId="0" borderId="0" xfId="0" applyNumberFormat="1"/>
    <xf numFmtId="167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10" fontId="2" fillId="2" borderId="1" xfId="2" applyNumberFormat="1"/>
    <xf numFmtId="0" fontId="2" fillId="2" borderId="1" xfId="2"/>
    <xf numFmtId="2" fontId="2" fillId="2" borderId="1" xfId="2" applyNumberForma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tabSelected="1" topLeftCell="C5" workbookViewId="0">
      <selection activeCell="AG12" sqref="AG12"/>
    </sheetView>
  </sheetViews>
  <sheetFormatPr defaultRowHeight="15" outlineLevelCol="1" x14ac:dyDescent="0.25"/>
  <cols>
    <col min="1" max="1" width="25.7109375" bestFit="1" customWidth="1"/>
    <col min="2" max="2" width="15.28515625" bestFit="1" customWidth="1"/>
    <col min="3" max="3" width="14.140625" bestFit="1" customWidth="1"/>
    <col min="5" max="5" width="9.140625" hidden="1" customWidth="1" outlineLevel="1"/>
    <col min="6" max="6" width="9.140625" customWidth="1" collapsed="1"/>
    <col min="7" max="7" width="9" bestFit="1" customWidth="1"/>
    <col min="8" max="8" width="10.5703125" hidden="1" customWidth="1" outlineLevel="1"/>
    <col min="9" max="9" width="5.7109375" hidden="1" customWidth="1" outlineLevel="1"/>
    <col min="10" max="10" width="6.5703125" hidden="1" customWidth="1" outlineLevel="1"/>
    <col min="11" max="11" width="7.28515625" hidden="1" customWidth="1" outlineLevel="1"/>
    <col min="12" max="12" width="8.7109375" customWidth="1" collapsed="1"/>
    <col min="13" max="13" width="8.85546875" bestFit="1" customWidth="1"/>
    <col min="14" max="14" width="11" customWidth="1"/>
    <col min="15" max="15" width="11" hidden="1" customWidth="1" outlineLevel="1"/>
    <col min="16" max="16" width="6.5703125" hidden="1" customWidth="1" outlineLevel="1"/>
    <col min="17" max="17" width="7.5703125" hidden="1" customWidth="1" outlineLevel="1"/>
    <col min="18" max="18" width="8.7109375" hidden="1" customWidth="1" outlineLevel="1"/>
    <col min="19" max="19" width="6.85546875" hidden="1" customWidth="1" outlineLevel="1"/>
    <col min="20" max="20" width="7" hidden="1" customWidth="1" outlineLevel="1"/>
    <col min="21" max="21" width="8.7109375" bestFit="1" customWidth="1" collapsed="1"/>
    <col min="22" max="22" width="9" style="4" bestFit="1" customWidth="1"/>
    <col min="23" max="24" width="11.7109375" hidden="1" customWidth="1" outlineLevel="1"/>
    <col min="25" max="25" width="13.5703125" bestFit="1" customWidth="1" collapsed="1"/>
    <col min="28" max="28" width="12.5703125" bestFit="1" customWidth="1"/>
    <col min="29" max="29" width="13.140625" hidden="1" customWidth="1" outlineLevel="1"/>
    <col min="30" max="30" width="9.140625" collapsed="1"/>
    <col min="31" max="31" width="10.28515625" bestFit="1" customWidth="1"/>
    <col min="33" max="33" width="9.140625" customWidth="1" outlineLevel="1"/>
    <col min="35" max="35" width="9.7109375" bestFit="1" customWidth="1"/>
  </cols>
  <sheetData>
    <row r="1" spans="1:35" x14ac:dyDescent="0.25">
      <c r="A1" t="s">
        <v>0</v>
      </c>
    </row>
    <row r="2" spans="1:35" x14ac:dyDescent="0.25">
      <c r="B2" t="s">
        <v>57</v>
      </c>
      <c r="C2" t="s">
        <v>58</v>
      </c>
      <c r="D2" t="s">
        <v>61</v>
      </c>
    </row>
    <row r="3" spans="1:35" x14ac:dyDescent="0.25">
      <c r="A3" t="s">
        <v>55</v>
      </c>
      <c r="B3" t="s">
        <v>60</v>
      </c>
      <c r="C3">
        <v>9</v>
      </c>
      <c r="D3" t="s">
        <v>9</v>
      </c>
    </row>
    <row r="4" spans="1:35" x14ac:dyDescent="0.25">
      <c r="A4" t="s">
        <v>56</v>
      </c>
      <c r="B4" t="s">
        <v>62</v>
      </c>
      <c r="C4">
        <v>11</v>
      </c>
      <c r="D4" t="s">
        <v>12</v>
      </c>
    </row>
    <row r="5" spans="1:35" x14ac:dyDescent="0.25">
      <c r="A5" t="s">
        <v>43</v>
      </c>
      <c r="B5" s="2">
        <f>C3/(C3+C4)</f>
        <v>0.45</v>
      </c>
    </row>
    <row r="6" spans="1:35" x14ac:dyDescent="0.25">
      <c r="A6" t="s">
        <v>59</v>
      </c>
      <c r="B6" s="2">
        <f>C4/(C4+C3)</f>
        <v>0.55000000000000004</v>
      </c>
    </row>
    <row r="8" spans="1:35" x14ac:dyDescent="0.25">
      <c r="A8" t="s">
        <v>1</v>
      </c>
      <c r="B8" t="s">
        <v>25</v>
      </c>
      <c r="C8" t="s">
        <v>26</v>
      </c>
      <c r="D8" t="s">
        <v>27</v>
      </c>
      <c r="E8" t="s">
        <v>6</v>
      </c>
      <c r="F8" t="s">
        <v>5</v>
      </c>
      <c r="G8" t="s">
        <v>29</v>
      </c>
      <c r="H8" t="s">
        <v>30</v>
      </c>
      <c r="I8" t="s">
        <v>37</v>
      </c>
      <c r="J8" t="s">
        <v>33</v>
      </c>
      <c r="K8" t="s">
        <v>28</v>
      </c>
      <c r="L8" t="s">
        <v>41</v>
      </c>
      <c r="M8" t="s">
        <v>43</v>
      </c>
      <c r="N8" t="s">
        <v>34</v>
      </c>
      <c r="O8" t="s">
        <v>36</v>
      </c>
      <c r="P8" t="s">
        <v>38</v>
      </c>
      <c r="Q8" t="s">
        <v>32</v>
      </c>
      <c r="R8" t="s">
        <v>39</v>
      </c>
      <c r="S8" t="s">
        <v>40</v>
      </c>
      <c r="T8" t="s">
        <v>42</v>
      </c>
      <c r="U8" t="s">
        <v>44</v>
      </c>
      <c r="V8" s="4" t="s">
        <v>7</v>
      </c>
      <c r="W8" t="s">
        <v>45</v>
      </c>
      <c r="X8" t="s">
        <v>46</v>
      </c>
      <c r="Y8" t="s">
        <v>47</v>
      </c>
      <c r="Z8" t="s">
        <v>3</v>
      </c>
      <c r="AA8" t="s">
        <v>4</v>
      </c>
      <c r="AB8" t="s">
        <v>19</v>
      </c>
      <c r="AC8" t="s">
        <v>20</v>
      </c>
      <c r="AD8" t="s">
        <v>21</v>
      </c>
      <c r="AE8" t="s">
        <v>24</v>
      </c>
      <c r="AF8" t="s">
        <v>22</v>
      </c>
      <c r="AG8" t="s">
        <v>49</v>
      </c>
      <c r="AH8" t="s">
        <v>23</v>
      </c>
      <c r="AI8" t="s">
        <v>48</v>
      </c>
    </row>
    <row r="9" spans="1:35" x14ac:dyDescent="0.25">
      <c r="A9" t="s">
        <v>2</v>
      </c>
      <c r="B9" t="s">
        <v>31</v>
      </c>
      <c r="C9" s="5">
        <v>0.61250000000000004</v>
      </c>
      <c r="D9" s="9">
        <v>0.55000000000000004</v>
      </c>
      <c r="E9">
        <f>4*PI()*(D9^2)</f>
        <v>3.8013271108436504</v>
      </c>
      <c r="F9">
        <f>4*PI()*(D9^3)/3</f>
        <v>0.69690997032133595</v>
      </c>
      <c r="G9" s="7">
        <v>2.445E-2</v>
      </c>
      <c r="H9" s="1">
        <f>D9*G9</f>
        <v>1.3447500000000001E-2</v>
      </c>
      <c r="I9" s="1">
        <f>D9</f>
        <v>0.55000000000000004</v>
      </c>
      <c r="J9" s="5">
        <f>D9-H9</f>
        <v>0.53655249999999999</v>
      </c>
      <c r="K9" s="2">
        <f>F9-(4*PI()*((D9-H9)^3)/3)</f>
        <v>4.9878688980547037E-2</v>
      </c>
      <c r="L9" s="1">
        <f>F9-K9</f>
        <v>0.64703128134078891</v>
      </c>
      <c r="M9" s="9">
        <v>0.45</v>
      </c>
      <c r="N9" s="7">
        <v>0.04</v>
      </c>
      <c r="O9" s="5">
        <f>P9-Q9</f>
        <v>1.6809608250444419E-2</v>
      </c>
      <c r="P9" s="5">
        <f>Q9/(1-N9)</f>
        <v>0.42024020626110958</v>
      </c>
      <c r="Q9" s="5">
        <f>POWER(S9*3/(4*PI()),1/3)</f>
        <v>0.40343059801066516</v>
      </c>
      <c r="R9" s="1">
        <f>(4*PI()*(P9^3)/3)-S9</f>
        <v>3.5832334113181208E-2</v>
      </c>
      <c r="S9" s="1">
        <f>L9/(((1-M9)/M9)+(1/((1-N9)^3)))</f>
        <v>0.27503952625242351</v>
      </c>
      <c r="T9" s="1">
        <f>(L9-R9-S9)</f>
        <v>0.3361594209751842</v>
      </c>
      <c r="U9" s="1">
        <f>T9+S9</f>
        <v>0.6111989472276077</v>
      </c>
      <c r="V9" s="4">
        <f>U9/F9</f>
        <v>0.87701277533135591</v>
      </c>
      <c r="W9" s="6">
        <f>Y9*M9</f>
        <v>275.625</v>
      </c>
      <c r="X9" s="6">
        <f>Y9-W9</f>
        <v>336.875</v>
      </c>
      <c r="Y9" s="3">
        <f>CEILING(U9*1000,2.5)</f>
        <v>612.5</v>
      </c>
      <c r="Z9">
        <f>W9/ResourceStats!$D$8</f>
        <v>55.125</v>
      </c>
      <c r="AA9">
        <f>X9/ResourceStats!$D$8</f>
        <v>67.375</v>
      </c>
      <c r="AB9" s="5">
        <f>(Z9+AA9)*ResourceStats!$C$8</f>
        <v>0.61250000000000016</v>
      </c>
      <c r="AC9" s="7">
        <f>1/8</f>
        <v>0.125</v>
      </c>
      <c r="AD9">
        <f>AB9*AC9</f>
        <v>7.6562500000000019E-2</v>
      </c>
      <c r="AE9" s="5">
        <f>AB9+AD9</f>
        <v>0.68906250000000013</v>
      </c>
      <c r="AF9">
        <f>(Z9+AA9)*ResourceStats!$B$8</f>
        <v>56.227500000000006</v>
      </c>
      <c r="AG9" s="8">
        <v>1665.5</v>
      </c>
      <c r="AH9">
        <f>AD9*AG9</f>
        <v>127.51484375000003</v>
      </c>
      <c r="AI9">
        <f>_xlfn.CEILING.MATH(AF9+AH9,1)</f>
        <v>184</v>
      </c>
    </row>
    <row r="10" spans="1:35" x14ac:dyDescent="0.25">
      <c r="A10" t="s">
        <v>50</v>
      </c>
      <c r="B10" t="s">
        <v>31</v>
      </c>
      <c r="C10" s="5">
        <v>1.25</v>
      </c>
      <c r="D10" s="9">
        <v>0.7</v>
      </c>
      <c r="E10">
        <f>4*PI()*(D10^2)</f>
        <v>6.1575216010359934</v>
      </c>
      <c r="F10">
        <f>4*PI()*(D10^3)/3</f>
        <v>1.4367550402417317</v>
      </c>
      <c r="G10" s="7">
        <v>2.5000000000000001E-2</v>
      </c>
      <c r="H10" s="1">
        <f>D10*G10</f>
        <v>1.7499999999999998E-2</v>
      </c>
      <c r="I10" s="1">
        <f>D10</f>
        <v>0.7</v>
      </c>
      <c r="J10" s="5">
        <f>D10-H10</f>
        <v>0.6825</v>
      </c>
      <c r="K10" s="2">
        <f>F10-(4*PI()*((D10-H10)^3)/3)</f>
        <v>0.10508516161518022</v>
      </c>
      <c r="L10" s="1">
        <f>F10-K10</f>
        <v>1.3316698786265515</v>
      </c>
      <c r="M10" s="9">
        <v>0.45</v>
      </c>
      <c r="N10" s="7">
        <v>4.4999999999999998E-2</v>
      </c>
      <c r="O10" s="5">
        <f>P10-Q10</f>
        <v>2.4119836532381589E-2</v>
      </c>
      <c r="P10" s="5">
        <f>Q10/(1-N10)</f>
        <v>0.53599636738625611</v>
      </c>
      <c r="Q10" s="5">
        <f>POWER(S10*3/(4*PI()),1/3)</f>
        <v>0.51187653085387452</v>
      </c>
      <c r="R10" s="1">
        <f>(4*PI()*(P10^3)/3)-S10</f>
        <v>8.3218166325753185E-2</v>
      </c>
      <c r="S10" s="1">
        <f>L10/(((1-M10)/M10)+(1/((1-N10)^3)))</f>
        <v>0.56180327053535939</v>
      </c>
      <c r="T10" s="1">
        <f>(L10-R10-S10)</f>
        <v>0.68664844176543893</v>
      </c>
      <c r="U10" s="1">
        <f>T10+S10</f>
        <v>1.2484517123007983</v>
      </c>
      <c r="V10" s="4">
        <f>U10/F10</f>
        <v>0.86893846016419629</v>
      </c>
      <c r="W10" s="6">
        <f>Y10*M10</f>
        <v>562.5</v>
      </c>
      <c r="X10" s="6">
        <f>Y10-W10</f>
        <v>687.5</v>
      </c>
      <c r="Y10" s="3">
        <f>CEILING(U10*1000,2.5)</f>
        <v>1250</v>
      </c>
      <c r="Z10">
        <f>W10/ResourceStats!$D$8</f>
        <v>112.5</v>
      </c>
      <c r="AA10">
        <f>X10/ResourceStats!$D$8</f>
        <v>137.5</v>
      </c>
      <c r="AB10" s="5">
        <f>(Z10+AA10)*ResourceStats!$C$8</f>
        <v>1.2500000000000002</v>
      </c>
      <c r="AC10" s="7">
        <f t="shared" ref="AC10:AC13" si="0">1/8</f>
        <v>0.125</v>
      </c>
      <c r="AD10">
        <f>AB10*AC10</f>
        <v>0.15625000000000003</v>
      </c>
      <c r="AE10" s="5">
        <f>AB10+AD10</f>
        <v>1.4062500000000002</v>
      </c>
      <c r="AF10">
        <f>(Z10+AA10)*ResourceStats!$B$8</f>
        <v>114.75000000000001</v>
      </c>
      <c r="AG10" s="8">
        <v>1665.5</v>
      </c>
      <c r="AH10">
        <f>AD10*AG10</f>
        <v>260.23437500000006</v>
      </c>
      <c r="AI10">
        <f>_xlfn.CEILING.MATH(AF10+AH10,1)</f>
        <v>375</v>
      </c>
    </row>
    <row r="11" spans="1:35" x14ac:dyDescent="0.25">
      <c r="A11" t="s">
        <v>51</v>
      </c>
      <c r="B11" t="s">
        <v>31</v>
      </c>
      <c r="C11" s="5">
        <v>2.5</v>
      </c>
      <c r="D11" s="9">
        <v>0.88</v>
      </c>
      <c r="E11">
        <f t="shared" ref="E11:E13" si="1">4*PI()*(D11^2)</f>
        <v>9.7313974037597433</v>
      </c>
      <c r="F11">
        <f t="shared" ref="F11:F13" si="2">4*PI()*(D11^3)/3</f>
        <v>2.8545432384361913</v>
      </c>
      <c r="G11" s="7">
        <v>2.6249999999999999E-2</v>
      </c>
      <c r="H11" s="1">
        <f t="shared" ref="H11:H13" si="3">D11*G11</f>
        <v>2.3099999999999999E-2</v>
      </c>
      <c r="I11" s="1">
        <f t="shared" ref="I11:I13" si="4">D11</f>
        <v>0.88</v>
      </c>
      <c r="J11" s="5">
        <f t="shared" ref="J11:J13" si="5">D11-H11</f>
        <v>0.8569</v>
      </c>
      <c r="K11" s="2">
        <f t="shared" ref="K11:K13" si="6">F11-(4*PI()*((D11-H11)^3)/3)</f>
        <v>0.21894603659202616</v>
      </c>
      <c r="L11" s="1">
        <f t="shared" ref="L11:L13" si="7">F11-K11</f>
        <v>2.6355972018441651</v>
      </c>
      <c r="M11" s="9">
        <v>0.45</v>
      </c>
      <c r="N11" s="7">
        <v>3.7499999999999999E-2</v>
      </c>
      <c r="O11" s="5">
        <f t="shared" ref="O11:O13" si="8">P11-Q11</f>
        <v>2.5133841065567264E-2</v>
      </c>
      <c r="P11" s="5">
        <f t="shared" ref="P11:P13" si="9">Q11/(1-N11)</f>
        <v>0.67023576174846045</v>
      </c>
      <c r="Q11" s="5">
        <f t="shared" ref="Q11:Q13" si="10">POWER(S11*3/(4*PI()),1/3)</f>
        <v>0.64510192068289318</v>
      </c>
      <c r="R11" s="1">
        <f t="shared" ref="R11:R13" si="11">(4*PI()*(P11^3)/3)-S11</f>
        <v>0.13662686893387921</v>
      </c>
      <c r="S11" s="1">
        <f t="shared" ref="S11:S13" si="12">L11/(((1-M11)/M11)+(1/((1-N11)^3)))</f>
        <v>1.1245366498096288</v>
      </c>
      <c r="T11" s="1">
        <f t="shared" ref="T11:T13" si="13">(L11-R11-S11)</f>
        <v>1.3744336831006572</v>
      </c>
      <c r="U11" s="1">
        <f t="shared" ref="U11:U13" si="14">T11+S11</f>
        <v>2.4989703329102859</v>
      </c>
      <c r="V11" s="4">
        <f t="shared" ref="V11:V13" si="15">U11/F11</f>
        <v>0.87543614658270186</v>
      </c>
      <c r="W11" s="6">
        <f t="shared" ref="W11:W13" si="16">Y11*M11</f>
        <v>1125</v>
      </c>
      <c r="X11" s="6">
        <f t="shared" ref="X11:X13" si="17">Y11-W11</f>
        <v>1375</v>
      </c>
      <c r="Y11" s="3">
        <f t="shared" ref="Y11:Y13" si="18">CEILING(U11*1000,2.5)</f>
        <v>2500</v>
      </c>
      <c r="Z11">
        <f>W11/ResourceStats!$D$8</f>
        <v>225</v>
      </c>
      <c r="AA11">
        <f>X11/ResourceStats!$D$8</f>
        <v>275</v>
      </c>
      <c r="AB11" s="5">
        <f>(Z11+AA11)*ResourceStats!$C$8</f>
        <v>2.5000000000000004</v>
      </c>
      <c r="AC11" s="7">
        <f t="shared" si="0"/>
        <v>0.125</v>
      </c>
      <c r="AD11">
        <f t="shared" ref="AD11:AD13" si="19">AB11*AC11</f>
        <v>0.31250000000000006</v>
      </c>
      <c r="AE11" s="5">
        <f t="shared" ref="AE11:AE13" si="20">AB11+AD11</f>
        <v>2.8125000000000004</v>
      </c>
      <c r="AF11">
        <f>(Z11+AA11)*ResourceStats!$B$8</f>
        <v>229.50000000000003</v>
      </c>
      <c r="AG11" s="8">
        <f>1665.5*4/5</f>
        <v>1332.4</v>
      </c>
      <c r="AH11">
        <f t="shared" ref="AH11:AH13" si="21">AD11*AG11</f>
        <v>416.37500000000011</v>
      </c>
      <c r="AI11">
        <f t="shared" ref="AI11:AI13" si="22">_xlfn.CEILING.MATH(AF11+AH11,1)</f>
        <v>646</v>
      </c>
    </row>
    <row r="12" spans="1:35" x14ac:dyDescent="0.25">
      <c r="A12" t="s">
        <v>52</v>
      </c>
      <c r="B12" t="s">
        <v>31</v>
      </c>
      <c r="C12" s="5">
        <v>5</v>
      </c>
      <c r="D12" s="9">
        <v>1.1100000000000001</v>
      </c>
      <c r="E12">
        <f t="shared" si="1"/>
        <v>15.483025233951938</v>
      </c>
      <c r="F12">
        <f t="shared" si="2"/>
        <v>5.728719336562218</v>
      </c>
      <c r="G12" s="7">
        <v>2.75E-2</v>
      </c>
      <c r="H12" s="1">
        <f t="shared" si="3"/>
        <v>3.0525000000000004E-2</v>
      </c>
      <c r="I12" s="1">
        <f t="shared" si="4"/>
        <v>1.1100000000000001</v>
      </c>
      <c r="J12" s="5">
        <f t="shared" si="5"/>
        <v>1.0794750000000002</v>
      </c>
      <c r="K12" s="2">
        <f t="shared" si="6"/>
        <v>0.45974145273150935</v>
      </c>
      <c r="L12" s="1">
        <f t="shared" si="7"/>
        <v>5.2689778838307086</v>
      </c>
      <c r="M12" s="9">
        <v>0.45</v>
      </c>
      <c r="N12" s="7">
        <v>3.6999999999999998E-2</v>
      </c>
      <c r="O12" s="5">
        <f t="shared" si="8"/>
        <v>3.1231590505116369E-2</v>
      </c>
      <c r="P12" s="5">
        <f t="shared" si="9"/>
        <v>0.84409704067881897</v>
      </c>
      <c r="Q12" s="5">
        <f t="shared" si="10"/>
        <v>0.8128654501737026</v>
      </c>
      <c r="R12" s="1">
        <f t="shared" si="11"/>
        <v>0.26941437043249072</v>
      </c>
      <c r="S12" s="1">
        <f t="shared" si="12"/>
        <v>2.2498035810291981</v>
      </c>
      <c r="T12" s="1">
        <f t="shared" si="13"/>
        <v>2.7497599323690203</v>
      </c>
      <c r="U12" s="1">
        <f t="shared" si="14"/>
        <v>4.9995635133982184</v>
      </c>
      <c r="V12" s="4">
        <f t="shared" si="15"/>
        <v>0.87271922740038388</v>
      </c>
      <c r="W12" s="6">
        <f t="shared" si="16"/>
        <v>2250</v>
      </c>
      <c r="X12" s="6">
        <f t="shared" si="17"/>
        <v>2750</v>
      </c>
      <c r="Y12" s="3">
        <f t="shared" si="18"/>
        <v>5000</v>
      </c>
      <c r="Z12">
        <f>W12/ResourceStats!$D$8</f>
        <v>450</v>
      </c>
      <c r="AA12">
        <f>X12/ResourceStats!$D$8</f>
        <v>550</v>
      </c>
      <c r="AB12" s="5">
        <f>(Z12+AA12)*ResourceStats!$C$8</f>
        <v>5.0000000000000009</v>
      </c>
      <c r="AC12" s="7">
        <f t="shared" si="0"/>
        <v>0.125</v>
      </c>
      <c r="AD12">
        <f t="shared" si="19"/>
        <v>0.62500000000000011</v>
      </c>
      <c r="AE12" s="5">
        <f t="shared" si="20"/>
        <v>5.6250000000000009</v>
      </c>
      <c r="AF12">
        <f>(Z12+AA12)*ResourceStats!$B$8</f>
        <v>459.00000000000006</v>
      </c>
      <c r="AG12" s="8">
        <f>1665.5*3/4</f>
        <v>1249.125</v>
      </c>
      <c r="AH12">
        <f t="shared" si="21"/>
        <v>780.70312500000011</v>
      </c>
      <c r="AI12">
        <f t="shared" si="22"/>
        <v>1240</v>
      </c>
    </row>
    <row r="13" spans="1:35" x14ac:dyDescent="0.25">
      <c r="A13" t="s">
        <v>53</v>
      </c>
      <c r="B13" t="s">
        <v>31</v>
      </c>
      <c r="C13" s="5">
        <v>1.25</v>
      </c>
      <c r="D13" s="9">
        <v>1.4</v>
      </c>
      <c r="E13">
        <f t="shared" si="1"/>
        <v>24.630086404143974</v>
      </c>
      <c r="F13">
        <f t="shared" si="2"/>
        <v>11.494040321933854</v>
      </c>
      <c r="G13" s="7">
        <v>2.75E-2</v>
      </c>
      <c r="H13" s="1">
        <f t="shared" si="3"/>
        <v>3.85E-2</v>
      </c>
      <c r="I13" s="1">
        <f t="shared" si="4"/>
        <v>1.4</v>
      </c>
      <c r="J13" s="5">
        <f t="shared" si="5"/>
        <v>1.3614999999999999</v>
      </c>
      <c r="K13" s="2">
        <f t="shared" si="6"/>
        <v>0.92242026269897437</v>
      </c>
      <c r="L13" s="1">
        <f t="shared" si="7"/>
        <v>10.571620059234879</v>
      </c>
      <c r="M13" s="9">
        <v>0.45</v>
      </c>
      <c r="N13" s="7">
        <v>3.9199999999999999E-2</v>
      </c>
      <c r="O13" s="5">
        <f t="shared" si="8"/>
        <v>4.1783135580830244E-2</v>
      </c>
      <c r="P13" s="5">
        <f t="shared" si="9"/>
        <v>1.0658963158375081</v>
      </c>
      <c r="Q13" s="5">
        <f t="shared" si="10"/>
        <v>1.0241131802566779</v>
      </c>
      <c r="R13" s="1">
        <f t="shared" si="11"/>
        <v>0.57346283105444407</v>
      </c>
      <c r="S13" s="1">
        <f t="shared" si="12"/>
        <v>4.4991707526811959</v>
      </c>
      <c r="T13" s="1">
        <f t="shared" si="13"/>
        <v>5.4989864754992395</v>
      </c>
      <c r="U13" s="1">
        <f t="shared" si="14"/>
        <v>9.9981572281804354</v>
      </c>
      <c r="V13" s="4">
        <f t="shared" si="15"/>
        <v>0.86985576421731758</v>
      </c>
      <c r="W13" s="6">
        <f t="shared" si="16"/>
        <v>4500</v>
      </c>
      <c r="X13" s="6">
        <f t="shared" si="17"/>
        <v>5500</v>
      </c>
      <c r="Y13" s="3">
        <f t="shared" si="18"/>
        <v>10000</v>
      </c>
      <c r="Z13">
        <f>W13/ResourceStats!$D$8</f>
        <v>900</v>
      </c>
      <c r="AA13">
        <f>X13/ResourceStats!$D$8</f>
        <v>1100</v>
      </c>
      <c r="AB13" s="5">
        <f>(Z13+AA13)*ResourceStats!$C$8</f>
        <v>10.000000000000002</v>
      </c>
      <c r="AC13" s="7">
        <f t="shared" si="0"/>
        <v>0.125</v>
      </c>
      <c r="AD13">
        <f t="shared" si="19"/>
        <v>1.2500000000000002</v>
      </c>
      <c r="AE13" s="5">
        <f t="shared" si="20"/>
        <v>11.250000000000002</v>
      </c>
      <c r="AF13">
        <f>(Z13+AA13)*ResourceStats!$B$8</f>
        <v>918.00000000000011</v>
      </c>
      <c r="AG13" s="8">
        <f>1665.5*3/4</f>
        <v>1249.125</v>
      </c>
      <c r="AH13">
        <f t="shared" si="21"/>
        <v>1561.4062500000002</v>
      </c>
      <c r="AI13">
        <f t="shared" si="22"/>
        <v>2480</v>
      </c>
    </row>
    <row r="14" spans="1:35" x14ac:dyDescent="0.25">
      <c r="D14" s="3"/>
    </row>
    <row r="15" spans="1:35" x14ac:dyDescent="0.25">
      <c r="D15" s="3"/>
    </row>
    <row r="16" spans="1:35" x14ac:dyDescent="0.25">
      <c r="D16" s="3"/>
    </row>
    <row r="17" spans="1:35" x14ac:dyDescent="0.25">
      <c r="D17" s="3"/>
    </row>
    <row r="18" spans="1:35" x14ac:dyDescent="0.25">
      <c r="D18" s="3"/>
    </row>
    <row r="19" spans="1:35" x14ac:dyDescent="0.25">
      <c r="D19" s="3"/>
    </row>
    <row r="20" spans="1:35" x14ac:dyDescent="0.25">
      <c r="D20" s="3"/>
    </row>
    <row r="21" spans="1:35" x14ac:dyDescent="0.25">
      <c r="D21" s="3"/>
    </row>
    <row r="23" spans="1:35" x14ac:dyDescent="0.25">
      <c r="A23" t="s">
        <v>1</v>
      </c>
      <c r="B23" t="s">
        <v>25</v>
      </c>
      <c r="C23" t="s">
        <v>26</v>
      </c>
      <c r="D23" t="s">
        <v>27</v>
      </c>
      <c r="E23" t="s">
        <v>6</v>
      </c>
      <c r="F23" t="s">
        <v>5</v>
      </c>
      <c r="G23" t="s">
        <v>29</v>
      </c>
      <c r="H23" t="s">
        <v>30</v>
      </c>
      <c r="I23" t="s">
        <v>37</v>
      </c>
      <c r="J23" t="s">
        <v>33</v>
      </c>
      <c r="K23" t="s">
        <v>28</v>
      </c>
      <c r="L23" t="s">
        <v>41</v>
      </c>
      <c r="M23" t="s">
        <v>43</v>
      </c>
      <c r="N23" t="s">
        <v>34</v>
      </c>
      <c r="O23" t="s">
        <v>36</v>
      </c>
      <c r="P23" t="s">
        <v>38</v>
      </c>
      <c r="Q23" t="s">
        <v>32</v>
      </c>
      <c r="R23" t="s">
        <v>39</v>
      </c>
      <c r="S23" t="s">
        <v>40</v>
      </c>
      <c r="T23" t="s">
        <v>42</v>
      </c>
      <c r="U23" t="s">
        <v>44</v>
      </c>
      <c r="V23" s="4" t="s">
        <v>7</v>
      </c>
      <c r="W23" t="s">
        <v>45</v>
      </c>
      <c r="X23" t="s">
        <v>46</v>
      </c>
      <c r="Y23" t="s">
        <v>47</v>
      </c>
      <c r="Z23" t="s">
        <v>3</v>
      </c>
      <c r="AA23" t="s">
        <v>4</v>
      </c>
      <c r="AB23" t="s">
        <v>19</v>
      </c>
      <c r="AC23" t="s">
        <v>20</v>
      </c>
      <c r="AD23" t="s">
        <v>21</v>
      </c>
      <c r="AE23" t="s">
        <v>24</v>
      </c>
      <c r="AF23" t="s">
        <v>22</v>
      </c>
      <c r="AG23" t="s">
        <v>49</v>
      </c>
      <c r="AH23" t="s">
        <v>23</v>
      </c>
      <c r="AI23" t="s">
        <v>48</v>
      </c>
    </row>
    <row r="24" spans="1:35" x14ac:dyDescent="0.25">
      <c r="A24" t="s">
        <v>2</v>
      </c>
      <c r="B24" t="s">
        <v>35</v>
      </c>
      <c r="C24" s="5">
        <v>0.61250000000000004</v>
      </c>
      <c r="D24" s="9">
        <v>0.55000000000000004</v>
      </c>
      <c r="E24">
        <f>4*PI()*(D24^2)</f>
        <v>3.8013271108436504</v>
      </c>
      <c r="F24">
        <f>4*PI()*(D24^3)/3</f>
        <v>0.69690997032133595</v>
      </c>
      <c r="G24" s="7">
        <v>2.445E-2</v>
      </c>
      <c r="H24" s="1">
        <f>D24*G24</f>
        <v>1.3447500000000001E-2</v>
      </c>
      <c r="I24" s="1">
        <f>D24</f>
        <v>0.55000000000000004</v>
      </c>
      <c r="J24" s="5">
        <f>D24-H24</f>
        <v>0.53655249999999999</v>
      </c>
      <c r="K24" s="2">
        <f>F24-(4*PI()*((D24-H24)^3)/3)</f>
        <v>4.9878688980547037E-2</v>
      </c>
      <c r="L24" s="1">
        <f>F24-K24</f>
        <v>0.64703128134078891</v>
      </c>
      <c r="M24" s="9">
        <f>9/20</f>
        <v>0.45</v>
      </c>
      <c r="N24" s="7">
        <v>0.04</v>
      </c>
      <c r="O24" s="5">
        <f>P24-Q24</f>
        <v>1.6809608250444419E-2</v>
      </c>
      <c r="P24" s="5">
        <f>Q24/(1-N24)</f>
        <v>0.42024020626110958</v>
      </c>
      <c r="Q24" s="5">
        <f>POWER(S24*3/(4*PI()),1/3)</f>
        <v>0.40343059801066516</v>
      </c>
      <c r="R24" s="1">
        <f>(4*PI()*(P24^3)/3)-S24</f>
        <v>3.5832334113181208E-2</v>
      </c>
      <c r="S24" s="1">
        <f>L24/(((1-M24)/M24)+(1/((1-N24)^3)))</f>
        <v>0.27503952625242351</v>
      </c>
      <c r="T24" s="1">
        <f>(L24-R24-S24)</f>
        <v>0.3361594209751842</v>
      </c>
      <c r="U24" s="1">
        <f>T24+S24</f>
        <v>0.6111989472276077</v>
      </c>
      <c r="V24" s="4">
        <f>U24/F24</f>
        <v>0.87701277533135591</v>
      </c>
      <c r="W24" s="6">
        <f>Y24*M24</f>
        <v>275.625</v>
      </c>
      <c r="X24" s="6">
        <f>Y24-W24</f>
        <v>336.875</v>
      </c>
      <c r="Y24" s="3">
        <f>CEILING(U24*1000,2.5)</f>
        <v>612.5</v>
      </c>
      <c r="Z24">
        <f>W24/ResourceStats!$D$8</f>
        <v>55.125</v>
      </c>
      <c r="AA24">
        <f>X24/ResourceStats!$D$8</f>
        <v>67.375</v>
      </c>
      <c r="AB24" s="5">
        <f>(Z24+AA24)*ResourceStats!$C$8</f>
        <v>0.61250000000000016</v>
      </c>
      <c r="AC24" s="7">
        <f>1/8</f>
        <v>0.125</v>
      </c>
      <c r="AD24">
        <f>AB24*AC24</f>
        <v>7.6562500000000019E-2</v>
      </c>
      <c r="AE24" s="5">
        <f>AB24+AD24</f>
        <v>0.68906250000000013</v>
      </c>
      <c r="AF24">
        <f>(Z24+AA24)*ResourceStats!$B$8</f>
        <v>56.227500000000006</v>
      </c>
      <c r="AG24" s="8">
        <v>1000</v>
      </c>
      <c r="AH24">
        <f>AD24*AG24</f>
        <v>76.562500000000014</v>
      </c>
      <c r="AI24">
        <f>_xlfn.CEILING.MATH(AF24+AH24,1)</f>
        <v>133</v>
      </c>
    </row>
    <row r="25" spans="1:35" x14ac:dyDescent="0.25">
      <c r="A25" t="s">
        <v>50</v>
      </c>
      <c r="B25" t="s">
        <v>35</v>
      </c>
      <c r="C25" s="5">
        <v>1.25</v>
      </c>
      <c r="D25" s="9">
        <v>0.7</v>
      </c>
      <c r="E25">
        <f>4*PI()*(D25^2)</f>
        <v>6.1575216010359934</v>
      </c>
      <c r="F25">
        <f>4*PI()*(D25^3)/3</f>
        <v>1.4367550402417317</v>
      </c>
      <c r="G25" s="7">
        <v>2.5000000000000001E-2</v>
      </c>
      <c r="H25" s="1">
        <f>D25*G25</f>
        <v>1.7499999999999998E-2</v>
      </c>
      <c r="I25" s="1">
        <f>D25</f>
        <v>0.7</v>
      </c>
      <c r="J25" s="5">
        <f>D25-H25</f>
        <v>0.6825</v>
      </c>
      <c r="K25" s="2">
        <f>F25-(4*PI()*((D25-H25)^3)/3)</f>
        <v>0.10508516161518022</v>
      </c>
      <c r="L25" s="1">
        <f>F25-K25</f>
        <v>1.3316698786265515</v>
      </c>
      <c r="M25" s="9">
        <f>9/20</f>
        <v>0.45</v>
      </c>
      <c r="N25" s="7">
        <v>4.4999999999999998E-2</v>
      </c>
      <c r="O25" s="5">
        <f>P25-Q25</f>
        <v>2.4119836532381589E-2</v>
      </c>
      <c r="P25" s="5">
        <f>Q25/(1-N25)</f>
        <v>0.53599636738625611</v>
      </c>
      <c r="Q25" s="5">
        <f>POWER(S25*3/(4*PI()),1/3)</f>
        <v>0.51187653085387452</v>
      </c>
      <c r="R25" s="1">
        <f>(4*PI()*(P25^3)/3)-S25</f>
        <v>8.3218166325753185E-2</v>
      </c>
      <c r="S25" s="1">
        <f>L25/(((1-M25)/M25)+(1/((1-N25)^3)))</f>
        <v>0.56180327053535939</v>
      </c>
      <c r="T25" s="1">
        <f>(L25-R25-S25)</f>
        <v>0.68664844176543893</v>
      </c>
      <c r="U25" s="1">
        <f>T25+S25</f>
        <v>1.2484517123007983</v>
      </c>
      <c r="V25" s="4">
        <f>U25/F25</f>
        <v>0.86893846016419629</v>
      </c>
      <c r="W25" s="6">
        <f>Y25*M25</f>
        <v>562.5</v>
      </c>
      <c r="X25" s="6">
        <f>Y25-W25</f>
        <v>687.5</v>
      </c>
      <c r="Y25" s="3">
        <f>CEILING(U25*1000,2.5)</f>
        <v>1250</v>
      </c>
      <c r="Z25">
        <f>W25/ResourceStats!$D$8</f>
        <v>112.5</v>
      </c>
      <c r="AA25">
        <f>X25/ResourceStats!$D$8</f>
        <v>137.5</v>
      </c>
      <c r="AB25" s="5">
        <f>(Z25+AA25)*ResourceStats!$C$8</f>
        <v>1.2500000000000002</v>
      </c>
      <c r="AC25" s="7">
        <f>1/8</f>
        <v>0.125</v>
      </c>
      <c r="AD25">
        <f>AB25*AC25</f>
        <v>0.15625000000000003</v>
      </c>
      <c r="AE25" s="5">
        <f>AB25+AD25</f>
        <v>1.4062500000000002</v>
      </c>
      <c r="AF25">
        <f>(Z25+AA25)*ResourceStats!$B$8</f>
        <v>114.75000000000001</v>
      </c>
      <c r="AG25" s="8">
        <v>1000</v>
      </c>
      <c r="AH25">
        <f>AD25*AG25</f>
        <v>156.25000000000003</v>
      </c>
      <c r="AI25">
        <f>_xlfn.CEILING.MATH(AF25+AH25,1)</f>
        <v>271</v>
      </c>
    </row>
    <row r="26" spans="1:35" x14ac:dyDescent="0.25">
      <c r="A26" t="s">
        <v>51</v>
      </c>
      <c r="B26" t="s">
        <v>35</v>
      </c>
      <c r="C26" s="5">
        <v>2.5</v>
      </c>
      <c r="D26" s="9">
        <v>0.88</v>
      </c>
      <c r="E26">
        <f t="shared" ref="E26:E28" si="23">4*PI()*(D26^2)</f>
        <v>9.7313974037597433</v>
      </c>
      <c r="F26">
        <f t="shared" ref="F26:F28" si="24">4*PI()*(D26^3)/3</f>
        <v>2.8545432384361913</v>
      </c>
      <c r="G26" s="7">
        <v>2.6249999999999999E-2</v>
      </c>
      <c r="H26" s="1">
        <f t="shared" ref="H26:H28" si="25">D26*G26</f>
        <v>2.3099999999999999E-2</v>
      </c>
      <c r="I26" s="1">
        <f t="shared" ref="I26:I28" si="26">D26</f>
        <v>0.88</v>
      </c>
      <c r="J26" s="5">
        <f t="shared" ref="J26:J28" si="27">D26-H26</f>
        <v>0.8569</v>
      </c>
      <c r="K26" s="2">
        <f t="shared" ref="K26:K28" si="28">F26-(4*PI()*((D26-H26)^3)/3)</f>
        <v>0.21894603659202616</v>
      </c>
      <c r="L26" s="1">
        <f t="shared" ref="L26:L28" si="29">F26-K26</f>
        <v>2.6355972018441651</v>
      </c>
      <c r="M26" s="9">
        <f t="shared" ref="M26:M28" si="30">9/20</f>
        <v>0.45</v>
      </c>
      <c r="N26" s="7">
        <v>3.7499999999999999E-2</v>
      </c>
      <c r="O26" s="5">
        <f t="shared" ref="O26:O28" si="31">P26-Q26</f>
        <v>2.5133841065567264E-2</v>
      </c>
      <c r="P26" s="5">
        <f t="shared" ref="P26:P28" si="32">Q26/(1-N26)</f>
        <v>0.67023576174846045</v>
      </c>
      <c r="Q26" s="5">
        <f t="shared" ref="Q26:Q28" si="33">POWER(S26*3/(4*PI()),1/3)</f>
        <v>0.64510192068289318</v>
      </c>
      <c r="R26" s="1">
        <f t="shared" ref="R26:R28" si="34">(4*PI()*(P26^3)/3)-S26</f>
        <v>0.13662686893387921</v>
      </c>
      <c r="S26" s="1">
        <f t="shared" ref="S26:S28" si="35">L26/(((1-M26)/M26)+(1/((1-N26)^3)))</f>
        <v>1.1245366498096288</v>
      </c>
      <c r="T26" s="1">
        <f t="shared" ref="T26:T28" si="36">(L26-R26-S26)</f>
        <v>1.3744336831006572</v>
      </c>
      <c r="U26" s="1">
        <f t="shared" ref="U26:U28" si="37">T26+S26</f>
        <v>2.4989703329102859</v>
      </c>
      <c r="V26" s="4">
        <f t="shared" ref="V26:V28" si="38">U26/F26</f>
        <v>0.87543614658270186</v>
      </c>
      <c r="W26" s="6">
        <f t="shared" ref="W26:W28" si="39">Y26*M26</f>
        <v>1125</v>
      </c>
      <c r="X26" s="6">
        <f t="shared" ref="X26:X28" si="40">Y26-W26</f>
        <v>1375</v>
      </c>
      <c r="Y26" s="3">
        <f t="shared" ref="Y26:Y28" si="41">CEILING(U26*1000,2.5)</f>
        <v>2500</v>
      </c>
      <c r="Z26">
        <f>W26/ResourceStats!$D$8</f>
        <v>225</v>
      </c>
      <c r="AA26">
        <f>X26/ResourceStats!$D$8</f>
        <v>275</v>
      </c>
      <c r="AB26" s="5">
        <f>(Z26+AA26)*ResourceStats!$C$8</f>
        <v>2.5000000000000004</v>
      </c>
      <c r="AC26" s="7">
        <f t="shared" ref="AC26:AC28" si="42">1/8</f>
        <v>0.125</v>
      </c>
      <c r="AD26">
        <f t="shared" ref="AD26:AD28" si="43">AB26*AC26</f>
        <v>0.31250000000000006</v>
      </c>
      <c r="AE26" s="5">
        <f t="shared" ref="AE26:AE28" si="44">AB26+AD26</f>
        <v>2.8125000000000004</v>
      </c>
      <c r="AF26">
        <f>(Z26+AA26)*ResourceStats!$B$8</f>
        <v>229.50000000000003</v>
      </c>
      <c r="AG26" s="8">
        <v>1000</v>
      </c>
      <c r="AH26">
        <f t="shared" ref="AH26:AH28" si="45">AD26*AG26</f>
        <v>312.50000000000006</v>
      </c>
      <c r="AI26">
        <f t="shared" ref="AI26:AI28" si="46">_xlfn.CEILING.MATH(AF26+AH26,1)</f>
        <v>542</v>
      </c>
    </row>
    <row r="27" spans="1:35" x14ac:dyDescent="0.25">
      <c r="A27" t="s">
        <v>52</v>
      </c>
      <c r="B27" t="s">
        <v>35</v>
      </c>
      <c r="C27" s="5">
        <v>5</v>
      </c>
      <c r="D27" s="9">
        <v>1.1100000000000001</v>
      </c>
      <c r="E27">
        <f t="shared" si="23"/>
        <v>15.483025233951938</v>
      </c>
      <c r="F27">
        <f t="shared" si="24"/>
        <v>5.728719336562218</v>
      </c>
      <c r="G27" s="7">
        <v>2.75E-2</v>
      </c>
      <c r="H27" s="1">
        <f t="shared" si="25"/>
        <v>3.0525000000000004E-2</v>
      </c>
      <c r="I27" s="1">
        <f t="shared" si="26"/>
        <v>1.1100000000000001</v>
      </c>
      <c r="J27" s="5">
        <f t="shared" si="27"/>
        <v>1.0794750000000002</v>
      </c>
      <c r="K27" s="2">
        <f t="shared" si="28"/>
        <v>0.45974145273150935</v>
      </c>
      <c r="L27" s="1">
        <f t="shared" si="29"/>
        <v>5.2689778838307086</v>
      </c>
      <c r="M27" s="9">
        <f t="shared" si="30"/>
        <v>0.45</v>
      </c>
      <c r="N27" s="7">
        <v>3.6999999999999998E-2</v>
      </c>
      <c r="O27" s="5">
        <f t="shared" si="31"/>
        <v>3.1231590505116369E-2</v>
      </c>
      <c r="P27" s="5">
        <f t="shared" si="32"/>
        <v>0.84409704067881897</v>
      </c>
      <c r="Q27" s="5">
        <f t="shared" si="33"/>
        <v>0.8128654501737026</v>
      </c>
      <c r="R27" s="1">
        <f t="shared" si="34"/>
        <v>0.26941437043249072</v>
      </c>
      <c r="S27" s="1">
        <f t="shared" si="35"/>
        <v>2.2498035810291981</v>
      </c>
      <c r="T27" s="1">
        <f t="shared" si="36"/>
        <v>2.7497599323690203</v>
      </c>
      <c r="U27" s="1">
        <f t="shared" si="37"/>
        <v>4.9995635133982184</v>
      </c>
      <c r="V27" s="4">
        <f t="shared" si="38"/>
        <v>0.87271922740038388</v>
      </c>
      <c r="W27" s="6">
        <f t="shared" si="39"/>
        <v>2250</v>
      </c>
      <c r="X27" s="6">
        <f t="shared" si="40"/>
        <v>2750</v>
      </c>
      <c r="Y27" s="3">
        <f t="shared" si="41"/>
        <v>5000</v>
      </c>
      <c r="Z27">
        <f>W27/ResourceStats!$D$8</f>
        <v>450</v>
      </c>
      <c r="AA27">
        <f>X27/ResourceStats!$D$8</f>
        <v>550</v>
      </c>
      <c r="AB27" s="5">
        <f>(Z27+AA27)*ResourceStats!$C$8</f>
        <v>5.0000000000000009</v>
      </c>
      <c r="AC27" s="7">
        <f t="shared" si="42"/>
        <v>0.125</v>
      </c>
      <c r="AD27">
        <f t="shared" si="43"/>
        <v>0.62500000000000011</v>
      </c>
      <c r="AE27" s="5">
        <f t="shared" si="44"/>
        <v>5.6250000000000009</v>
      </c>
      <c r="AF27">
        <f>(Z27+AA27)*ResourceStats!$B$8</f>
        <v>459.00000000000006</v>
      </c>
      <c r="AG27" s="8">
        <v>1000</v>
      </c>
      <c r="AH27">
        <f t="shared" si="45"/>
        <v>625.00000000000011</v>
      </c>
      <c r="AI27">
        <f t="shared" si="46"/>
        <v>1084</v>
      </c>
    </row>
    <row r="28" spans="1:35" x14ac:dyDescent="0.25">
      <c r="A28" t="s">
        <v>53</v>
      </c>
      <c r="B28" t="s">
        <v>35</v>
      </c>
      <c r="C28" s="5">
        <v>1.25</v>
      </c>
      <c r="D28" s="9">
        <v>1.4</v>
      </c>
      <c r="E28">
        <f t="shared" si="23"/>
        <v>24.630086404143974</v>
      </c>
      <c r="F28">
        <f t="shared" si="24"/>
        <v>11.494040321933854</v>
      </c>
      <c r="G28" s="7">
        <v>2.75E-2</v>
      </c>
      <c r="H28" s="1">
        <f t="shared" si="25"/>
        <v>3.85E-2</v>
      </c>
      <c r="I28" s="1">
        <f t="shared" si="26"/>
        <v>1.4</v>
      </c>
      <c r="J28" s="5">
        <f t="shared" si="27"/>
        <v>1.3614999999999999</v>
      </c>
      <c r="K28" s="2">
        <f t="shared" si="28"/>
        <v>0.92242026269897437</v>
      </c>
      <c r="L28" s="1">
        <f t="shared" si="29"/>
        <v>10.571620059234879</v>
      </c>
      <c r="M28" s="9">
        <f t="shared" si="30"/>
        <v>0.45</v>
      </c>
      <c r="N28" s="7">
        <v>3.9199999999999999E-2</v>
      </c>
      <c r="O28" s="5">
        <f t="shared" si="31"/>
        <v>4.1783135580830244E-2</v>
      </c>
      <c r="P28" s="5">
        <f t="shared" si="32"/>
        <v>1.0658963158375081</v>
      </c>
      <c r="Q28" s="5">
        <f t="shared" si="33"/>
        <v>1.0241131802566779</v>
      </c>
      <c r="R28" s="1">
        <f t="shared" si="34"/>
        <v>0.57346283105444407</v>
      </c>
      <c r="S28" s="1">
        <f t="shared" si="35"/>
        <v>4.4991707526811959</v>
      </c>
      <c r="T28" s="1">
        <f t="shared" si="36"/>
        <v>5.4989864754992395</v>
      </c>
      <c r="U28" s="1">
        <f t="shared" si="37"/>
        <v>9.9981572281804354</v>
      </c>
      <c r="V28" s="4">
        <f t="shared" si="38"/>
        <v>0.86985576421731758</v>
      </c>
      <c r="W28" s="6">
        <f t="shared" si="39"/>
        <v>4500</v>
      </c>
      <c r="X28" s="6">
        <f t="shared" si="40"/>
        <v>5500</v>
      </c>
      <c r="Y28" s="3">
        <f t="shared" si="41"/>
        <v>10000</v>
      </c>
      <c r="Z28">
        <f>W28/ResourceStats!$D$8</f>
        <v>900</v>
      </c>
      <c r="AA28">
        <f>X28/ResourceStats!$D$8</f>
        <v>1100</v>
      </c>
      <c r="AB28" s="5">
        <f>(Z28+AA28)*ResourceStats!$C$8</f>
        <v>10.000000000000002</v>
      </c>
      <c r="AC28" s="7">
        <f t="shared" si="42"/>
        <v>0.125</v>
      </c>
      <c r="AD28">
        <f t="shared" si="43"/>
        <v>1.2500000000000002</v>
      </c>
      <c r="AE28" s="5">
        <f t="shared" si="44"/>
        <v>11.250000000000002</v>
      </c>
      <c r="AF28">
        <f>(Z28+AA28)*ResourceStats!$B$8</f>
        <v>918.00000000000011</v>
      </c>
      <c r="AG28" s="8">
        <v>1000</v>
      </c>
      <c r="AH28">
        <f t="shared" si="45"/>
        <v>1250.0000000000002</v>
      </c>
      <c r="AI28">
        <f t="shared" si="46"/>
        <v>2168</v>
      </c>
    </row>
    <row r="29" spans="1:35" x14ac:dyDescent="0.25">
      <c r="D29" s="3"/>
    </row>
    <row r="30" spans="1:35" x14ac:dyDescent="0.25">
      <c r="D30" s="3"/>
    </row>
    <row r="31" spans="1:35" x14ac:dyDescent="0.25">
      <c r="D31" s="3"/>
    </row>
    <row r="32" spans="1:35" x14ac:dyDescent="0.25">
      <c r="D32" s="3"/>
    </row>
    <row r="33" spans="1:35" x14ac:dyDescent="0.25">
      <c r="D33" s="3"/>
    </row>
    <row r="34" spans="1:35" x14ac:dyDescent="0.25">
      <c r="D34" s="3"/>
    </row>
    <row r="35" spans="1:35" x14ac:dyDescent="0.25">
      <c r="D35" s="3"/>
    </row>
    <row r="36" spans="1:35" x14ac:dyDescent="0.25">
      <c r="D36" s="3"/>
    </row>
    <row r="38" spans="1:35" x14ac:dyDescent="0.25">
      <c r="A38" t="s">
        <v>1</v>
      </c>
      <c r="B38" t="s">
        <v>25</v>
      </c>
      <c r="C38" t="s">
        <v>26</v>
      </c>
      <c r="D38" t="s">
        <v>27</v>
      </c>
      <c r="E38" t="s">
        <v>6</v>
      </c>
      <c r="F38" t="s">
        <v>5</v>
      </c>
      <c r="G38" t="s">
        <v>29</v>
      </c>
      <c r="H38" t="s">
        <v>30</v>
      </c>
      <c r="I38" t="s">
        <v>37</v>
      </c>
      <c r="J38" t="s">
        <v>33</v>
      </c>
      <c r="K38" t="s">
        <v>28</v>
      </c>
      <c r="L38" t="s">
        <v>41</v>
      </c>
      <c r="M38" t="s">
        <v>43</v>
      </c>
      <c r="N38" t="s">
        <v>34</v>
      </c>
      <c r="O38" t="s">
        <v>36</v>
      </c>
      <c r="P38" t="s">
        <v>38</v>
      </c>
      <c r="Q38" t="s">
        <v>32</v>
      </c>
      <c r="R38" t="s">
        <v>39</v>
      </c>
      <c r="S38" t="s">
        <v>40</v>
      </c>
      <c r="T38" t="s">
        <v>42</v>
      </c>
      <c r="U38" t="s">
        <v>44</v>
      </c>
      <c r="V38" s="4" t="s">
        <v>7</v>
      </c>
      <c r="W38" t="s">
        <v>45</v>
      </c>
      <c r="X38" t="s">
        <v>46</v>
      </c>
      <c r="Y38" t="s">
        <v>47</v>
      </c>
      <c r="Z38" t="s">
        <v>3</v>
      </c>
      <c r="AA38" t="s">
        <v>4</v>
      </c>
      <c r="AB38" t="s">
        <v>19</v>
      </c>
      <c r="AC38" t="s">
        <v>20</v>
      </c>
      <c r="AD38" t="s">
        <v>21</v>
      </c>
      <c r="AE38" t="s">
        <v>24</v>
      </c>
      <c r="AF38" t="s">
        <v>22</v>
      </c>
      <c r="AG38" t="s">
        <v>49</v>
      </c>
      <c r="AH38" t="s">
        <v>23</v>
      </c>
      <c r="AI38" t="s">
        <v>48</v>
      </c>
    </row>
    <row r="39" spans="1:35" x14ac:dyDescent="0.25">
      <c r="A39" t="s">
        <v>2</v>
      </c>
      <c r="B39" t="s">
        <v>54</v>
      </c>
      <c r="C39">
        <v>0.61250000000000004</v>
      </c>
      <c r="D39" s="9">
        <v>0.55000000000000004</v>
      </c>
      <c r="E39">
        <f>4*PI()*(D39^2)</f>
        <v>3.8013271108436504</v>
      </c>
      <c r="F39">
        <f>4*PI()*(D39^3)/3</f>
        <v>0.69690997032133595</v>
      </c>
      <c r="G39" s="7">
        <v>2.445E-2</v>
      </c>
      <c r="H39" s="1">
        <f>D39*G39</f>
        <v>1.3447500000000001E-2</v>
      </c>
      <c r="I39" s="1">
        <f>D39</f>
        <v>0.55000000000000004</v>
      </c>
      <c r="J39" s="5">
        <f>D39-H39</f>
        <v>0.53655249999999999</v>
      </c>
      <c r="K39" s="2">
        <f>F39-(4*PI()*((D39-H39)^3)/3)</f>
        <v>4.9878688980547037E-2</v>
      </c>
      <c r="L39" s="1">
        <f>F39-K39</f>
        <v>0.64703128134078891</v>
      </c>
      <c r="M39" s="9">
        <f>9/20</f>
        <v>0.45</v>
      </c>
      <c r="N39" s="7">
        <v>0.04</v>
      </c>
      <c r="O39" s="5">
        <f>P39-Q39</f>
        <v>1.6809608250444419E-2</v>
      </c>
      <c r="P39" s="5">
        <f>Q39/(1-N39)</f>
        <v>0.42024020626110958</v>
      </c>
      <c r="Q39" s="5">
        <f>POWER(S39*3/(4*PI()),1/3)</f>
        <v>0.40343059801066516</v>
      </c>
      <c r="R39" s="1">
        <f>(4*PI()*(P39^3)/3)-S39</f>
        <v>3.5832334113181208E-2</v>
      </c>
      <c r="S39" s="1">
        <f>L39/(((1-M39)/M39)+(1/((1-N39)^3)))</f>
        <v>0.27503952625242351</v>
      </c>
      <c r="T39" s="1">
        <f>(L39-R39-S39)</f>
        <v>0.3361594209751842</v>
      </c>
      <c r="U39" s="1">
        <f>T39+S39</f>
        <v>0.6111989472276077</v>
      </c>
      <c r="V39" s="4">
        <f>U39/F39</f>
        <v>0.87701277533135591</v>
      </c>
      <c r="W39" s="6">
        <f>Y39*M39</f>
        <v>275.625</v>
      </c>
      <c r="X39" s="6">
        <f>Y39-W39</f>
        <v>336.875</v>
      </c>
      <c r="Y39" s="3">
        <f>CEILING(U39*1000,2.5)</f>
        <v>612.5</v>
      </c>
      <c r="Z39">
        <f>W39/ResourceStats!$D$8</f>
        <v>55.125</v>
      </c>
      <c r="AA39">
        <f>X39/ResourceStats!$D$8</f>
        <v>67.375</v>
      </c>
      <c r="AB39" s="5">
        <f>(Z39+AA39)*ResourceStats!$C$8</f>
        <v>0.61250000000000016</v>
      </c>
      <c r="AC39" s="7">
        <f>1/8</f>
        <v>0.125</v>
      </c>
      <c r="AD39">
        <f>AB39*AC39</f>
        <v>7.6562500000000019E-2</v>
      </c>
      <c r="AE39" s="5">
        <f>AB39+AD39</f>
        <v>0.68906250000000013</v>
      </c>
      <c r="AF39">
        <f>(Z39+AA39)*ResourceStats!$B$8</f>
        <v>56.227500000000006</v>
      </c>
      <c r="AG39" s="8">
        <v>1000</v>
      </c>
      <c r="AH39">
        <f>AD39*AG39</f>
        <v>76.562500000000014</v>
      </c>
      <c r="AI39">
        <f>_xlfn.CEILING.MATH(AF39+AH39,1)</f>
        <v>133</v>
      </c>
    </row>
    <row r="40" spans="1:35" x14ac:dyDescent="0.25">
      <c r="D40" s="3"/>
    </row>
    <row r="41" spans="1:35" x14ac:dyDescent="0.25">
      <c r="D41" s="3"/>
    </row>
    <row r="42" spans="1:35" x14ac:dyDescent="0.25">
      <c r="D42" s="3"/>
    </row>
    <row r="43" spans="1:35" x14ac:dyDescent="0.25">
      <c r="D43" s="3"/>
    </row>
    <row r="44" spans="1:35" x14ac:dyDescent="0.25">
      <c r="D44" s="3"/>
    </row>
    <row r="45" spans="1:35" x14ac:dyDescent="0.25">
      <c r="D45" s="3"/>
    </row>
    <row r="46" spans="1:35" x14ac:dyDescent="0.25">
      <c r="D46" s="3"/>
    </row>
    <row r="47" spans="1:35" x14ac:dyDescent="0.25">
      <c r="D47" s="3"/>
    </row>
    <row r="48" spans="1:35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</sheetData>
  <pageMargins left="0.7" right="0.7" top="0.75" bottom="0.75" header="0.3" footer="0.3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5" x14ac:dyDescent="0.25"/>
  <cols>
    <col min="2" max="2" width="9.85546875" bestFit="1" customWidth="1"/>
    <col min="3" max="3" width="11.42578125" bestFit="1" customWidth="1"/>
  </cols>
  <sheetData>
    <row r="1" spans="1:4" x14ac:dyDescent="0.25">
      <c r="A1" t="s">
        <v>8</v>
      </c>
      <c r="B1" t="s">
        <v>10</v>
      </c>
      <c r="C1" t="s">
        <v>17</v>
      </c>
      <c r="D1" t="s">
        <v>11</v>
      </c>
    </row>
    <row r="2" spans="1:4" x14ac:dyDescent="0.25">
      <c r="A2" t="s">
        <v>9</v>
      </c>
      <c r="B2">
        <v>0.8</v>
      </c>
      <c r="C2">
        <v>5.0000000000000001E-3</v>
      </c>
      <c r="D2">
        <v>5</v>
      </c>
    </row>
    <row r="3" spans="1:4" x14ac:dyDescent="0.25">
      <c r="A3" t="s">
        <v>12</v>
      </c>
      <c r="B3">
        <v>0.18</v>
      </c>
      <c r="C3">
        <v>5.0000000000000001E-3</v>
      </c>
      <c r="D3">
        <v>5</v>
      </c>
    </row>
    <row r="4" spans="1:4" x14ac:dyDescent="0.25">
      <c r="A4" t="s">
        <v>13</v>
      </c>
      <c r="B4">
        <v>1.2</v>
      </c>
      <c r="C4">
        <v>4.0000000000000001E-3</v>
      </c>
      <c r="D4">
        <v>5</v>
      </c>
    </row>
    <row r="5" spans="1:4" x14ac:dyDescent="0.25">
      <c r="A5" t="s">
        <v>14</v>
      </c>
      <c r="B5">
        <v>0.6</v>
      </c>
      <c r="C5">
        <v>7.4999999999999997E-3</v>
      </c>
      <c r="D5">
        <v>5</v>
      </c>
    </row>
    <row r="6" spans="1:4" x14ac:dyDescent="0.25">
      <c r="A6" t="s">
        <v>15</v>
      </c>
      <c r="B6">
        <v>4</v>
      </c>
      <c r="C6">
        <v>1E-4</v>
      </c>
      <c r="D6">
        <v>0.1</v>
      </c>
    </row>
    <row r="7" spans="1:4" x14ac:dyDescent="0.25">
      <c r="A7" t="s">
        <v>16</v>
      </c>
      <c r="B7">
        <v>0.02</v>
      </c>
      <c r="C7">
        <v>0.01</v>
      </c>
      <c r="D7">
        <v>5</v>
      </c>
    </row>
    <row r="8" spans="1:4" x14ac:dyDescent="0.25">
      <c r="A8" t="s">
        <v>18</v>
      </c>
      <c r="B8">
        <f>(B2*0.45)+(B3*0.55)</f>
        <v>0.45900000000000007</v>
      </c>
      <c r="C8">
        <f>(C2*0.45)+(C3*0.55)</f>
        <v>5.000000000000001E-3</v>
      </c>
      <c r="D8">
        <f>(D2*0.45)+(D3*0.55)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ResourceStats</vt:lpstr>
    </vt:vector>
  </TitlesOfParts>
  <Company>Chicago Bridge &amp; Iron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Rano</dc:creator>
  <cp:lastModifiedBy>Patrick Rano</cp:lastModifiedBy>
  <dcterms:created xsi:type="dcterms:W3CDTF">2016-05-16T12:41:22Z</dcterms:created>
  <dcterms:modified xsi:type="dcterms:W3CDTF">2016-05-17T02:07:58Z</dcterms:modified>
</cp:coreProperties>
</file>