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g\yjc\"/>
    </mc:Choice>
  </mc:AlternateContent>
  <xr:revisionPtr revIDLastSave="0" documentId="13_ncr:1_{D4FE2626-CA38-4BFA-B277-85B18A6E82EB}" xr6:coauthVersionLast="41" xr6:coauthVersionMax="41" xr10:uidLastSave="{00000000-0000-0000-0000-000000000000}"/>
  <bookViews>
    <workbookView xWindow="-120" yWindow="-120" windowWidth="29040" windowHeight="15840" activeTab="5" xr2:uid="{00000000-000D-0000-FFFF-FFFF00000000}"/>
  </bookViews>
  <sheets>
    <sheet name="客户" sheetId="4" r:id="rId1"/>
    <sheet name="单航次" sheetId="2" r:id="rId2"/>
    <sheet name="周工作表" sheetId="3" r:id="rId3"/>
    <sheet name="总览" sheetId="8" r:id="rId4"/>
    <sheet name="流水帐" sheetId="1" r:id="rId5"/>
    <sheet name="品名" sheetId="5" r:id="rId6"/>
    <sheet name="工作历" sheetId="6" r:id="rId7"/>
    <sheet name="Draft" sheetId="7" r:id="rId8"/>
  </sheets>
  <definedNames>
    <definedName name="Calendar10Month">工作历!$C$127</definedName>
    <definedName name="Calendar10MonthOption">MATCH(Calendar10Month,月,0)</definedName>
    <definedName name="Calendar10Year">工作历!$B$127</definedName>
    <definedName name="Calendar11Month">工作历!$C$141</definedName>
    <definedName name="Calendar11MonthOption">MATCH(Calendar11Month,月,0)</definedName>
    <definedName name="Calendar11Year">工作历!$B$141</definedName>
    <definedName name="Calendar12Month">工作历!$C$155</definedName>
    <definedName name="Calendar12MonthOption">MATCH(Calendar12Month,月,0)</definedName>
    <definedName name="Calendar12Year">工作历!$B$155</definedName>
    <definedName name="Calendar1Month">工作历!$C$1</definedName>
    <definedName name="Calendar1MonthOption">MATCH(Calendar1Month,月,0)</definedName>
    <definedName name="Calendar1Year">工作历!$B$1</definedName>
    <definedName name="Calendar2Month">工作历!$C$15</definedName>
    <definedName name="Calendar2MonthOption">MATCH(Calendar2Month,月,0)</definedName>
    <definedName name="Calendar2Year">工作历!$B$15</definedName>
    <definedName name="Calendar3Month">工作历!$C$29</definedName>
    <definedName name="Calendar3MonthOption">MATCH(Calendar3Month,月,0)</definedName>
    <definedName name="Calendar3Year">工作历!$B$29</definedName>
    <definedName name="Calendar4Month">工作历!$C$43</definedName>
    <definedName name="Calendar4MonthOption">MATCH(Calendar4Month,月,0)</definedName>
    <definedName name="Calendar4Year">工作历!$B$43</definedName>
    <definedName name="Calendar5Month">工作历!$C$57</definedName>
    <definedName name="Calendar5MonthOption">MATCH(Calendar5Month,月,0)</definedName>
    <definedName name="Calendar5Year">工作历!$B$57</definedName>
    <definedName name="Calendar6Month">工作历!$C$71</definedName>
    <definedName name="Calendar6MonthOption">MATCH(Calendar6Month,月,0)</definedName>
    <definedName name="Calendar6Year">工作历!$B$71</definedName>
    <definedName name="Calendar7Month">工作历!$C$85</definedName>
    <definedName name="Calendar7MonthOption">MATCH(Calendar7Month,月,0)</definedName>
    <definedName name="Calendar7Year">工作历!$B$85</definedName>
    <definedName name="Calendar8Month">工作历!$C$99</definedName>
    <definedName name="Calendar8MonthOption">MATCH(Calendar8Month,月,0)</definedName>
    <definedName name="Calendar8Year">工作历!$B$99</definedName>
    <definedName name="Calendar9Month">工作历!$C$113</definedName>
    <definedName name="Calendar9MonthOption">MATCH(Calendar9Month,月,0)</definedName>
    <definedName name="Calendar9Year">工作历!$B$113</definedName>
    <definedName name="_xlnm.Print_Area" localSheetId="6">工作历!$B$1:$I$168</definedName>
    <definedName name="WeekdayOption">MATCH(WeekStart,工作日,0)+10</definedName>
    <definedName name="WeekStart">工作历!$B$2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4" i="5" l="1"/>
  <c r="M184" i="5"/>
  <c r="N184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6" i="5"/>
  <c r="AI177" i="5"/>
  <c r="AI178" i="5"/>
  <c r="AI179" i="5"/>
  <c r="AI180" i="5"/>
  <c r="AI181" i="5"/>
  <c r="AI182" i="5"/>
  <c r="AI183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K153" i="5"/>
  <c r="AK154" i="5"/>
  <c r="AK155" i="5"/>
  <c r="AK156" i="5"/>
  <c r="AK157" i="5"/>
  <c r="AK158" i="5"/>
  <c r="AK159" i="5"/>
  <c r="AK160" i="5"/>
  <c r="AK161" i="5"/>
  <c r="AK162" i="5"/>
  <c r="AK163" i="5"/>
  <c r="AK164" i="5"/>
  <c r="AK165" i="5"/>
  <c r="AK166" i="5"/>
  <c r="AK167" i="5"/>
  <c r="AK168" i="5"/>
  <c r="AK169" i="5"/>
  <c r="AK170" i="5"/>
  <c r="AK171" i="5"/>
  <c r="AK172" i="5"/>
  <c r="AK173" i="5"/>
  <c r="AK174" i="5"/>
  <c r="AK175" i="5"/>
  <c r="AK176" i="5"/>
  <c r="AK177" i="5"/>
  <c r="AK178" i="5"/>
  <c r="AK179" i="5"/>
  <c r="AK180" i="5"/>
  <c r="AK181" i="5"/>
  <c r="AK182" i="5"/>
  <c r="AK183" i="5"/>
  <c r="AL153" i="5"/>
  <c r="AL154" i="5"/>
  <c r="AL155" i="5"/>
  <c r="AL156" i="5"/>
  <c r="AL157" i="5"/>
  <c r="AL158" i="5"/>
  <c r="AL159" i="5"/>
  <c r="AL160" i="5"/>
  <c r="AL161" i="5"/>
  <c r="AL162" i="5"/>
  <c r="AL163" i="5"/>
  <c r="AL164" i="5"/>
  <c r="AL165" i="5"/>
  <c r="AL166" i="5"/>
  <c r="AL167" i="5"/>
  <c r="AL168" i="5"/>
  <c r="AL169" i="5"/>
  <c r="AL170" i="5"/>
  <c r="AL171" i="5"/>
  <c r="AL172" i="5"/>
  <c r="AL173" i="5"/>
  <c r="AL174" i="5"/>
  <c r="AL175" i="5"/>
  <c r="AL176" i="5"/>
  <c r="AL177" i="5"/>
  <c r="AL178" i="5"/>
  <c r="AL179" i="5"/>
  <c r="AL180" i="5"/>
  <c r="AL181" i="5"/>
  <c r="AL182" i="5"/>
  <c r="AL183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V153" i="5"/>
  <c r="AC153" i="5" s="1"/>
  <c r="V154" i="5"/>
  <c r="AC154" i="5" s="1"/>
  <c r="V155" i="5"/>
  <c r="AC155" i="5" s="1"/>
  <c r="V156" i="5"/>
  <c r="AC156" i="5" s="1"/>
  <c r="V157" i="5"/>
  <c r="AC157" i="5" s="1"/>
  <c r="V158" i="5"/>
  <c r="V159" i="5"/>
  <c r="AC159" i="5" s="1"/>
  <c r="V160" i="5"/>
  <c r="AC160" i="5" s="1"/>
  <c r="V161" i="5"/>
  <c r="AC161" i="5" s="1"/>
  <c r="V162" i="5"/>
  <c r="AC162" i="5" s="1"/>
  <c r="V163" i="5"/>
  <c r="AC163" i="5" s="1"/>
  <c r="V164" i="5"/>
  <c r="AC164" i="5" s="1"/>
  <c r="V165" i="5"/>
  <c r="AC165" i="5" s="1"/>
  <c r="V166" i="5"/>
  <c r="AC166" i="5" s="1"/>
  <c r="V167" i="5"/>
  <c r="AC167" i="5" s="1"/>
  <c r="V168" i="5"/>
  <c r="AC168" i="5" s="1"/>
  <c r="V169" i="5"/>
  <c r="AC169" i="5" s="1"/>
  <c r="V170" i="5"/>
  <c r="AC170" i="5" s="1"/>
  <c r="V171" i="5"/>
  <c r="AC171" i="5" s="1"/>
  <c r="V172" i="5"/>
  <c r="AC172" i="5" s="1"/>
  <c r="V173" i="5"/>
  <c r="AC173" i="5" s="1"/>
  <c r="V174" i="5"/>
  <c r="AC174" i="5" s="1"/>
  <c r="V175" i="5"/>
  <c r="AC175" i="5" s="1"/>
  <c r="V176" i="5"/>
  <c r="AC176" i="5" s="1"/>
  <c r="V177" i="5"/>
  <c r="AC177" i="5" s="1"/>
  <c r="V178" i="5"/>
  <c r="AC178" i="5" s="1"/>
  <c r="V179" i="5"/>
  <c r="AC179" i="5" s="1"/>
  <c r="V180" i="5"/>
  <c r="AC180" i="5" s="1"/>
  <c r="V181" i="5"/>
  <c r="AC181" i="5" s="1"/>
  <c r="V182" i="5"/>
  <c r="AC182" i="5" s="1"/>
  <c r="V183" i="5"/>
  <c r="AC183" i="5" s="1"/>
  <c r="W153" i="5"/>
  <c r="AD153" i="5" s="1"/>
  <c r="W154" i="5"/>
  <c r="AD154" i="5" s="1"/>
  <c r="W155" i="5"/>
  <c r="AD155" i="5" s="1"/>
  <c r="W156" i="5"/>
  <c r="AD156" i="5" s="1"/>
  <c r="W157" i="5"/>
  <c r="AD157" i="5" s="1"/>
  <c r="W158" i="5"/>
  <c r="AD158" i="5" s="1"/>
  <c r="W159" i="5"/>
  <c r="AD159" i="5" s="1"/>
  <c r="W160" i="5"/>
  <c r="AD160" i="5" s="1"/>
  <c r="W161" i="5"/>
  <c r="AD161" i="5" s="1"/>
  <c r="W162" i="5"/>
  <c r="AD162" i="5" s="1"/>
  <c r="W163" i="5"/>
  <c r="AD163" i="5" s="1"/>
  <c r="W164" i="5"/>
  <c r="AD164" i="5" s="1"/>
  <c r="W165" i="5"/>
  <c r="AD165" i="5" s="1"/>
  <c r="W166" i="5"/>
  <c r="AD166" i="5" s="1"/>
  <c r="W167" i="5"/>
  <c r="AD167" i="5" s="1"/>
  <c r="W168" i="5"/>
  <c r="AD168" i="5" s="1"/>
  <c r="W169" i="5"/>
  <c r="AD169" i="5" s="1"/>
  <c r="W170" i="5"/>
  <c r="AD170" i="5" s="1"/>
  <c r="W171" i="5"/>
  <c r="AD171" i="5" s="1"/>
  <c r="W172" i="5"/>
  <c r="AD172" i="5" s="1"/>
  <c r="W173" i="5"/>
  <c r="AD173" i="5" s="1"/>
  <c r="W174" i="5"/>
  <c r="AD174" i="5" s="1"/>
  <c r="W175" i="5"/>
  <c r="AD175" i="5" s="1"/>
  <c r="W176" i="5"/>
  <c r="AD176" i="5" s="1"/>
  <c r="W177" i="5"/>
  <c r="AD177" i="5" s="1"/>
  <c r="W178" i="5"/>
  <c r="AD178" i="5" s="1"/>
  <c r="W179" i="5"/>
  <c r="AD179" i="5" s="1"/>
  <c r="W180" i="5"/>
  <c r="AD180" i="5" s="1"/>
  <c r="W181" i="5"/>
  <c r="AD181" i="5" s="1"/>
  <c r="W182" i="5"/>
  <c r="AD182" i="5" s="1"/>
  <c r="W183" i="5"/>
  <c r="AD183" i="5" s="1"/>
  <c r="X153" i="5"/>
  <c r="AE153" i="5" s="1"/>
  <c r="X154" i="5"/>
  <c r="AE154" i="5" s="1"/>
  <c r="X155" i="5"/>
  <c r="AE155" i="5" s="1"/>
  <c r="X156" i="5"/>
  <c r="AE156" i="5" s="1"/>
  <c r="X157" i="5"/>
  <c r="AE157" i="5" s="1"/>
  <c r="X158" i="5"/>
  <c r="AE158" i="5" s="1"/>
  <c r="X159" i="5"/>
  <c r="AE159" i="5" s="1"/>
  <c r="X160" i="5"/>
  <c r="AE160" i="5" s="1"/>
  <c r="X161" i="5"/>
  <c r="AE161" i="5" s="1"/>
  <c r="X162" i="5"/>
  <c r="AE162" i="5" s="1"/>
  <c r="X163" i="5"/>
  <c r="AE163" i="5" s="1"/>
  <c r="X164" i="5"/>
  <c r="AE164" i="5" s="1"/>
  <c r="X165" i="5"/>
  <c r="AE165" i="5" s="1"/>
  <c r="X166" i="5"/>
  <c r="AE166" i="5" s="1"/>
  <c r="X167" i="5"/>
  <c r="AE167" i="5" s="1"/>
  <c r="X168" i="5"/>
  <c r="AE168" i="5" s="1"/>
  <c r="X169" i="5"/>
  <c r="AE169" i="5" s="1"/>
  <c r="X170" i="5"/>
  <c r="AE170" i="5" s="1"/>
  <c r="X171" i="5"/>
  <c r="AE171" i="5" s="1"/>
  <c r="X172" i="5"/>
  <c r="AE172" i="5" s="1"/>
  <c r="X173" i="5"/>
  <c r="AE173" i="5" s="1"/>
  <c r="X174" i="5"/>
  <c r="AE174" i="5" s="1"/>
  <c r="X175" i="5"/>
  <c r="AE175" i="5" s="1"/>
  <c r="X176" i="5"/>
  <c r="AE176" i="5" s="1"/>
  <c r="X177" i="5"/>
  <c r="AE177" i="5" s="1"/>
  <c r="X178" i="5"/>
  <c r="AE178" i="5" s="1"/>
  <c r="X179" i="5"/>
  <c r="AE179" i="5" s="1"/>
  <c r="X180" i="5"/>
  <c r="AE180" i="5" s="1"/>
  <c r="X181" i="5"/>
  <c r="AE181" i="5" s="1"/>
  <c r="X182" i="5"/>
  <c r="AE182" i="5" s="1"/>
  <c r="X183" i="5"/>
  <c r="AE183" i="5" s="1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C158" i="5"/>
  <c r="AH2" i="5" l="1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K136" i="5"/>
  <c r="AK137" i="5"/>
  <c r="AK138" i="5"/>
  <c r="AK139" i="5"/>
  <c r="AK140" i="5"/>
  <c r="AK141" i="5"/>
  <c r="AK142" i="5"/>
  <c r="AK143" i="5"/>
  <c r="AK144" i="5"/>
  <c r="AK145" i="5"/>
  <c r="AK146" i="5"/>
  <c r="AK147" i="5"/>
  <c r="AK148" i="5"/>
  <c r="AK149" i="5"/>
  <c r="AK150" i="5"/>
  <c r="AK151" i="5"/>
  <c r="AK152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80" i="5"/>
  <c r="AL81" i="5"/>
  <c r="AL82" i="5"/>
  <c r="AL83" i="5"/>
  <c r="AL84" i="5"/>
  <c r="AL85" i="5"/>
  <c r="AL86" i="5"/>
  <c r="AL87" i="5"/>
  <c r="AL88" i="5"/>
  <c r="AL89" i="5"/>
  <c r="AL90" i="5"/>
  <c r="AL91" i="5"/>
  <c r="AL92" i="5"/>
  <c r="AL93" i="5"/>
  <c r="AL94" i="5"/>
  <c r="AL95" i="5"/>
  <c r="AL96" i="5"/>
  <c r="AL97" i="5"/>
  <c r="AL98" i="5"/>
  <c r="AL99" i="5"/>
  <c r="AL100" i="5"/>
  <c r="AL101" i="5"/>
  <c r="AL102" i="5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L118" i="5"/>
  <c r="AL119" i="5"/>
  <c r="AL120" i="5"/>
  <c r="AL121" i="5"/>
  <c r="AL122" i="5"/>
  <c r="AL123" i="5"/>
  <c r="AL124" i="5"/>
  <c r="AL125" i="5"/>
  <c r="AL126" i="5"/>
  <c r="AL127" i="5"/>
  <c r="AL128" i="5"/>
  <c r="AL129" i="5"/>
  <c r="AL130" i="5"/>
  <c r="AL131" i="5"/>
  <c r="AL132" i="5"/>
  <c r="AL133" i="5"/>
  <c r="AL134" i="5"/>
  <c r="AL135" i="5"/>
  <c r="AL136" i="5"/>
  <c r="AL137" i="5"/>
  <c r="AL138" i="5"/>
  <c r="AL139" i="5"/>
  <c r="AL140" i="5"/>
  <c r="AL141" i="5"/>
  <c r="AL142" i="5"/>
  <c r="AL143" i="5"/>
  <c r="AL144" i="5"/>
  <c r="AL145" i="5"/>
  <c r="AL146" i="5"/>
  <c r="AL147" i="5"/>
  <c r="AL148" i="5"/>
  <c r="AL149" i="5"/>
  <c r="AL150" i="5"/>
  <c r="AL151" i="5"/>
  <c r="AL152" i="5"/>
  <c r="AL2" i="5"/>
  <c r="AL3" i="5"/>
  <c r="AL4" i="5"/>
  <c r="AL5" i="5"/>
  <c r="AL6" i="5"/>
  <c r="AL7" i="5"/>
  <c r="AL8" i="5"/>
  <c r="AL9" i="5"/>
  <c r="AL10" i="5"/>
  <c r="AL11" i="5"/>
  <c r="AL12" i="5"/>
  <c r="AL13" i="5"/>
  <c r="AL14" i="5"/>
  <c r="AK2" i="5"/>
  <c r="AK3" i="5"/>
  <c r="AK4" i="5"/>
  <c r="AK5" i="5"/>
  <c r="AK6" i="5"/>
  <c r="AK7" i="5"/>
  <c r="AK8" i="5"/>
  <c r="AK9" i="5"/>
  <c r="AK10" i="5"/>
  <c r="AK11" i="5"/>
  <c r="AK12" i="5"/>
  <c r="AK13" i="5"/>
  <c r="AK14" i="5"/>
  <c r="AJ2" i="5"/>
  <c r="AJ3" i="5"/>
  <c r="AJ4" i="5"/>
  <c r="AJ5" i="5"/>
  <c r="AJ6" i="5"/>
  <c r="AJ7" i="5"/>
  <c r="AJ8" i="5"/>
  <c r="AJ9" i="5"/>
  <c r="AJ10" i="5"/>
  <c r="AJ11" i="5"/>
  <c r="AJ12" i="5"/>
  <c r="AJ13" i="5"/>
  <c r="AJ14" i="5"/>
  <c r="AI2" i="5"/>
  <c r="AI3" i="5"/>
  <c r="AI4" i="5"/>
  <c r="AI5" i="5"/>
  <c r="AI6" i="5"/>
  <c r="AI7" i="5"/>
  <c r="AI8" i="5"/>
  <c r="AI9" i="5"/>
  <c r="AI10" i="5"/>
  <c r="AI11" i="5"/>
  <c r="AI12" i="5"/>
  <c r="AI13" i="5"/>
  <c r="AI14" i="5"/>
  <c r="AG2" i="5"/>
  <c r="AG3" i="5"/>
  <c r="AG4" i="5"/>
  <c r="AG5" i="5"/>
  <c r="AG6" i="5"/>
  <c r="AG7" i="5"/>
  <c r="AG8" i="5"/>
  <c r="AG9" i="5"/>
  <c r="AG10" i="5"/>
  <c r="AG11" i="5"/>
  <c r="AG12" i="5"/>
  <c r="AG13" i="5"/>
  <c r="AG14" i="5"/>
  <c r="Y144" i="5" l="1"/>
  <c r="Y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5" i="5"/>
  <c r="Y146" i="5"/>
  <c r="Y147" i="5"/>
  <c r="Y148" i="5"/>
  <c r="Y149" i="5"/>
  <c r="Y150" i="5"/>
  <c r="Y151" i="5"/>
  <c r="Y152" i="5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V125" i="5"/>
  <c r="V126" i="5"/>
  <c r="AC126" i="5" s="1"/>
  <c r="V127" i="5"/>
  <c r="AC127" i="5" s="1"/>
  <c r="V128" i="5"/>
  <c r="AC128" i="5" s="1"/>
  <c r="V129" i="5"/>
  <c r="AC129" i="5" s="1"/>
  <c r="V130" i="5"/>
  <c r="AC130" i="5" s="1"/>
  <c r="V131" i="5"/>
  <c r="AC131" i="5" s="1"/>
  <c r="V132" i="5"/>
  <c r="AC132" i="5" s="1"/>
  <c r="V133" i="5"/>
  <c r="AC133" i="5" s="1"/>
  <c r="V134" i="5"/>
  <c r="AC134" i="5" s="1"/>
  <c r="V135" i="5"/>
  <c r="AC135" i="5" s="1"/>
  <c r="V136" i="5"/>
  <c r="AC136" i="5" s="1"/>
  <c r="V137" i="5"/>
  <c r="AC137" i="5" s="1"/>
  <c r="V138" i="5"/>
  <c r="AC138" i="5" s="1"/>
  <c r="V139" i="5"/>
  <c r="V140" i="5"/>
  <c r="AC140" i="5" s="1"/>
  <c r="V141" i="5"/>
  <c r="AC141" i="5" s="1"/>
  <c r="V142" i="5"/>
  <c r="AC142" i="5" s="1"/>
  <c r="V143" i="5"/>
  <c r="AC143" i="5" s="1"/>
  <c r="V144" i="5"/>
  <c r="AC144" i="5" s="1"/>
  <c r="V145" i="5"/>
  <c r="AC145" i="5" s="1"/>
  <c r="V146" i="5"/>
  <c r="AC146" i="5" s="1"/>
  <c r="V147" i="5"/>
  <c r="AC147" i="5" s="1"/>
  <c r="V148" i="5"/>
  <c r="AC148" i="5" s="1"/>
  <c r="V149" i="5"/>
  <c r="AC149" i="5" s="1"/>
  <c r="V150" i="5"/>
  <c r="AC150" i="5" s="1"/>
  <c r="V151" i="5"/>
  <c r="AC151" i="5" s="1"/>
  <c r="V152" i="5"/>
  <c r="AC152" i="5" s="1"/>
  <c r="W125" i="5"/>
  <c r="AD125" i="5" s="1"/>
  <c r="W126" i="5"/>
  <c r="AD126" i="5" s="1"/>
  <c r="W127" i="5"/>
  <c r="AD127" i="5" s="1"/>
  <c r="W128" i="5"/>
  <c r="AD128" i="5" s="1"/>
  <c r="W129" i="5"/>
  <c r="AD129" i="5" s="1"/>
  <c r="W130" i="5"/>
  <c r="AD130" i="5" s="1"/>
  <c r="W131" i="5"/>
  <c r="AD131" i="5" s="1"/>
  <c r="W132" i="5"/>
  <c r="AD132" i="5" s="1"/>
  <c r="W133" i="5"/>
  <c r="AD133" i="5" s="1"/>
  <c r="W134" i="5"/>
  <c r="AD134" i="5" s="1"/>
  <c r="W135" i="5"/>
  <c r="AD135" i="5" s="1"/>
  <c r="W136" i="5"/>
  <c r="AD136" i="5" s="1"/>
  <c r="W137" i="5"/>
  <c r="AD137" i="5" s="1"/>
  <c r="W138" i="5"/>
  <c r="AD138" i="5" s="1"/>
  <c r="W139" i="5"/>
  <c r="AD139" i="5" s="1"/>
  <c r="W140" i="5"/>
  <c r="AD140" i="5" s="1"/>
  <c r="W141" i="5"/>
  <c r="AD141" i="5" s="1"/>
  <c r="W142" i="5"/>
  <c r="AD142" i="5" s="1"/>
  <c r="W143" i="5"/>
  <c r="AD143" i="5" s="1"/>
  <c r="W144" i="5"/>
  <c r="AD144" i="5" s="1"/>
  <c r="W145" i="5"/>
  <c r="AD145" i="5" s="1"/>
  <c r="W146" i="5"/>
  <c r="AD146" i="5" s="1"/>
  <c r="W147" i="5"/>
  <c r="AD147" i="5" s="1"/>
  <c r="W148" i="5"/>
  <c r="AD148" i="5" s="1"/>
  <c r="W149" i="5"/>
  <c r="AD149" i="5" s="1"/>
  <c r="W150" i="5"/>
  <c r="AD150" i="5" s="1"/>
  <c r="W151" i="5"/>
  <c r="AD151" i="5" s="1"/>
  <c r="W152" i="5"/>
  <c r="AD152" i="5" s="1"/>
  <c r="X125" i="5"/>
  <c r="AE125" i="5" s="1"/>
  <c r="X126" i="5"/>
  <c r="AE126" i="5" s="1"/>
  <c r="X127" i="5"/>
  <c r="AE127" i="5" s="1"/>
  <c r="X128" i="5"/>
  <c r="AE128" i="5" s="1"/>
  <c r="X129" i="5"/>
  <c r="AE129" i="5" s="1"/>
  <c r="X130" i="5"/>
  <c r="AE130" i="5" s="1"/>
  <c r="X131" i="5"/>
  <c r="AE131" i="5" s="1"/>
  <c r="X132" i="5"/>
  <c r="AE132" i="5" s="1"/>
  <c r="X133" i="5"/>
  <c r="AE133" i="5" s="1"/>
  <c r="X134" i="5"/>
  <c r="AE134" i="5" s="1"/>
  <c r="X135" i="5"/>
  <c r="AE135" i="5" s="1"/>
  <c r="X136" i="5"/>
  <c r="AE136" i="5" s="1"/>
  <c r="X137" i="5"/>
  <c r="AE137" i="5" s="1"/>
  <c r="X138" i="5"/>
  <c r="AE138" i="5" s="1"/>
  <c r="X139" i="5"/>
  <c r="AE139" i="5" s="1"/>
  <c r="X140" i="5"/>
  <c r="AE140" i="5" s="1"/>
  <c r="X141" i="5"/>
  <c r="AE141" i="5" s="1"/>
  <c r="X142" i="5"/>
  <c r="AE142" i="5" s="1"/>
  <c r="X143" i="5"/>
  <c r="AE143" i="5" s="1"/>
  <c r="X144" i="5"/>
  <c r="AE144" i="5" s="1"/>
  <c r="X145" i="5"/>
  <c r="AE145" i="5" s="1"/>
  <c r="X146" i="5"/>
  <c r="AE146" i="5" s="1"/>
  <c r="X147" i="5"/>
  <c r="AE147" i="5" s="1"/>
  <c r="X148" i="5"/>
  <c r="AE148" i="5" s="1"/>
  <c r="X149" i="5"/>
  <c r="AE149" i="5" s="1"/>
  <c r="X150" i="5"/>
  <c r="AE150" i="5" s="1"/>
  <c r="X151" i="5"/>
  <c r="AE151" i="5" s="1"/>
  <c r="X152" i="5"/>
  <c r="AE152" i="5" s="1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C125" i="5"/>
  <c r="AC139" i="5"/>
  <c r="T2" i="5" l="1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AD121" i="5" s="1"/>
  <c r="W122" i="5"/>
  <c r="AD122" i="5" s="1"/>
  <c r="W123" i="5"/>
  <c r="AD123" i="5" s="1"/>
  <c r="W124" i="5"/>
  <c r="AD124" i="5" s="1"/>
  <c r="X109" i="5"/>
  <c r="AE109" i="5" s="1"/>
  <c r="X110" i="5"/>
  <c r="AE110" i="5" s="1"/>
  <c r="X111" i="5"/>
  <c r="AE111" i="5" s="1"/>
  <c r="X112" i="5"/>
  <c r="AE112" i="5" s="1"/>
  <c r="X113" i="5"/>
  <c r="AE113" i="5" s="1"/>
  <c r="X114" i="5"/>
  <c r="AE114" i="5" s="1"/>
  <c r="X115" i="5"/>
  <c r="AE115" i="5" s="1"/>
  <c r="X116" i="5"/>
  <c r="AE116" i="5" s="1"/>
  <c r="X117" i="5"/>
  <c r="AE117" i="5" s="1"/>
  <c r="X118" i="5"/>
  <c r="AE118" i="5" s="1"/>
  <c r="X119" i="5"/>
  <c r="AE119" i="5" s="1"/>
  <c r="X120" i="5"/>
  <c r="AE120" i="5" s="1"/>
  <c r="X121" i="5"/>
  <c r="AE121" i="5" s="1"/>
  <c r="X122" i="5"/>
  <c r="AE122" i="5" s="1"/>
  <c r="X123" i="5"/>
  <c r="AE123" i="5" s="1"/>
  <c r="X124" i="5"/>
  <c r="AE124" i="5" s="1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U91" i="5" l="1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V91" i="5"/>
  <c r="AC91" i="5" s="1"/>
  <c r="V92" i="5"/>
  <c r="AC92" i="5" s="1"/>
  <c r="V93" i="5"/>
  <c r="V94" i="5"/>
  <c r="V95" i="5"/>
  <c r="AC95" i="5" s="1"/>
  <c r="V96" i="5"/>
  <c r="AC96" i="5" s="1"/>
  <c r="V97" i="5"/>
  <c r="AC97" i="5" s="1"/>
  <c r="V98" i="5"/>
  <c r="AC98" i="5" s="1"/>
  <c r="V99" i="5"/>
  <c r="V100" i="5"/>
  <c r="AC100" i="5" s="1"/>
  <c r="V101" i="5"/>
  <c r="AC101" i="5" s="1"/>
  <c r="V102" i="5"/>
  <c r="AC102" i="5" s="1"/>
  <c r="V103" i="5"/>
  <c r="AC103" i="5" s="1"/>
  <c r="V104" i="5"/>
  <c r="AC104" i="5" s="1"/>
  <c r="V105" i="5"/>
  <c r="AC105" i="5" s="1"/>
  <c r="V106" i="5"/>
  <c r="AC106" i="5" s="1"/>
  <c r="V107" i="5"/>
  <c r="AC107" i="5" s="1"/>
  <c r="V108" i="5"/>
  <c r="AC108" i="5" s="1"/>
  <c r="W91" i="5"/>
  <c r="AD91" i="5" s="1"/>
  <c r="W92" i="5"/>
  <c r="AD92" i="5" s="1"/>
  <c r="W93" i="5"/>
  <c r="AD93" i="5" s="1"/>
  <c r="W94" i="5"/>
  <c r="AD94" i="5" s="1"/>
  <c r="W95" i="5"/>
  <c r="AD95" i="5" s="1"/>
  <c r="W96" i="5"/>
  <c r="AD96" i="5" s="1"/>
  <c r="W97" i="5"/>
  <c r="AD97" i="5" s="1"/>
  <c r="W98" i="5"/>
  <c r="AD98" i="5" s="1"/>
  <c r="W99" i="5"/>
  <c r="AD99" i="5" s="1"/>
  <c r="W100" i="5"/>
  <c r="AD100" i="5" s="1"/>
  <c r="W101" i="5"/>
  <c r="AD101" i="5" s="1"/>
  <c r="W102" i="5"/>
  <c r="AD102" i="5" s="1"/>
  <c r="W103" i="5"/>
  <c r="AD103" i="5" s="1"/>
  <c r="W104" i="5"/>
  <c r="AD104" i="5" s="1"/>
  <c r="W105" i="5"/>
  <c r="AD105" i="5" s="1"/>
  <c r="W106" i="5"/>
  <c r="AD106" i="5" s="1"/>
  <c r="W107" i="5"/>
  <c r="AD107" i="5" s="1"/>
  <c r="W108" i="5"/>
  <c r="AD108" i="5" s="1"/>
  <c r="X91" i="5"/>
  <c r="AE91" i="5" s="1"/>
  <c r="X92" i="5"/>
  <c r="AE92" i="5" s="1"/>
  <c r="X93" i="5"/>
  <c r="AE93" i="5" s="1"/>
  <c r="X94" i="5"/>
  <c r="AE94" i="5" s="1"/>
  <c r="X95" i="5"/>
  <c r="AE95" i="5" s="1"/>
  <c r="X96" i="5"/>
  <c r="AE96" i="5" s="1"/>
  <c r="X97" i="5"/>
  <c r="AE97" i="5" s="1"/>
  <c r="X98" i="5"/>
  <c r="AE98" i="5" s="1"/>
  <c r="X99" i="5"/>
  <c r="AE99" i="5" s="1"/>
  <c r="X100" i="5"/>
  <c r="AE100" i="5" s="1"/>
  <c r="X101" i="5"/>
  <c r="AE101" i="5" s="1"/>
  <c r="X102" i="5"/>
  <c r="AE102" i="5" s="1"/>
  <c r="X103" i="5"/>
  <c r="AE103" i="5" s="1"/>
  <c r="X104" i="5"/>
  <c r="AE104" i="5" s="1"/>
  <c r="X105" i="5"/>
  <c r="AE105" i="5" s="1"/>
  <c r="X106" i="5"/>
  <c r="AE106" i="5" s="1"/>
  <c r="X107" i="5"/>
  <c r="AE107" i="5" s="1"/>
  <c r="X108" i="5"/>
  <c r="AE108" i="5" s="1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C93" i="5"/>
  <c r="AC94" i="5"/>
  <c r="AC99" i="5"/>
  <c r="AB2" i="5" l="1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A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X2" i="5"/>
  <c r="AE2" i="5" s="1"/>
  <c r="X3" i="5"/>
  <c r="AE3" i="5" s="1"/>
  <c r="X4" i="5"/>
  <c r="AE4" i="5" s="1"/>
  <c r="X5" i="5"/>
  <c r="AE5" i="5" s="1"/>
  <c r="X6" i="5"/>
  <c r="AE6" i="5" s="1"/>
  <c r="X7" i="5"/>
  <c r="AE7" i="5" s="1"/>
  <c r="X8" i="5"/>
  <c r="AE8" i="5" s="1"/>
  <c r="X9" i="5"/>
  <c r="AE9" i="5" s="1"/>
  <c r="X10" i="5"/>
  <c r="AE10" i="5" s="1"/>
  <c r="X11" i="5"/>
  <c r="AE11" i="5" s="1"/>
  <c r="X12" i="5"/>
  <c r="AE12" i="5" s="1"/>
  <c r="X13" i="5"/>
  <c r="AE13" i="5" s="1"/>
  <c r="X14" i="5"/>
  <c r="AE14" i="5" s="1"/>
  <c r="X15" i="5"/>
  <c r="AE15" i="5" s="1"/>
  <c r="X16" i="5"/>
  <c r="AE16" i="5" s="1"/>
  <c r="X17" i="5"/>
  <c r="AE17" i="5" s="1"/>
  <c r="X18" i="5"/>
  <c r="AE18" i="5" s="1"/>
  <c r="X19" i="5"/>
  <c r="AE19" i="5" s="1"/>
  <c r="X20" i="5"/>
  <c r="AE20" i="5" s="1"/>
  <c r="X21" i="5"/>
  <c r="AE21" i="5" s="1"/>
  <c r="X22" i="5"/>
  <c r="AE22" i="5" s="1"/>
  <c r="X23" i="5"/>
  <c r="AE23" i="5" s="1"/>
  <c r="X24" i="5"/>
  <c r="AE24" i="5" s="1"/>
  <c r="X25" i="5"/>
  <c r="AE25" i="5" s="1"/>
  <c r="X26" i="5"/>
  <c r="AE26" i="5" s="1"/>
  <c r="X27" i="5"/>
  <c r="AE27" i="5" s="1"/>
  <c r="X28" i="5"/>
  <c r="AE28" i="5" s="1"/>
  <c r="X29" i="5"/>
  <c r="AE29" i="5" s="1"/>
  <c r="X30" i="5"/>
  <c r="AE30" i="5" s="1"/>
  <c r="X31" i="5"/>
  <c r="AE31" i="5" s="1"/>
  <c r="X32" i="5"/>
  <c r="AE32" i="5" s="1"/>
  <c r="X33" i="5"/>
  <c r="AE33" i="5" s="1"/>
  <c r="X34" i="5"/>
  <c r="AE34" i="5" s="1"/>
  <c r="X35" i="5"/>
  <c r="AE35" i="5" s="1"/>
  <c r="X36" i="5"/>
  <c r="AE36" i="5" s="1"/>
  <c r="X37" i="5"/>
  <c r="AE37" i="5" s="1"/>
  <c r="X38" i="5"/>
  <c r="AE38" i="5" s="1"/>
  <c r="X39" i="5"/>
  <c r="AE39" i="5" s="1"/>
  <c r="X40" i="5"/>
  <c r="AE40" i="5" s="1"/>
  <c r="X41" i="5"/>
  <c r="AE41" i="5" s="1"/>
  <c r="X42" i="5"/>
  <c r="AE42" i="5" s="1"/>
  <c r="X43" i="5"/>
  <c r="AE43" i="5" s="1"/>
  <c r="X44" i="5"/>
  <c r="AE44" i="5" s="1"/>
  <c r="X45" i="5"/>
  <c r="AE45" i="5" s="1"/>
  <c r="X46" i="5"/>
  <c r="AE46" i="5" s="1"/>
  <c r="X47" i="5"/>
  <c r="AE47" i="5" s="1"/>
  <c r="X48" i="5"/>
  <c r="AE48" i="5" s="1"/>
  <c r="X49" i="5"/>
  <c r="AE49" i="5" s="1"/>
  <c r="X50" i="5"/>
  <c r="AE50" i="5" s="1"/>
  <c r="X51" i="5"/>
  <c r="AE51" i="5" s="1"/>
  <c r="X52" i="5"/>
  <c r="AE52" i="5" s="1"/>
  <c r="X53" i="5"/>
  <c r="AE53" i="5" s="1"/>
  <c r="X54" i="5"/>
  <c r="AE54" i="5" s="1"/>
  <c r="X55" i="5"/>
  <c r="AE55" i="5" s="1"/>
  <c r="X56" i="5"/>
  <c r="AE56" i="5" s="1"/>
  <c r="X57" i="5"/>
  <c r="AE57" i="5" s="1"/>
  <c r="X58" i="5"/>
  <c r="AE58" i="5" s="1"/>
  <c r="X59" i="5"/>
  <c r="AE59" i="5" s="1"/>
  <c r="X60" i="5"/>
  <c r="AE60" i="5" s="1"/>
  <c r="X61" i="5"/>
  <c r="AE61" i="5" s="1"/>
  <c r="X62" i="5"/>
  <c r="AE62" i="5" s="1"/>
  <c r="X63" i="5"/>
  <c r="AE63" i="5" s="1"/>
  <c r="X64" i="5"/>
  <c r="AE64" i="5" s="1"/>
  <c r="X65" i="5"/>
  <c r="AE65" i="5" s="1"/>
  <c r="X66" i="5"/>
  <c r="AE66" i="5" s="1"/>
  <c r="X67" i="5"/>
  <c r="AE67" i="5" s="1"/>
  <c r="X68" i="5"/>
  <c r="AE68" i="5" s="1"/>
  <c r="X69" i="5"/>
  <c r="AE69" i="5" s="1"/>
  <c r="X70" i="5"/>
  <c r="AE70" i="5" s="1"/>
  <c r="X71" i="5"/>
  <c r="AE71" i="5" s="1"/>
  <c r="X72" i="5"/>
  <c r="AE72" i="5" s="1"/>
  <c r="X73" i="5"/>
  <c r="AE73" i="5" s="1"/>
  <c r="X74" i="5"/>
  <c r="AE74" i="5" s="1"/>
  <c r="X75" i="5"/>
  <c r="AE75" i="5" s="1"/>
  <c r="X76" i="5"/>
  <c r="AE76" i="5" s="1"/>
  <c r="X77" i="5"/>
  <c r="AE77" i="5" s="1"/>
  <c r="X78" i="5"/>
  <c r="AE78" i="5" s="1"/>
  <c r="X79" i="5"/>
  <c r="AE79" i="5" s="1"/>
  <c r="X80" i="5"/>
  <c r="AE80" i="5" s="1"/>
  <c r="X81" i="5"/>
  <c r="AE81" i="5" s="1"/>
  <c r="X82" i="5"/>
  <c r="AE82" i="5" s="1"/>
  <c r="X83" i="5"/>
  <c r="AE83" i="5" s="1"/>
  <c r="X84" i="5"/>
  <c r="AE84" i="5" s="1"/>
  <c r="X85" i="5"/>
  <c r="AE85" i="5" s="1"/>
  <c r="X86" i="5"/>
  <c r="AE86" i="5" s="1"/>
  <c r="X87" i="5"/>
  <c r="AE87" i="5" s="1"/>
  <c r="X88" i="5"/>
  <c r="AE88" i="5" s="1"/>
  <c r="X89" i="5"/>
  <c r="AE89" i="5" s="1"/>
  <c r="X90" i="5"/>
  <c r="AE90" i="5" s="1"/>
  <c r="W2" i="5"/>
  <c r="AD2" i="5" s="1"/>
  <c r="W3" i="5"/>
  <c r="AD3" i="5" s="1"/>
  <c r="W4" i="5"/>
  <c r="AD4" i="5" s="1"/>
  <c r="W5" i="5"/>
  <c r="AD5" i="5" s="1"/>
  <c r="W6" i="5"/>
  <c r="AD6" i="5" s="1"/>
  <c r="W7" i="5"/>
  <c r="AD7" i="5" s="1"/>
  <c r="W8" i="5"/>
  <c r="AD8" i="5" s="1"/>
  <c r="W9" i="5"/>
  <c r="AD9" i="5" s="1"/>
  <c r="W10" i="5"/>
  <c r="AD10" i="5" s="1"/>
  <c r="W11" i="5"/>
  <c r="AD11" i="5" s="1"/>
  <c r="W12" i="5"/>
  <c r="AD12" i="5" s="1"/>
  <c r="W13" i="5"/>
  <c r="AD13" i="5" s="1"/>
  <c r="W14" i="5"/>
  <c r="AD14" i="5" s="1"/>
  <c r="W15" i="5"/>
  <c r="AD15" i="5" s="1"/>
  <c r="W16" i="5"/>
  <c r="AD16" i="5" s="1"/>
  <c r="W17" i="5"/>
  <c r="AD17" i="5" s="1"/>
  <c r="W18" i="5"/>
  <c r="AD18" i="5" s="1"/>
  <c r="W19" i="5"/>
  <c r="AD19" i="5" s="1"/>
  <c r="W20" i="5"/>
  <c r="AD20" i="5" s="1"/>
  <c r="W21" i="5"/>
  <c r="AD21" i="5" s="1"/>
  <c r="W22" i="5"/>
  <c r="AD22" i="5" s="1"/>
  <c r="W23" i="5"/>
  <c r="AD23" i="5" s="1"/>
  <c r="W24" i="5"/>
  <c r="AD24" i="5" s="1"/>
  <c r="W25" i="5"/>
  <c r="AD25" i="5" s="1"/>
  <c r="W26" i="5"/>
  <c r="AD26" i="5" s="1"/>
  <c r="W27" i="5"/>
  <c r="AD27" i="5" s="1"/>
  <c r="W28" i="5"/>
  <c r="AD28" i="5" s="1"/>
  <c r="W29" i="5"/>
  <c r="AD29" i="5" s="1"/>
  <c r="W30" i="5"/>
  <c r="AD30" i="5" s="1"/>
  <c r="W31" i="5"/>
  <c r="AD31" i="5" s="1"/>
  <c r="W32" i="5"/>
  <c r="AD32" i="5" s="1"/>
  <c r="W33" i="5"/>
  <c r="AD33" i="5" s="1"/>
  <c r="W34" i="5"/>
  <c r="AD34" i="5" s="1"/>
  <c r="W35" i="5"/>
  <c r="AD35" i="5" s="1"/>
  <c r="W36" i="5"/>
  <c r="AD36" i="5" s="1"/>
  <c r="W37" i="5"/>
  <c r="AD37" i="5" s="1"/>
  <c r="W38" i="5"/>
  <c r="AD38" i="5" s="1"/>
  <c r="W39" i="5"/>
  <c r="AD39" i="5" s="1"/>
  <c r="W40" i="5"/>
  <c r="AD40" i="5" s="1"/>
  <c r="W41" i="5"/>
  <c r="AD41" i="5" s="1"/>
  <c r="W42" i="5"/>
  <c r="AD42" i="5" s="1"/>
  <c r="W43" i="5"/>
  <c r="AD43" i="5" s="1"/>
  <c r="W44" i="5"/>
  <c r="AD44" i="5" s="1"/>
  <c r="W45" i="5"/>
  <c r="AD45" i="5" s="1"/>
  <c r="W46" i="5"/>
  <c r="AD46" i="5" s="1"/>
  <c r="W47" i="5"/>
  <c r="AD47" i="5" s="1"/>
  <c r="W48" i="5"/>
  <c r="AD48" i="5" s="1"/>
  <c r="W49" i="5"/>
  <c r="AD49" i="5" s="1"/>
  <c r="W50" i="5"/>
  <c r="AD50" i="5" s="1"/>
  <c r="W51" i="5"/>
  <c r="AD51" i="5" s="1"/>
  <c r="W52" i="5"/>
  <c r="AD52" i="5" s="1"/>
  <c r="W53" i="5"/>
  <c r="AD53" i="5" s="1"/>
  <c r="W54" i="5"/>
  <c r="AD54" i="5" s="1"/>
  <c r="W55" i="5"/>
  <c r="AD55" i="5" s="1"/>
  <c r="W56" i="5"/>
  <c r="AD56" i="5" s="1"/>
  <c r="W57" i="5"/>
  <c r="AD57" i="5" s="1"/>
  <c r="W58" i="5"/>
  <c r="AD58" i="5" s="1"/>
  <c r="W59" i="5"/>
  <c r="AD59" i="5" s="1"/>
  <c r="W60" i="5"/>
  <c r="AD60" i="5" s="1"/>
  <c r="W61" i="5"/>
  <c r="AD61" i="5" s="1"/>
  <c r="W62" i="5"/>
  <c r="AD62" i="5" s="1"/>
  <c r="W63" i="5"/>
  <c r="AD63" i="5" s="1"/>
  <c r="W64" i="5"/>
  <c r="AD64" i="5" s="1"/>
  <c r="W65" i="5"/>
  <c r="AD65" i="5" s="1"/>
  <c r="W66" i="5"/>
  <c r="AD66" i="5" s="1"/>
  <c r="W67" i="5"/>
  <c r="AD67" i="5" s="1"/>
  <c r="W68" i="5"/>
  <c r="AD68" i="5" s="1"/>
  <c r="W69" i="5"/>
  <c r="AD69" i="5" s="1"/>
  <c r="W70" i="5"/>
  <c r="AD70" i="5" s="1"/>
  <c r="W71" i="5"/>
  <c r="AD71" i="5" s="1"/>
  <c r="W72" i="5"/>
  <c r="AD72" i="5" s="1"/>
  <c r="W73" i="5"/>
  <c r="AD73" i="5" s="1"/>
  <c r="W74" i="5"/>
  <c r="AD74" i="5" s="1"/>
  <c r="W75" i="5"/>
  <c r="AD75" i="5" s="1"/>
  <c r="W76" i="5"/>
  <c r="AD76" i="5" s="1"/>
  <c r="W77" i="5"/>
  <c r="AD77" i="5" s="1"/>
  <c r="W78" i="5"/>
  <c r="AD78" i="5" s="1"/>
  <c r="W79" i="5"/>
  <c r="AD79" i="5" s="1"/>
  <c r="W80" i="5"/>
  <c r="AD80" i="5" s="1"/>
  <c r="W81" i="5"/>
  <c r="AD81" i="5" s="1"/>
  <c r="W82" i="5"/>
  <c r="AD82" i="5" s="1"/>
  <c r="W83" i="5"/>
  <c r="AD83" i="5" s="1"/>
  <c r="W84" i="5"/>
  <c r="AD84" i="5" s="1"/>
  <c r="W85" i="5"/>
  <c r="AD85" i="5" s="1"/>
  <c r="W86" i="5"/>
  <c r="AD86" i="5" s="1"/>
  <c r="W87" i="5"/>
  <c r="AD87" i="5" s="1"/>
  <c r="W88" i="5"/>
  <c r="AD88" i="5" s="1"/>
  <c r="W89" i="5"/>
  <c r="AD89" i="5" s="1"/>
  <c r="W90" i="5"/>
  <c r="AD90" i="5" s="1"/>
  <c r="V2" i="5"/>
  <c r="AC2" i="5" s="1"/>
  <c r="V3" i="5"/>
  <c r="AC3" i="5" s="1"/>
  <c r="V4" i="5"/>
  <c r="AC4" i="5" s="1"/>
  <c r="V5" i="5"/>
  <c r="AC5" i="5" s="1"/>
  <c r="V6" i="5"/>
  <c r="AC6" i="5" s="1"/>
  <c r="V7" i="5"/>
  <c r="AC7" i="5" s="1"/>
  <c r="V8" i="5"/>
  <c r="AC8" i="5" s="1"/>
  <c r="V9" i="5"/>
  <c r="AC9" i="5" s="1"/>
  <c r="V10" i="5"/>
  <c r="AC10" i="5" s="1"/>
  <c r="V11" i="5"/>
  <c r="AC11" i="5" s="1"/>
  <c r="V12" i="5"/>
  <c r="AC12" i="5" s="1"/>
  <c r="V13" i="5"/>
  <c r="AC13" i="5" s="1"/>
  <c r="V14" i="5"/>
  <c r="AC14" i="5" s="1"/>
  <c r="V15" i="5"/>
  <c r="AC15" i="5" s="1"/>
  <c r="V16" i="5"/>
  <c r="AC16" i="5" s="1"/>
  <c r="V17" i="5"/>
  <c r="AC17" i="5" s="1"/>
  <c r="V18" i="5"/>
  <c r="AC18" i="5" s="1"/>
  <c r="V19" i="5"/>
  <c r="AC19" i="5" s="1"/>
  <c r="V20" i="5"/>
  <c r="AC20" i="5" s="1"/>
  <c r="V21" i="5"/>
  <c r="AC21" i="5" s="1"/>
  <c r="V22" i="5"/>
  <c r="AC22" i="5" s="1"/>
  <c r="V23" i="5"/>
  <c r="AC23" i="5" s="1"/>
  <c r="V24" i="5"/>
  <c r="AC24" i="5" s="1"/>
  <c r="V25" i="5"/>
  <c r="AC25" i="5" s="1"/>
  <c r="V26" i="5"/>
  <c r="AC26" i="5" s="1"/>
  <c r="V27" i="5"/>
  <c r="AC27" i="5" s="1"/>
  <c r="V28" i="5"/>
  <c r="AC28" i="5" s="1"/>
  <c r="V29" i="5"/>
  <c r="AC29" i="5" s="1"/>
  <c r="V30" i="5"/>
  <c r="AC30" i="5" s="1"/>
  <c r="V31" i="5"/>
  <c r="AC31" i="5" s="1"/>
  <c r="V32" i="5"/>
  <c r="AC32" i="5" s="1"/>
  <c r="V33" i="5"/>
  <c r="AC33" i="5" s="1"/>
  <c r="V34" i="5"/>
  <c r="AC34" i="5" s="1"/>
  <c r="V35" i="5"/>
  <c r="AC35" i="5" s="1"/>
  <c r="V36" i="5"/>
  <c r="AC36" i="5" s="1"/>
  <c r="V37" i="5"/>
  <c r="AC37" i="5" s="1"/>
  <c r="V38" i="5"/>
  <c r="AC38" i="5" s="1"/>
  <c r="V39" i="5"/>
  <c r="AC39" i="5" s="1"/>
  <c r="V40" i="5"/>
  <c r="AC40" i="5" s="1"/>
  <c r="V41" i="5"/>
  <c r="AC41" i="5" s="1"/>
  <c r="V42" i="5"/>
  <c r="AC42" i="5" s="1"/>
  <c r="V43" i="5"/>
  <c r="AC43" i="5" s="1"/>
  <c r="V44" i="5"/>
  <c r="AC44" i="5" s="1"/>
  <c r="V45" i="5"/>
  <c r="AC45" i="5" s="1"/>
  <c r="V46" i="5"/>
  <c r="AC46" i="5" s="1"/>
  <c r="V47" i="5"/>
  <c r="AC47" i="5" s="1"/>
  <c r="V48" i="5"/>
  <c r="AC48" i="5" s="1"/>
  <c r="V49" i="5"/>
  <c r="AC49" i="5" s="1"/>
  <c r="V50" i="5"/>
  <c r="AC50" i="5" s="1"/>
  <c r="V51" i="5"/>
  <c r="AC51" i="5" s="1"/>
  <c r="V52" i="5"/>
  <c r="AC52" i="5" s="1"/>
  <c r="V53" i="5"/>
  <c r="AC53" i="5" s="1"/>
  <c r="V54" i="5"/>
  <c r="AC54" i="5" s="1"/>
  <c r="V55" i="5"/>
  <c r="AC55" i="5" s="1"/>
  <c r="V56" i="5"/>
  <c r="AC56" i="5" s="1"/>
  <c r="V57" i="5"/>
  <c r="AC57" i="5" s="1"/>
  <c r="V58" i="5"/>
  <c r="AC58" i="5" s="1"/>
  <c r="V59" i="5"/>
  <c r="AC59" i="5" s="1"/>
  <c r="V60" i="5"/>
  <c r="AC60" i="5" s="1"/>
  <c r="V61" i="5"/>
  <c r="AC61" i="5" s="1"/>
  <c r="V62" i="5"/>
  <c r="AC62" i="5" s="1"/>
  <c r="V63" i="5"/>
  <c r="AC63" i="5" s="1"/>
  <c r="V64" i="5"/>
  <c r="AC64" i="5" s="1"/>
  <c r="V65" i="5"/>
  <c r="AC65" i="5" s="1"/>
  <c r="V66" i="5"/>
  <c r="AC66" i="5" s="1"/>
  <c r="V67" i="5"/>
  <c r="AC67" i="5" s="1"/>
  <c r="V68" i="5"/>
  <c r="AC68" i="5" s="1"/>
  <c r="V69" i="5"/>
  <c r="AC69" i="5" s="1"/>
  <c r="V70" i="5"/>
  <c r="AC70" i="5" s="1"/>
  <c r="V71" i="5"/>
  <c r="AC71" i="5" s="1"/>
  <c r="V72" i="5"/>
  <c r="AC72" i="5" s="1"/>
  <c r="V73" i="5"/>
  <c r="AC73" i="5" s="1"/>
  <c r="V74" i="5"/>
  <c r="AC74" i="5" s="1"/>
  <c r="V75" i="5"/>
  <c r="AC75" i="5" s="1"/>
  <c r="V76" i="5"/>
  <c r="AC76" i="5" s="1"/>
  <c r="V77" i="5"/>
  <c r="AC77" i="5" s="1"/>
  <c r="V78" i="5"/>
  <c r="AC78" i="5" s="1"/>
  <c r="V79" i="5"/>
  <c r="AC79" i="5" s="1"/>
  <c r="V80" i="5"/>
  <c r="AC80" i="5" s="1"/>
  <c r="V81" i="5"/>
  <c r="AC81" i="5" s="1"/>
  <c r="V82" i="5"/>
  <c r="AC82" i="5" s="1"/>
  <c r="V83" i="5"/>
  <c r="AC83" i="5" s="1"/>
  <c r="V84" i="5"/>
  <c r="AC84" i="5" s="1"/>
  <c r="V85" i="5"/>
  <c r="AC85" i="5" s="1"/>
  <c r="V86" i="5"/>
  <c r="AC86" i="5" s="1"/>
  <c r="V87" i="5"/>
  <c r="AC87" i="5" s="1"/>
  <c r="V88" i="5"/>
  <c r="AC88" i="5" s="1"/>
  <c r="V89" i="5"/>
  <c r="AC89" i="5" s="1"/>
  <c r="V90" i="5"/>
  <c r="AC90" i="5" s="1"/>
  <c r="U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B1" i="6" l="1"/>
  <c r="B15" i="6" s="1"/>
  <c r="B9" i="6" l="1" a="1"/>
  <c r="E9" i="6" s="1"/>
  <c r="C15" i="6"/>
  <c r="B29" i="6" s="1"/>
  <c r="B3" i="6" a="1"/>
  <c r="G3" i="6" s="1"/>
  <c r="G2" i="6" s="1"/>
  <c r="B7" i="6" a="1"/>
  <c r="H7" i="6" s="1"/>
  <c r="B13" i="6" a="1"/>
  <c r="B13" i="6" s="1"/>
  <c r="B5" i="6" a="1"/>
  <c r="E5" i="6" s="1"/>
  <c r="B11" i="6" a="1"/>
  <c r="D11" i="6" s="1"/>
  <c r="F9" i="6" l="1"/>
  <c r="D9" i="6"/>
  <c r="C9" i="6"/>
  <c r="H9" i="6"/>
  <c r="G9" i="6"/>
  <c r="B9" i="6"/>
  <c r="H5" i="6"/>
  <c r="C13" i="6"/>
  <c r="C29" i="6"/>
  <c r="B41" i="6" s="1" a="1"/>
  <c r="B17" i="6" a="1"/>
  <c r="B17" i="6" s="1"/>
  <c r="B16" i="6" s="1"/>
  <c r="B27" i="6" a="1"/>
  <c r="B27" i="6" s="1"/>
  <c r="B23" i="6" a="1"/>
  <c r="G23" i="6" s="1"/>
  <c r="F5" i="6"/>
  <c r="B21" i="6" a="1"/>
  <c r="G21" i="6" s="1"/>
  <c r="B19" i="6" a="1"/>
  <c r="D19" i="6" s="1"/>
  <c r="H11" i="6"/>
  <c r="C5" i="6"/>
  <c r="F3" i="6"/>
  <c r="F2" i="6" s="1"/>
  <c r="B5" i="6"/>
  <c r="D5" i="6"/>
  <c r="C11" i="6"/>
  <c r="B3" i="6"/>
  <c r="G11" i="6"/>
  <c r="D3" i="6"/>
  <c r="D2" i="6" s="1"/>
  <c r="E11" i="6"/>
  <c r="B11" i="6"/>
  <c r="C3" i="6"/>
  <c r="C2" i="6" s="1"/>
  <c r="H3" i="6"/>
  <c r="H2" i="6" s="1"/>
  <c r="G5" i="6"/>
  <c r="B25" i="6" a="1"/>
  <c r="F25" i="6" s="1"/>
  <c r="E3" i="6"/>
  <c r="E2" i="6" s="1"/>
  <c r="F11" i="6"/>
  <c r="E7" i="6"/>
  <c r="G7" i="6"/>
  <c r="F7" i="6"/>
  <c r="D7" i="6"/>
  <c r="B7" i="6"/>
  <c r="C7" i="6"/>
  <c r="B39" i="6" l="1" a="1"/>
  <c r="E39" i="6" s="1"/>
  <c r="B31" i="6" a="1"/>
  <c r="G31" i="6" s="1"/>
  <c r="G30" i="6" s="1"/>
  <c r="B35" i="6" a="1"/>
  <c r="E35" i="6" s="1"/>
  <c r="C43" i="6"/>
  <c r="B43" i="6"/>
  <c r="B37" i="6" a="1"/>
  <c r="H37" i="6" s="1"/>
  <c r="B33" i="6" a="1"/>
  <c r="C33" i="6" s="1"/>
  <c r="B21" i="6"/>
  <c r="F17" i="6"/>
  <c r="F16" i="6" s="1"/>
  <c r="F21" i="6"/>
  <c r="C17" i="6"/>
  <c r="C16" i="6" s="1"/>
  <c r="D21" i="6"/>
  <c r="D17" i="6"/>
  <c r="D16" i="6" s="1"/>
  <c r="E21" i="6"/>
  <c r="E17" i="6"/>
  <c r="E16" i="6" s="1"/>
  <c r="H17" i="6"/>
  <c r="H16" i="6" s="1"/>
  <c r="C27" i="6"/>
  <c r="G17" i="6"/>
  <c r="G16" i="6" s="1"/>
  <c r="D23" i="6"/>
  <c r="B23" i="6"/>
  <c r="F23" i="6"/>
  <c r="H23" i="6"/>
  <c r="C23" i="6"/>
  <c r="E23" i="6"/>
  <c r="C21" i="6"/>
  <c r="H21" i="6"/>
  <c r="C19" i="6"/>
  <c r="G19" i="6"/>
  <c r="F19" i="6"/>
  <c r="G25" i="6"/>
  <c r="E19" i="6"/>
  <c r="H19" i="6"/>
  <c r="B19" i="6"/>
  <c r="B25" i="6"/>
  <c r="D25" i="6"/>
  <c r="C25" i="6"/>
  <c r="H25" i="6"/>
  <c r="E25" i="6"/>
  <c r="C41" i="6"/>
  <c r="B41" i="6"/>
  <c r="D39" i="6" l="1"/>
  <c r="D31" i="6"/>
  <c r="D30" i="6" s="1"/>
  <c r="H39" i="6"/>
  <c r="C39" i="6"/>
  <c r="H31" i="6"/>
  <c r="H30" i="6" s="1"/>
  <c r="E31" i="6"/>
  <c r="E30" i="6" s="1"/>
  <c r="B39" i="6"/>
  <c r="G39" i="6"/>
  <c r="C35" i="6"/>
  <c r="B31" i="6"/>
  <c r="B30" i="6" s="1"/>
  <c r="C31" i="6"/>
  <c r="C30" i="6" s="1"/>
  <c r="F39" i="6"/>
  <c r="F31" i="6"/>
  <c r="F30" i="6" s="1"/>
  <c r="G33" i="6"/>
  <c r="B35" i="6"/>
  <c r="H35" i="6"/>
  <c r="F35" i="6"/>
  <c r="G35" i="6"/>
  <c r="E33" i="6"/>
  <c r="D35" i="6"/>
  <c r="B51" i="6" a="1"/>
  <c r="G51" i="6" s="1"/>
  <c r="B57" i="6"/>
  <c r="B53" i="6" a="1"/>
  <c r="C53" i="6" s="1"/>
  <c r="B45" i="6" a="1"/>
  <c r="D45" i="6" s="1"/>
  <c r="D44" i="6" s="1"/>
  <c r="C57" i="6"/>
  <c r="B49" i="6" a="1"/>
  <c r="C49" i="6" s="1"/>
  <c r="D33" i="6"/>
  <c r="F33" i="6"/>
  <c r="H33" i="6"/>
  <c r="B55" i="6" a="1"/>
  <c r="B55" i="6" s="1"/>
  <c r="B47" i="6" a="1"/>
  <c r="C47" i="6" s="1"/>
  <c r="D37" i="6"/>
  <c r="C37" i="6"/>
  <c r="B33" i="6"/>
  <c r="G37" i="6"/>
  <c r="B37" i="6"/>
  <c r="F37" i="6"/>
  <c r="E37" i="6"/>
  <c r="B65" i="6" l="1" a="1"/>
  <c r="H65" i="6" s="1"/>
  <c r="E49" i="6"/>
  <c r="D51" i="6"/>
  <c r="F51" i="6"/>
  <c r="E51" i="6"/>
  <c r="C51" i="6"/>
  <c r="B51" i="6"/>
  <c r="H53" i="6"/>
  <c r="G53" i="6"/>
  <c r="H51" i="6"/>
  <c r="D53" i="6"/>
  <c r="B53" i="6"/>
  <c r="E53" i="6"/>
  <c r="F53" i="6"/>
  <c r="C45" i="6"/>
  <c r="C44" i="6" s="1"/>
  <c r="F45" i="6"/>
  <c r="F44" i="6" s="1"/>
  <c r="B45" i="6"/>
  <c r="B44" i="6" s="1"/>
  <c r="E45" i="6"/>
  <c r="E44" i="6" s="1"/>
  <c r="H45" i="6"/>
  <c r="H44" i="6" s="1"/>
  <c r="G45" i="6"/>
  <c r="G44" i="6" s="1"/>
  <c r="B61" i="6" a="1"/>
  <c r="E61" i="6" s="1"/>
  <c r="B69" i="6" a="1"/>
  <c r="C69" i="6" s="1"/>
  <c r="B63" i="6" a="1"/>
  <c r="C63" i="6" s="1"/>
  <c r="C71" i="6"/>
  <c r="B59" i="6" a="1"/>
  <c r="E59" i="6" s="1"/>
  <c r="E58" i="6" s="1"/>
  <c r="B67" i="6" a="1"/>
  <c r="G67" i="6" s="1"/>
  <c r="B71" i="6"/>
  <c r="H49" i="6"/>
  <c r="B49" i="6"/>
  <c r="G49" i="6"/>
  <c r="D49" i="6"/>
  <c r="F49" i="6"/>
  <c r="B47" i="6"/>
  <c r="G47" i="6"/>
  <c r="H47" i="6"/>
  <c r="E47" i="6"/>
  <c r="D47" i="6"/>
  <c r="F47" i="6"/>
  <c r="C55" i="6"/>
  <c r="D65" i="6" l="1"/>
  <c r="C65" i="6"/>
  <c r="B65" i="6"/>
  <c r="G65" i="6"/>
  <c r="F65" i="6"/>
  <c r="E65" i="6"/>
  <c r="B81" i="6" a="1"/>
  <c r="B81" i="6" s="1"/>
  <c r="H61" i="6"/>
  <c r="C61" i="6"/>
  <c r="D61" i="6"/>
  <c r="B61" i="6"/>
  <c r="G61" i="6"/>
  <c r="F61" i="6"/>
  <c r="B59" i="6"/>
  <c r="B58" i="6" s="1"/>
  <c r="D67" i="6"/>
  <c r="C59" i="6"/>
  <c r="C58" i="6" s="1"/>
  <c r="H67" i="6"/>
  <c r="G59" i="6"/>
  <c r="G58" i="6" s="1"/>
  <c r="B69" i="6"/>
  <c r="B75" i="6" a="1"/>
  <c r="G75" i="6" s="1"/>
  <c r="E67" i="6"/>
  <c r="B77" i="6" a="1"/>
  <c r="C77" i="6" s="1"/>
  <c r="B63" i="6"/>
  <c r="G63" i="6"/>
  <c r="H63" i="6"/>
  <c r="F63" i="6"/>
  <c r="E63" i="6"/>
  <c r="D63" i="6"/>
  <c r="F67" i="6"/>
  <c r="F59" i="6"/>
  <c r="F58" i="6" s="1"/>
  <c r="C67" i="6"/>
  <c r="H59" i="6"/>
  <c r="H58" i="6" s="1"/>
  <c r="B67" i="6"/>
  <c r="D59" i="6"/>
  <c r="D58" i="6" s="1"/>
  <c r="B83" i="6" a="1"/>
  <c r="C83" i="6" s="1"/>
  <c r="B85" i="6"/>
  <c r="C85" i="6"/>
  <c r="B73" i="6" a="1"/>
  <c r="G73" i="6" s="1"/>
  <c r="G72" i="6" s="1"/>
  <c r="B79" i="6" a="1"/>
  <c r="F79" i="6" s="1"/>
  <c r="E75" i="6" l="1"/>
  <c r="E81" i="6"/>
  <c r="F81" i="6"/>
  <c r="D81" i="6"/>
  <c r="C81" i="6"/>
  <c r="H81" i="6"/>
  <c r="G81" i="6"/>
  <c r="F75" i="6"/>
  <c r="G77" i="6"/>
  <c r="B75" i="6"/>
  <c r="D75" i="6"/>
  <c r="D77" i="6"/>
  <c r="C75" i="6"/>
  <c r="H77" i="6"/>
  <c r="H75" i="6"/>
  <c r="B95" i="6" a="1"/>
  <c r="C95" i="6" s="1"/>
  <c r="B77" i="6"/>
  <c r="F77" i="6"/>
  <c r="E77" i="6"/>
  <c r="B91" i="6" a="1"/>
  <c r="C91" i="6" s="1"/>
  <c r="C79" i="6"/>
  <c r="B97" i="6" a="1"/>
  <c r="C97" i="6" s="1"/>
  <c r="B83" i="6"/>
  <c r="D79" i="6"/>
  <c r="B73" i="6"/>
  <c r="B72" i="6" s="1"/>
  <c r="E73" i="6"/>
  <c r="E72" i="6" s="1"/>
  <c r="H79" i="6"/>
  <c r="G79" i="6"/>
  <c r="C99" i="6"/>
  <c r="B99" i="6"/>
  <c r="D73" i="6"/>
  <c r="D72" i="6" s="1"/>
  <c r="B79" i="6"/>
  <c r="B89" i="6" a="1"/>
  <c r="B89" i="6" s="1"/>
  <c r="B87" i="6" a="1"/>
  <c r="G87" i="6" s="1"/>
  <c r="G86" i="6" s="1"/>
  <c r="F73" i="6"/>
  <c r="F72" i="6" s="1"/>
  <c r="C73" i="6"/>
  <c r="C72" i="6" s="1"/>
  <c r="E79" i="6"/>
  <c r="B93" i="6" a="1"/>
  <c r="C93" i="6" s="1"/>
  <c r="H73" i="6"/>
  <c r="H72" i="6" s="1"/>
  <c r="B97" i="6" l="1"/>
  <c r="B95" i="6"/>
  <c r="F95" i="6"/>
  <c r="E95" i="6"/>
  <c r="G95" i="6"/>
  <c r="D95" i="6"/>
  <c r="H95" i="6"/>
  <c r="B107" i="6" a="1"/>
  <c r="F107" i="6" s="1"/>
  <c r="D91" i="6"/>
  <c r="G91" i="6"/>
  <c r="B91" i="6"/>
  <c r="E91" i="6"/>
  <c r="F91" i="6"/>
  <c r="H91" i="6"/>
  <c r="B101" i="6" a="1"/>
  <c r="F101" i="6" s="1"/>
  <c r="F100" i="6" s="1"/>
  <c r="B111" i="6" a="1"/>
  <c r="B111" i="6" s="1"/>
  <c r="E89" i="6"/>
  <c r="F89" i="6"/>
  <c r="B109" i="6" a="1"/>
  <c r="G109" i="6" s="1"/>
  <c r="C113" i="6"/>
  <c r="B93" i="6"/>
  <c r="E87" i="6"/>
  <c r="E86" i="6" s="1"/>
  <c r="F87" i="6"/>
  <c r="F86" i="6" s="1"/>
  <c r="H89" i="6"/>
  <c r="C89" i="6"/>
  <c r="D93" i="6"/>
  <c r="G93" i="6"/>
  <c r="B87" i="6"/>
  <c r="B86" i="6" s="1"/>
  <c r="B103" i="6" a="1"/>
  <c r="B103" i="6" s="1"/>
  <c r="B113" i="6"/>
  <c r="E93" i="6"/>
  <c r="F93" i="6"/>
  <c r="H87" i="6"/>
  <c r="H86" i="6" s="1"/>
  <c r="C87" i="6"/>
  <c r="C86" i="6" s="1"/>
  <c r="D89" i="6"/>
  <c r="G89" i="6"/>
  <c r="B105" i="6" a="1"/>
  <c r="G105" i="6" s="1"/>
  <c r="H93" i="6"/>
  <c r="D87" i="6"/>
  <c r="D86" i="6" s="1"/>
  <c r="G101" i="6" l="1"/>
  <c r="G100" i="6" s="1"/>
  <c r="G107" i="6"/>
  <c r="C101" i="6"/>
  <c r="C100" i="6" s="1"/>
  <c r="D107" i="6"/>
  <c r="H101" i="6"/>
  <c r="H100" i="6" s="1"/>
  <c r="C107" i="6"/>
  <c r="H107" i="6"/>
  <c r="H103" i="6"/>
  <c r="B107" i="6"/>
  <c r="D103" i="6"/>
  <c r="C109" i="6"/>
  <c r="E107" i="6"/>
  <c r="F103" i="6"/>
  <c r="G103" i="6"/>
  <c r="E103" i="6"/>
  <c r="C103" i="6"/>
  <c r="D101" i="6"/>
  <c r="D100" i="6" s="1"/>
  <c r="B109" i="6"/>
  <c r="C111" i="6"/>
  <c r="B101" i="6"/>
  <c r="B100" i="6" s="1"/>
  <c r="B125" i="6" a="1"/>
  <c r="C125" i="6" s="1"/>
  <c r="D109" i="6"/>
  <c r="E101" i="6"/>
  <c r="E100" i="6" s="1"/>
  <c r="B105" i="6"/>
  <c r="B117" i="6" a="1"/>
  <c r="B117" i="6" s="1"/>
  <c r="E109" i="6"/>
  <c r="F109" i="6"/>
  <c r="B123" i="6" a="1"/>
  <c r="G123" i="6" s="1"/>
  <c r="H109" i="6"/>
  <c r="B115" i="6" a="1"/>
  <c r="C115" i="6" s="1"/>
  <c r="C114" i="6" s="1"/>
  <c r="B121" i="6" a="1"/>
  <c r="F121" i="6" s="1"/>
  <c r="D105" i="6"/>
  <c r="C105" i="6"/>
  <c r="B119" i="6" a="1"/>
  <c r="F119" i="6" s="1"/>
  <c r="B127" i="6"/>
  <c r="E105" i="6"/>
  <c r="F105" i="6"/>
  <c r="C127" i="6"/>
  <c r="H105" i="6"/>
  <c r="B125" i="6" l="1"/>
  <c r="C121" i="6"/>
  <c r="H123" i="6"/>
  <c r="F117" i="6"/>
  <c r="B123" i="6"/>
  <c r="E117" i="6"/>
  <c r="C117" i="6"/>
  <c r="C123" i="6"/>
  <c r="H117" i="6"/>
  <c r="G117" i="6"/>
  <c r="G115" i="6"/>
  <c r="G114" i="6" s="1"/>
  <c r="D117" i="6"/>
  <c r="C141" i="6"/>
  <c r="H121" i="6"/>
  <c r="D115" i="6"/>
  <c r="D114" i="6" s="1"/>
  <c r="G121" i="6"/>
  <c r="D121" i="6"/>
  <c r="B115" i="6"/>
  <c r="B114" i="6" s="1"/>
  <c r="E123" i="6"/>
  <c r="F123" i="6"/>
  <c r="D123" i="6"/>
  <c r="B133" i="6" a="1"/>
  <c r="G133" i="6" s="1"/>
  <c r="E119" i="6"/>
  <c r="B137" i="6" a="1"/>
  <c r="C137" i="6" s="1"/>
  <c r="B141" i="6"/>
  <c r="B121" i="6"/>
  <c r="E115" i="6"/>
  <c r="E114" i="6" s="1"/>
  <c r="F115" i="6"/>
  <c r="F114" i="6" s="1"/>
  <c r="B131" i="6" a="1"/>
  <c r="C131" i="6" s="1"/>
  <c r="B135" i="6" a="1"/>
  <c r="F135" i="6" s="1"/>
  <c r="H119" i="6"/>
  <c r="C119" i="6"/>
  <c r="E121" i="6"/>
  <c r="H115" i="6"/>
  <c r="H114" i="6" s="1"/>
  <c r="B139" i="6" a="1"/>
  <c r="C139" i="6" s="1"/>
  <c r="D119" i="6"/>
  <c r="G119" i="6"/>
  <c r="B129" i="6" a="1"/>
  <c r="C129" i="6" s="1"/>
  <c r="C128" i="6" s="1"/>
  <c r="B119" i="6"/>
  <c r="B153" i="6" l="1" a="1"/>
  <c r="C153" i="6" s="1"/>
  <c r="B155" i="6"/>
  <c r="B133" i="6"/>
  <c r="C155" i="6"/>
  <c r="B147" i="6" a="1"/>
  <c r="G147" i="6" s="1"/>
  <c r="B149" i="6" a="1"/>
  <c r="C149" i="6" s="1"/>
  <c r="B139" i="6"/>
  <c r="H137" i="6"/>
  <c r="G137" i="6"/>
  <c r="B137" i="6"/>
  <c r="D137" i="6"/>
  <c r="F137" i="6"/>
  <c r="E137" i="6"/>
  <c r="G135" i="6"/>
  <c r="H135" i="6"/>
  <c r="E133" i="6"/>
  <c r="C133" i="6"/>
  <c r="E135" i="6"/>
  <c r="D133" i="6"/>
  <c r="F133" i="6"/>
  <c r="C135" i="6"/>
  <c r="H133" i="6"/>
  <c r="G129" i="6"/>
  <c r="G128" i="6" s="1"/>
  <c r="B143" i="6" a="1"/>
  <c r="F143" i="6" s="1"/>
  <c r="F142" i="6" s="1"/>
  <c r="B151" i="6" a="1"/>
  <c r="B151" i="6" s="1"/>
  <c r="B135" i="6"/>
  <c r="H129" i="6"/>
  <c r="H128" i="6" s="1"/>
  <c r="B145" i="6" a="1"/>
  <c r="C145" i="6" s="1"/>
  <c r="D135" i="6"/>
  <c r="B129" i="6"/>
  <c r="B128" i="6" s="1"/>
  <c r="H131" i="6"/>
  <c r="G131" i="6"/>
  <c r="B131" i="6"/>
  <c r="D129" i="6"/>
  <c r="D128" i="6" s="1"/>
  <c r="F129" i="6"/>
  <c r="F128" i="6" s="1"/>
  <c r="D131" i="6"/>
  <c r="F131" i="6"/>
  <c r="E129" i="6"/>
  <c r="E128" i="6" s="1"/>
  <c r="E131" i="6"/>
  <c r="B165" i="6" l="1" a="1"/>
  <c r="C165" i="6" s="1"/>
  <c r="B153" i="6"/>
  <c r="B157" i="6" a="1"/>
  <c r="G157" i="6" s="1"/>
  <c r="G156" i="6" s="1"/>
  <c r="D143" i="6"/>
  <c r="D142" i="6" s="1"/>
  <c r="B143" i="6"/>
  <c r="B142" i="6" s="1"/>
  <c r="C143" i="6"/>
  <c r="C142" i="6" s="1"/>
  <c r="B163" i="6" a="1"/>
  <c r="C163" i="6" s="1"/>
  <c r="G145" i="6"/>
  <c r="H143" i="6"/>
  <c r="H142" i="6" s="1"/>
  <c r="G143" i="6"/>
  <c r="G142" i="6" s="1"/>
  <c r="B161" i="6" a="1"/>
  <c r="C161" i="6" s="1"/>
  <c r="B167" i="6" a="1"/>
  <c r="C167" i="6" s="1"/>
  <c r="E143" i="6"/>
  <c r="E142" i="6" s="1"/>
  <c r="B159" i="6" a="1"/>
  <c r="B159" i="6" s="1"/>
  <c r="E147" i="6"/>
  <c r="B147" i="6"/>
  <c r="F147" i="6"/>
  <c r="H147" i="6"/>
  <c r="C147" i="6"/>
  <c r="D147" i="6"/>
  <c r="D149" i="6"/>
  <c r="B149" i="6"/>
  <c r="G149" i="6"/>
  <c r="E149" i="6"/>
  <c r="F149" i="6"/>
  <c r="H149" i="6"/>
  <c r="E145" i="6"/>
  <c r="F145" i="6"/>
  <c r="H151" i="6"/>
  <c r="C151" i="6"/>
  <c r="F151" i="6"/>
  <c r="D151" i="6"/>
  <c r="G151" i="6"/>
  <c r="D145" i="6"/>
  <c r="E151" i="6"/>
  <c r="B145" i="6"/>
  <c r="H145" i="6"/>
  <c r="E165" i="6" l="1"/>
  <c r="G165" i="6"/>
  <c r="B157" i="6"/>
  <c r="B156" i="6" s="1"/>
  <c r="B165" i="6"/>
  <c r="D157" i="6"/>
  <c r="D156" i="6" s="1"/>
  <c r="F157" i="6"/>
  <c r="F156" i="6" s="1"/>
  <c r="D165" i="6"/>
  <c r="F165" i="6"/>
  <c r="E157" i="6"/>
  <c r="E156" i="6" s="1"/>
  <c r="C157" i="6"/>
  <c r="C156" i="6" s="1"/>
  <c r="H165" i="6"/>
  <c r="H157" i="6"/>
  <c r="H156" i="6" s="1"/>
  <c r="D163" i="6"/>
  <c r="G163" i="6"/>
  <c r="E163" i="6"/>
  <c r="F163" i="6"/>
  <c r="B163" i="6"/>
  <c r="B161" i="6"/>
  <c r="G161" i="6"/>
  <c r="H163" i="6"/>
  <c r="E161" i="6"/>
  <c r="B167" i="6"/>
  <c r="D161" i="6"/>
  <c r="F161" i="6"/>
  <c r="H161" i="6"/>
  <c r="G159" i="6"/>
  <c r="E159" i="6"/>
  <c r="D159" i="6"/>
  <c r="F159" i="6"/>
  <c r="H159" i="6"/>
  <c r="C159" i="6"/>
</calcChain>
</file>

<file path=xl/sharedStrings.xml><?xml version="1.0" encoding="utf-8"?>
<sst xmlns="http://schemas.openxmlformats.org/spreadsheetml/2006/main" count="1877" uniqueCount="1194">
  <si>
    <t>时间</t>
    <phoneticPr fontId="2" type="noConversion"/>
  </si>
  <si>
    <t>船期</t>
    <phoneticPr fontId="2" type="noConversion"/>
  </si>
  <si>
    <t>摘要</t>
    <phoneticPr fontId="2" type="noConversion"/>
  </si>
  <si>
    <t>发电放提单</t>
    <phoneticPr fontId="2" type="noConversion"/>
  </si>
  <si>
    <t>9个托单</t>
    <phoneticPr fontId="2" type="noConversion"/>
  </si>
  <si>
    <t>振华加拼/发舱单，发提单确认件</t>
    <phoneticPr fontId="2" type="noConversion"/>
  </si>
  <si>
    <t>打一堆托书</t>
    <phoneticPr fontId="2" type="noConversion"/>
  </si>
  <si>
    <t>列1</t>
    <phoneticPr fontId="2" type="noConversion"/>
  </si>
  <si>
    <t>扣代理资料(箱单上的体积有的跟实际不一致也没关系，看代理要求)，有些资料不要发的（三星和雷诺三星），没发的客户回头补也可以</t>
    <phoneticPr fontId="2" type="noConversion"/>
  </si>
  <si>
    <t>催提单确认</t>
    <phoneticPr fontId="2" type="noConversion"/>
  </si>
  <si>
    <t>4338 打托单</t>
    <phoneticPr fontId="2" type="noConversion"/>
  </si>
  <si>
    <t>4345 4408打托单</t>
    <phoneticPr fontId="2" type="noConversion"/>
  </si>
  <si>
    <t>打托单4200 4144*2 3881 4312</t>
    <phoneticPr fontId="2" type="noConversion"/>
  </si>
  <si>
    <t>打托单4368</t>
    <phoneticPr fontId="2" type="noConversion"/>
  </si>
  <si>
    <t>发代理资料（检查电放状态），同时发EDI</t>
    <phoneticPr fontId="2" type="noConversion"/>
  </si>
  <si>
    <t>整理品名</t>
    <phoneticPr fontId="2" type="noConversion"/>
  </si>
  <si>
    <t>振华并单</t>
    <phoneticPr fontId="2" type="noConversion"/>
  </si>
  <si>
    <t>振华加拼、录箱封号、星星核对、发舱单</t>
    <phoneticPr fontId="2" type="noConversion"/>
  </si>
  <si>
    <t>YJC系统并单/发代理资料（LK资料）</t>
    <phoneticPr fontId="2" type="noConversion"/>
  </si>
  <si>
    <t>打全部托书，打部分托单</t>
    <phoneticPr fontId="2" type="noConversion"/>
  </si>
  <si>
    <t>D</t>
    <phoneticPr fontId="2" type="noConversion"/>
  </si>
  <si>
    <t>A</t>
    <phoneticPr fontId="2" type="noConversion"/>
  </si>
  <si>
    <t>抬头</t>
    <phoneticPr fontId="2" type="noConversion"/>
  </si>
  <si>
    <t>R</t>
    <phoneticPr fontId="2" type="noConversion"/>
  </si>
  <si>
    <t>联系邮箱</t>
    <phoneticPr fontId="2" type="noConversion"/>
  </si>
  <si>
    <t>数字</t>
    <phoneticPr fontId="2" type="noConversion"/>
  </si>
  <si>
    <t>字母</t>
    <phoneticPr fontId="2" type="noConversion"/>
  </si>
  <si>
    <t>抬头</t>
    <phoneticPr fontId="2" type="noConversion"/>
  </si>
  <si>
    <t>群</t>
    <phoneticPr fontId="2" type="noConversion"/>
  </si>
  <si>
    <t>备注</t>
    <phoneticPr fontId="2" type="noConversion"/>
  </si>
  <si>
    <t>A</t>
  </si>
  <si>
    <t>APTIV</t>
  </si>
  <si>
    <t>Y</t>
    <phoneticPr fontId="2" type="noConversion"/>
  </si>
  <si>
    <t>cheng.guiying@aptiv.com</t>
    <phoneticPr fontId="2" type="noConversion"/>
  </si>
  <si>
    <t>ABC</t>
    <phoneticPr fontId="2" type="noConversion"/>
  </si>
  <si>
    <t>苏州赫那罗</t>
  </si>
  <si>
    <t>SEC上海LCL</t>
  </si>
  <si>
    <t>群/邮件都可以</t>
  </si>
  <si>
    <t>阿尔卑斯</t>
  </si>
  <si>
    <t>hui.14.luo@alps-logistics.com</t>
  </si>
  <si>
    <t>DEF</t>
    <phoneticPr fontId="2" type="noConversion"/>
  </si>
  <si>
    <t>青岛杰和华龙</t>
  </si>
  <si>
    <t>YJC拼箱出口组</t>
  </si>
  <si>
    <t>群</t>
  </si>
  <si>
    <t>艾联</t>
  </si>
  <si>
    <t>apple.wang@llproducts.com</t>
  </si>
  <si>
    <t>GHI</t>
    <phoneticPr fontId="2" type="noConversion"/>
  </si>
  <si>
    <t>金世立</t>
  </si>
  <si>
    <t>有“金世立”的群</t>
  </si>
  <si>
    <t>太仓安路驰</t>
  </si>
  <si>
    <t>JKL</t>
    <phoneticPr fontId="2" type="noConversion"/>
  </si>
  <si>
    <t>韩亚</t>
  </si>
  <si>
    <t>有“安吉”的群</t>
  </si>
  <si>
    <t>B</t>
  </si>
  <si>
    <t>BEHR</t>
  </si>
  <si>
    <t>MNO</t>
    <phoneticPr fontId="2" type="noConversion"/>
  </si>
  <si>
    <t>常熟绿洲花卉</t>
  </si>
  <si>
    <t>有“sara”的群</t>
  </si>
  <si>
    <t>B</t>
    <phoneticPr fontId="2" type="noConversion"/>
  </si>
  <si>
    <t>宝适</t>
    <phoneticPr fontId="2" type="noConversion"/>
  </si>
  <si>
    <t>PQRS</t>
    <phoneticPr fontId="2" type="noConversion"/>
  </si>
  <si>
    <t>江苏雷利</t>
    <phoneticPr fontId="2" type="noConversion"/>
  </si>
  <si>
    <t>有“薇乎其薇”的群</t>
    <phoneticPr fontId="2" type="noConversion"/>
  </si>
  <si>
    <t>群，邮件优先</t>
    <phoneticPr fontId="2" type="noConversion"/>
  </si>
  <si>
    <t>博世汽车</t>
    <phoneticPr fontId="2" type="noConversion"/>
  </si>
  <si>
    <t>FIXED-TERMRBACLOGEXPORT.INTERN@cn.bosch.com</t>
  </si>
  <si>
    <t>TUV</t>
    <phoneticPr fontId="2" type="noConversion"/>
  </si>
  <si>
    <t>瀚波</t>
    <phoneticPr fontId="2" type="noConversion"/>
  </si>
  <si>
    <t>合肥博微田村</t>
    <phoneticPr fontId="2" type="noConversion"/>
  </si>
  <si>
    <t>WXYZ</t>
    <phoneticPr fontId="2" type="noConversion"/>
  </si>
  <si>
    <t>中治</t>
    <phoneticPr fontId="2" type="noConversion"/>
  </si>
  <si>
    <t>C</t>
  </si>
  <si>
    <t>CASCO</t>
  </si>
  <si>
    <t>CNTNTL-CHANGSHU</t>
    <phoneticPr fontId="2" type="noConversion"/>
  </si>
  <si>
    <t>qincai.you@continental-corporation.com</t>
  </si>
  <si>
    <t>CNTNTL-SHA</t>
    <phoneticPr fontId="2" type="noConversion"/>
  </si>
  <si>
    <t>eddie.kong@continental-corporation.com</t>
  </si>
  <si>
    <t>D</t>
  </si>
  <si>
    <t>东方骏驰</t>
    <phoneticPr fontId="2" type="noConversion"/>
  </si>
  <si>
    <t>baoguan@ppmsolution.com</t>
    <phoneticPr fontId="2" type="noConversion"/>
  </si>
  <si>
    <t>东机工</t>
    <phoneticPr fontId="2" type="noConversion"/>
  </si>
  <si>
    <t>jianghaijian@tokico.cn</t>
  </si>
  <si>
    <t>杭州鼎胜</t>
  </si>
  <si>
    <t>442626027@qq.com</t>
  </si>
  <si>
    <t>横店东磁</t>
  </si>
  <si>
    <t>jxiao@dmegc.com.cn</t>
  </si>
  <si>
    <t>黄石东贝</t>
  </si>
  <si>
    <t>kathywang@donper.com</t>
  </si>
  <si>
    <t>宁波达尔</t>
  </si>
  <si>
    <t>gaozhipei@wtoo.com.cn</t>
  </si>
  <si>
    <t>宁波东煌</t>
  </si>
  <si>
    <t>lingfang@chinabearing.net</t>
  </si>
  <si>
    <t>日本电产芝浦</t>
    <phoneticPr fontId="2" type="noConversion"/>
  </si>
  <si>
    <t>瑞安东波</t>
  </si>
  <si>
    <t>jwy228@vip.163.com</t>
  </si>
  <si>
    <t>浙江盾安</t>
  </si>
  <si>
    <t>hucq784@dunan.cn</t>
  </si>
  <si>
    <t>F</t>
  </si>
  <si>
    <t>常熟法雷奥</t>
  </si>
  <si>
    <t>法可赛</t>
  </si>
  <si>
    <t>ivy.zheng@ficosa.com</t>
  </si>
  <si>
    <t>浙江方向</t>
  </si>
  <si>
    <t>fkxs3@mw-sw.com</t>
  </si>
  <si>
    <t>G</t>
    <phoneticPr fontId="2" type="noConversion"/>
  </si>
  <si>
    <t>苏州广兴</t>
    <phoneticPr fontId="2" type="noConversion"/>
  </si>
  <si>
    <t>H</t>
  </si>
  <si>
    <t>HISENSE</t>
  </si>
  <si>
    <t>YANMINGTING@HISENSE.COM</t>
  </si>
  <si>
    <t>常州汉得利</t>
  </si>
  <si>
    <t>合朝</t>
  </si>
  <si>
    <t>H</t>
    <phoneticPr fontId="2" type="noConversion"/>
  </si>
  <si>
    <t>霍富</t>
    <phoneticPr fontId="2" type="noConversion"/>
  </si>
  <si>
    <t>江苏海丰</t>
  </si>
  <si>
    <t>nora@hyphenchina.com</t>
  </si>
  <si>
    <t>宁波环驰</t>
  </si>
  <si>
    <t>上海瀚波</t>
    <phoneticPr fontId="2" type="noConversion"/>
  </si>
  <si>
    <t>苏州哈金森</t>
  </si>
  <si>
    <t>武汉哈金森</t>
    <phoneticPr fontId="2" type="noConversion"/>
  </si>
  <si>
    <t>J</t>
  </si>
  <si>
    <t>群</t>
    <phoneticPr fontId="2" type="noConversion"/>
  </si>
  <si>
    <t>K</t>
    <phoneticPr fontId="2" type="noConversion"/>
  </si>
  <si>
    <t>KARLANG</t>
    <phoneticPr fontId="2" type="noConversion"/>
  </si>
  <si>
    <t>K</t>
  </si>
  <si>
    <t>KAUTEX</t>
  </si>
  <si>
    <t>江苏科菱库</t>
  </si>
  <si>
    <t>358020525@qq.com</t>
  </si>
  <si>
    <t>凯斯库</t>
    <phoneticPr fontId="2" type="noConversion"/>
  </si>
  <si>
    <t>L</t>
  </si>
  <si>
    <t>L</t>
    <phoneticPr fontId="2" type="noConversion"/>
  </si>
  <si>
    <t>李尔汽车</t>
  </si>
  <si>
    <t>TXia@lear.com</t>
  </si>
  <si>
    <t>M</t>
  </si>
  <si>
    <t>嘉兴敏惠</t>
  </si>
  <si>
    <t>mingxia.sun@minthgroup.com</t>
  </si>
  <si>
    <t>马瑞利</t>
  </si>
  <si>
    <t>mark.chen@magnetimarelli.com</t>
  </si>
  <si>
    <t>麦格纳</t>
  </si>
  <si>
    <t>Suki.Ma@magna.com</t>
  </si>
  <si>
    <t>苏州民康</t>
  </si>
  <si>
    <t>M</t>
    <phoneticPr fontId="2" type="noConversion"/>
  </si>
  <si>
    <t>武汉美嘉</t>
    <phoneticPr fontId="2" type="noConversion"/>
  </si>
  <si>
    <t>zhuhu@mecaplast.com.cn</t>
    <phoneticPr fontId="2" type="noConversion"/>
  </si>
  <si>
    <t>P</t>
    <phoneticPr fontId="2" type="noConversion"/>
  </si>
  <si>
    <t>上海喷达</t>
    <phoneticPr fontId="2" type="noConversion"/>
  </si>
  <si>
    <t>杭州热威</t>
    <phoneticPr fontId="2" type="noConversion"/>
  </si>
  <si>
    <t>xs26@e-heatwell.com</t>
    <phoneticPr fontId="2" type="noConversion"/>
  </si>
  <si>
    <t>R</t>
  </si>
  <si>
    <t>宁波容百</t>
  </si>
  <si>
    <t>renyajun@ronbaymat.com</t>
  </si>
  <si>
    <t>上海日升</t>
  </si>
  <si>
    <t>646477689@qq.com</t>
  </si>
  <si>
    <t>苏州日立电线</t>
  </si>
  <si>
    <t>bing.chen.rb@hcsz.hitachi-metals.com</t>
  </si>
  <si>
    <t>S</t>
  </si>
  <si>
    <t>SOUTHCO</t>
  </si>
  <si>
    <t>SOu@southco.com</t>
  </si>
  <si>
    <t>S</t>
    <phoneticPr fontId="2" type="noConversion"/>
  </si>
  <si>
    <t>SUMMIT</t>
    <phoneticPr fontId="2" type="noConversion"/>
  </si>
  <si>
    <t>湖北三环</t>
    <phoneticPr fontId="2" type="noConversion"/>
  </si>
  <si>
    <t>江苏苏豪</t>
  </si>
  <si>
    <t>森萨塔</t>
  </si>
  <si>
    <t>yl-zhang@sensata.com</t>
  </si>
  <si>
    <t>杉杉</t>
  </si>
  <si>
    <t>zhao.lina@shanshantech.com</t>
  </si>
  <si>
    <t>舍弗勒</t>
  </si>
  <si>
    <t>余姚松原</t>
  </si>
  <si>
    <t>plee@songyuansafety.com</t>
  </si>
  <si>
    <t>T</t>
    <phoneticPr fontId="2" type="noConversion"/>
  </si>
  <si>
    <t>长兴天赢</t>
    <phoneticPr fontId="2" type="noConversion"/>
  </si>
  <si>
    <t>W</t>
  </si>
  <si>
    <t>淮安威灵</t>
  </si>
  <si>
    <t>liuch@welling.com.cn</t>
  </si>
  <si>
    <t>维尔斯</t>
  </si>
  <si>
    <t>wells_bgk02@wellscable.com</t>
  </si>
  <si>
    <t>X</t>
  </si>
  <si>
    <t>苏州相城文教</t>
  </si>
  <si>
    <t>ychhzhjm706@163.com</t>
  </si>
  <si>
    <t>西德玛</t>
  </si>
  <si>
    <t>N</t>
    <phoneticPr fontId="2" type="noConversion"/>
  </si>
  <si>
    <t>op@os-logistics.com</t>
  </si>
  <si>
    <t>adrien.janson@sedepa.asia</t>
  </si>
  <si>
    <t>兴道</t>
  </si>
  <si>
    <t>慈溪鱼乐</t>
    <phoneticPr fontId="2" type="noConversion"/>
  </si>
  <si>
    <t>Y</t>
  </si>
  <si>
    <t>上海裕生</t>
  </si>
  <si>
    <t>延锋伟世通</t>
    <phoneticPr fontId="2" type="noConversion"/>
  </si>
  <si>
    <t>Z</t>
  </si>
  <si>
    <t>嘉兴中宛</t>
  </si>
  <si>
    <t>hjwu@estecchina.com.cn</t>
  </si>
  <si>
    <t>宁波镇海银球</t>
  </si>
  <si>
    <t>sale@nzsbgroup.com</t>
  </si>
  <si>
    <t>中治</t>
  </si>
  <si>
    <t>nina@wizlogis.com</t>
  </si>
  <si>
    <t>ETD</t>
    <phoneticPr fontId="5" type="noConversion"/>
  </si>
  <si>
    <t>序</t>
    <phoneticPr fontId="5" type="noConversion"/>
  </si>
  <si>
    <t>HOUSE B/L</t>
    <phoneticPr fontId="5" type="noConversion"/>
  </si>
  <si>
    <t>MASTER B/L</t>
    <phoneticPr fontId="5" type="noConversion"/>
  </si>
  <si>
    <t>箱号</t>
    <phoneticPr fontId="5" type="noConversion"/>
  </si>
  <si>
    <t>封号</t>
    <phoneticPr fontId="5" type="noConversion"/>
  </si>
  <si>
    <t>件</t>
    <phoneticPr fontId="5" type="noConversion"/>
  </si>
  <si>
    <t>毛</t>
    <phoneticPr fontId="5" type="noConversion"/>
  </si>
  <si>
    <t>体</t>
    <phoneticPr fontId="5" type="noConversion"/>
  </si>
  <si>
    <t>品名</t>
    <phoneticPr fontId="5" type="noConversion"/>
  </si>
  <si>
    <t>YJCSHAN1902789</t>
    <phoneticPr fontId="5" type="noConversion"/>
  </si>
  <si>
    <t>DJSCSHBMVE90644A</t>
    <phoneticPr fontId="5" type="noConversion"/>
  </si>
  <si>
    <t>BEAU4630480</t>
  </si>
  <si>
    <t>BALL BEARING
WASHER-PLAIN</t>
    <phoneticPr fontId="5" type="noConversion"/>
  </si>
  <si>
    <t>YJCSHAN1903881</t>
    <phoneticPr fontId="5" type="noConversion"/>
  </si>
  <si>
    <t>DJSCSHBMVE90644B</t>
    <phoneticPr fontId="5" type="noConversion"/>
  </si>
  <si>
    <t>DRYU9061289</t>
  </si>
  <si>
    <t>SHIFT PARTS
SPRING</t>
    <phoneticPr fontId="5" type="noConversion"/>
  </si>
  <si>
    <t>YJCSHAN1903898</t>
    <phoneticPr fontId="5" type="noConversion"/>
  </si>
  <si>
    <t>DJSCSHBMVE90644T</t>
    <phoneticPr fontId="5" type="noConversion"/>
  </si>
  <si>
    <t>LIFTER-ROLLER,FUEL PUMP DRIVE</t>
  </si>
  <si>
    <t>YJCSHAN1903996</t>
    <phoneticPr fontId="5" type="noConversion"/>
  </si>
  <si>
    <t>DJSCSHBMVE90644D</t>
    <phoneticPr fontId="5" type="noConversion"/>
  </si>
  <si>
    <t>BEZEL WITHOUT EPB
HOUSING-SWITCH, GM E2SC A/T
BEZEL WITH EPB</t>
    <phoneticPr fontId="5" type="noConversion"/>
  </si>
  <si>
    <t>YJCSHAN1904001</t>
    <phoneticPr fontId="5" type="noConversion"/>
  </si>
  <si>
    <t>DJSCSHBMVE90644E</t>
    <phoneticPr fontId="5" type="noConversion"/>
  </si>
  <si>
    <t>BEARING</t>
    <phoneticPr fontId="5" type="noConversion"/>
  </si>
  <si>
    <t>YJCSHAN1904076</t>
    <phoneticPr fontId="5" type="noConversion"/>
  </si>
  <si>
    <t>DJSCSHBMVE90644C</t>
    <phoneticPr fontId="5" type="noConversion"/>
  </si>
  <si>
    <t>TONNEAU COVER</t>
    <phoneticPr fontId="5" type="noConversion"/>
  </si>
  <si>
    <t>YJCSHAN1904104</t>
    <phoneticPr fontId="5" type="noConversion"/>
  </si>
  <si>
    <t>DJSCSHBMVE90644F</t>
    <phoneticPr fontId="5" type="noConversion"/>
  </si>
  <si>
    <t>HEATING ELEMENT</t>
    <phoneticPr fontId="5" type="noConversion"/>
  </si>
  <si>
    <t>YJCSHAN1904144</t>
    <phoneticPr fontId="5" type="noConversion"/>
  </si>
  <si>
    <t>DJSCSHBMVE90644G</t>
    <phoneticPr fontId="5" type="noConversion"/>
  </si>
  <si>
    <t>AUTOMOTIVE BOOT SHIFTER</t>
    <phoneticPr fontId="5" type="noConversion"/>
  </si>
  <si>
    <t>DJSCSHBMVE90644H</t>
    <phoneticPr fontId="5" type="noConversion"/>
  </si>
  <si>
    <t>YJCSHAN1904200</t>
    <phoneticPr fontId="5" type="noConversion"/>
  </si>
  <si>
    <t>DJSCSHBMVE90644J</t>
    <phoneticPr fontId="5" type="noConversion"/>
  </si>
  <si>
    <t>LADIES WOVEN ONE PIECE, 100%COTTON
LADIES WOVEN PANT, 53.7%COTTON 46.3%POLYESTER</t>
    <phoneticPr fontId="5" type="noConversion"/>
  </si>
  <si>
    <t>YJCSHAN1904236</t>
    <phoneticPr fontId="5" type="noConversion"/>
  </si>
  <si>
    <t>DJSCSHBMVE90644K</t>
    <phoneticPr fontId="5" type="noConversion"/>
  </si>
  <si>
    <t>ESCL SYSTEM CLAMP</t>
    <phoneticPr fontId="5" type="noConversion"/>
  </si>
  <si>
    <t>YJCSHAN1904239</t>
    <phoneticPr fontId="5" type="noConversion"/>
  </si>
  <si>
    <t>DJSCSHBMVE90644L</t>
    <phoneticPr fontId="5" type="noConversion"/>
  </si>
  <si>
    <t>TUBE-RAD INLET
PIPE-RADIATOR</t>
    <phoneticPr fontId="5" type="noConversion"/>
  </si>
  <si>
    <t>YJCSHAN1904243</t>
    <phoneticPr fontId="5" type="noConversion"/>
  </si>
  <si>
    <t>DJSCSHBMVE90644M</t>
    <phoneticPr fontId="5" type="noConversion"/>
  </si>
  <si>
    <t>DUCT-AIR, FLO(DUCT-TURBO)</t>
    <phoneticPr fontId="5" type="noConversion"/>
  </si>
  <si>
    <t>YJCSHAN1904251</t>
    <phoneticPr fontId="5" type="noConversion"/>
  </si>
  <si>
    <t>DJSCSHBMVE90644N</t>
    <phoneticPr fontId="5" type="noConversion"/>
  </si>
  <si>
    <t>MOTOR</t>
    <phoneticPr fontId="5" type="noConversion"/>
  </si>
  <si>
    <t>YJCSHAN1904259</t>
    <phoneticPr fontId="5" type="noConversion"/>
  </si>
  <si>
    <t>DJSCSHBMVE90644P</t>
    <phoneticPr fontId="5" type="noConversion"/>
  </si>
  <si>
    <t>FERRITE MAGNET</t>
    <phoneticPr fontId="5" type="noConversion"/>
  </si>
  <si>
    <t>YJCSHAN1904284</t>
    <phoneticPr fontId="5" type="noConversion"/>
  </si>
  <si>
    <t>DJSCSHBMVE90644Q</t>
    <phoneticPr fontId="5" type="noConversion"/>
  </si>
  <si>
    <t>POWER SUPPLY CORD SETS</t>
    <phoneticPr fontId="5" type="noConversion"/>
  </si>
  <si>
    <t>YJCSHAN1904312</t>
    <phoneticPr fontId="5" type="noConversion"/>
  </si>
  <si>
    <t>DJSCSHBMVE90644R</t>
    <phoneticPr fontId="5" type="noConversion"/>
  </si>
  <si>
    <t>PUSH TO CLOSE LATCH
SWELL LATCH, BLACK
CABLE ASSEMBLY
ASSEMBLY, SQUEEZE HANDLE
ACTUATOR ASSEMBLY
PUSH TO CLOSE LATCH, MEDIUM SS
BATCH(ES)</t>
    <phoneticPr fontId="5" type="noConversion"/>
  </si>
  <si>
    <t>YJCSHAN1904319</t>
    <phoneticPr fontId="5" type="noConversion"/>
  </si>
  <si>
    <t>DJSCSHBMVE90644S</t>
    <phoneticPr fontId="5" type="noConversion"/>
  </si>
  <si>
    <t>FISHING SWIVEL</t>
    <phoneticPr fontId="5" type="noConversion"/>
  </si>
  <si>
    <t>YJCSHAN1904345</t>
    <phoneticPr fontId="5" type="noConversion"/>
  </si>
  <si>
    <t>DJSCSHBMVE90644U</t>
    <phoneticPr fontId="5" type="noConversion"/>
  </si>
  <si>
    <t>ASSY CAP SHAFT</t>
    <phoneticPr fontId="5" type="noConversion"/>
  </si>
  <si>
    <t>YJCSHAN1904368</t>
    <phoneticPr fontId="5" type="noConversion"/>
  </si>
  <si>
    <t>DJSCSHBMVE90644V</t>
    <phoneticPr fontId="5" type="noConversion"/>
  </si>
  <si>
    <t>LCM</t>
    <phoneticPr fontId="5" type="noConversion"/>
  </si>
  <si>
    <t>YJCSHAN1904408</t>
    <phoneticPr fontId="5" type="noConversion"/>
  </si>
  <si>
    <t>DJSCSHBMVE90644W</t>
    <phoneticPr fontId="5" type="noConversion"/>
  </si>
  <si>
    <t>GRAPHITE</t>
    <phoneticPr fontId="5" type="noConversion"/>
  </si>
  <si>
    <t>维尔斯</t>
    <phoneticPr fontId="5" type="noConversion"/>
  </si>
  <si>
    <t>YJCSHAN1904468</t>
  </si>
  <si>
    <t>DJSCSHB2EE91344A</t>
  </si>
  <si>
    <t>广州日产</t>
    <phoneticPr fontId="5" type="noConversion"/>
  </si>
  <si>
    <t>YJCSHAN1904062</t>
  </si>
  <si>
    <t>HSG-STRG</t>
    <phoneticPr fontId="5" type="noConversion"/>
  </si>
  <si>
    <t>青岛杰和华龙</t>
    <phoneticPr fontId="5" type="noConversion"/>
  </si>
  <si>
    <t>YJCSHAN1904165</t>
  </si>
  <si>
    <t>DJSCSHB2EE91344E</t>
  </si>
  <si>
    <t>苏州广兴</t>
    <phoneticPr fontId="5" type="noConversion"/>
  </si>
  <si>
    <t>YJCSHAN1904268</t>
  </si>
  <si>
    <t>DJSCSHB2EE91344G</t>
  </si>
  <si>
    <t>COMPRESSOR</t>
    <phoneticPr fontId="5" type="noConversion"/>
  </si>
  <si>
    <t>三井金属</t>
    <phoneticPr fontId="5" type="noConversion"/>
  </si>
  <si>
    <t>YJCSHAN1904310</t>
  </si>
  <si>
    <t>DJSCSHB2EE91344H</t>
  </si>
  <si>
    <t>YJCSHAN1904311</t>
  </si>
  <si>
    <t>DJSCSHB2EE91344J</t>
  </si>
  <si>
    <t>LOCK-HOOD</t>
    <phoneticPr fontId="5" type="noConversion"/>
  </si>
  <si>
    <t>索斯科</t>
    <phoneticPr fontId="5" type="noConversion"/>
  </si>
  <si>
    <t>YJCSHAN1904313</t>
  </si>
  <si>
    <t>DJSCSHB2EE91344K</t>
  </si>
  <si>
    <t>宁波镇海银球</t>
    <phoneticPr fontId="5" type="noConversion"/>
  </si>
  <si>
    <t>YJCSHAN1904328</t>
  </si>
  <si>
    <t>DJSCSHB2EE91344L</t>
  </si>
  <si>
    <t>BALL BEARING</t>
    <phoneticPr fontId="5" type="noConversion"/>
  </si>
  <si>
    <t>YJCSHAN1904332</t>
  </si>
  <si>
    <t>DJSCSHB2EE91344M</t>
  </si>
  <si>
    <t>GARMENTS
LADIES LONG PANT</t>
    <phoneticPr fontId="5" type="noConversion"/>
  </si>
  <si>
    <t>YJCSHAN1904370</t>
  </si>
  <si>
    <t>DJSCSHB2EE91344N</t>
  </si>
  <si>
    <t>博世汽车</t>
    <phoneticPr fontId="5" type="noConversion"/>
  </si>
  <si>
    <t>YJCSHAN1904397</t>
  </si>
  <si>
    <t>DJSCSHB2EE91344P</t>
  </si>
  <si>
    <t>HISENSE</t>
    <phoneticPr fontId="5" type="noConversion"/>
  </si>
  <si>
    <t>YJCSHAN1904412</t>
  </si>
  <si>
    <t>DJSCSHB2EE91344Q</t>
    <phoneticPr fontId="5" type="noConversion"/>
  </si>
  <si>
    <t>REFRIGERATOR</t>
    <phoneticPr fontId="5" type="noConversion"/>
  </si>
  <si>
    <t>DJSCSHB2EE91344R</t>
  </si>
  <si>
    <t>港尔光学</t>
    <phoneticPr fontId="5" type="noConversion"/>
  </si>
  <si>
    <t>YJCSHAN1904445</t>
  </si>
  <si>
    <t>DJSCSHB2EE91344S</t>
  </si>
  <si>
    <t>1.56 SP UV400 SEMI NC</t>
    <phoneticPr fontId="5" type="noConversion"/>
  </si>
  <si>
    <t>斯丹德</t>
    <phoneticPr fontId="5" type="noConversion"/>
  </si>
  <si>
    <t>DJSCSHB2EE91344T</t>
  </si>
  <si>
    <t>CAP ASSY FUEL FILLER</t>
    <phoneticPr fontId="5" type="noConversion"/>
  </si>
  <si>
    <t>苏州赫那罗</t>
    <phoneticPr fontId="5" type="noConversion"/>
  </si>
  <si>
    <t>YJCSHAN1904455</t>
  </si>
  <si>
    <t>DJSCSHB2EE91344U</t>
  </si>
  <si>
    <t>ASSY MUFFLER SUCTION</t>
    <phoneticPr fontId="5" type="noConversion"/>
  </si>
  <si>
    <t>YJCSHAN1904458</t>
  </si>
  <si>
    <t>DJSCSHB2EE91344V</t>
  </si>
  <si>
    <t>SEAL WATER</t>
    <phoneticPr fontId="5" type="noConversion"/>
  </si>
  <si>
    <t>NORMA</t>
    <phoneticPr fontId="5" type="noConversion"/>
  </si>
  <si>
    <t>YJCSHAN1904507</t>
  </si>
  <si>
    <t>DJSCSHB2EE91344W</t>
  </si>
  <si>
    <t>STEEL CLAMP</t>
    <phoneticPr fontId="5" type="noConversion"/>
  </si>
  <si>
    <t>阿尔卑斯</t>
    <phoneticPr fontId="5" type="noConversion"/>
  </si>
  <si>
    <t>YJCSHAN1904520</t>
  </si>
  <si>
    <t>DJSCSHB2EE91344X</t>
  </si>
  <si>
    <t>YJCSHAN1904565</t>
  </si>
  <si>
    <t>DJSCSHB2EE91344Y</t>
  </si>
  <si>
    <t>延锋伟世通</t>
    <phoneticPr fontId="5" type="noConversion"/>
  </si>
  <si>
    <t>YJCSHAN1904589</t>
  </si>
  <si>
    <t>DJSCSHB2EE91344Z</t>
  </si>
  <si>
    <t>3月</t>
  </si>
  <si>
    <t>星期日</t>
  </si>
  <si>
    <t>EASLINE BUSAN 1910E
星：</t>
    <phoneticPr fontId="20" type="noConversion"/>
  </si>
  <si>
    <t>DONGJIN VENUS 1909E
薛：</t>
    <phoneticPr fontId="20" type="noConversion"/>
  </si>
  <si>
    <t>PANCON VICTORY 1905E
星：</t>
    <phoneticPr fontId="20" type="noConversion"/>
  </si>
  <si>
    <t>EASLINE BUSAN 1911E
星：DJSCSHBEAE91144</t>
    <phoneticPr fontId="20" type="noConversion"/>
  </si>
  <si>
    <t>DONGJIN VENUS 1910E
薛：DJSCSHBDEE91044</t>
    <phoneticPr fontId="20" type="noConversion"/>
  </si>
  <si>
    <t>PANCON SUNSHINE 1906E
薛：DJSCSHBMSE90644</t>
    <phoneticPr fontId="20" type="noConversion"/>
  </si>
  <si>
    <t>EASLINE BUSAN 1912E
星：DJSCSHBEAE91244</t>
    <phoneticPr fontId="20" type="noConversion"/>
  </si>
  <si>
    <t>DONGJIN VENUS 1911E
薛：DJSCSHBDEE91144</t>
    <phoneticPr fontId="20" type="noConversion"/>
  </si>
  <si>
    <t>PANCON VICTORY 1906E
星：DJSCSHBMVE90644</t>
    <phoneticPr fontId="20" type="noConversion"/>
  </si>
  <si>
    <t>EASLINE BUSAN 1913E
星：DJSCSHB2EE91344</t>
    <phoneticPr fontId="20" type="noConversion"/>
  </si>
  <si>
    <t>DONGJIN VENUS 1912E
薛：</t>
    <phoneticPr fontId="20" type="noConversion"/>
  </si>
  <si>
    <t>PANCON SUNSHINE 1907E
薛：</t>
    <phoneticPr fontId="20" type="noConversion"/>
  </si>
  <si>
    <t>备注：</t>
  </si>
  <si>
    <t>EASLINE BUSAN 1914E
星：</t>
    <phoneticPr fontId="20" type="noConversion"/>
  </si>
  <si>
    <t>PMA SENSOR</t>
    <phoneticPr fontId="5" type="noConversion"/>
  </si>
  <si>
    <t>PHRU8609853</t>
    <phoneticPr fontId="2" type="noConversion"/>
  </si>
  <si>
    <t>DJSC720237</t>
    <phoneticPr fontId="2" type="noConversion"/>
  </si>
  <si>
    <t>720859</t>
    <phoneticPr fontId="2" type="noConversion"/>
  </si>
  <si>
    <t>720909</t>
    <phoneticPr fontId="2" type="noConversion"/>
  </si>
  <si>
    <t>打单</t>
    <phoneticPr fontId="2" type="noConversion"/>
  </si>
  <si>
    <t>SEGU4825077</t>
    <phoneticPr fontId="2" type="noConversion"/>
  </si>
  <si>
    <t>720195</t>
    <phoneticPr fontId="2" type="noConversion"/>
  </si>
  <si>
    <t>PUSH TO CLOSE LATCH
SWELL LATCH, BLACK
POINT COAT HOOK, ROUND SATIN
LINK RETAINER
COMPRESSION LATCH, MEDIUM SS POLISHED
COMPRESSION LATCH, MEDIUM SS POLISHED
BATCH(ES)</t>
    <phoneticPr fontId="2" type="noConversion"/>
  </si>
  <si>
    <t>TAB LEAD
BAF &amp; CAF PP</t>
    <phoneticPr fontId="5" type="noConversion"/>
  </si>
  <si>
    <t>CMFB BJA RADIO
BAF &amp; CAF PP</t>
    <phoneticPr fontId="5" type="noConversion"/>
  </si>
  <si>
    <t>GARMENTS</t>
    <phoneticPr fontId="5" type="noConversion"/>
  </si>
  <si>
    <t>DJSCSHB2EE91344D</t>
    <phoneticPr fontId="2" type="noConversion"/>
  </si>
  <si>
    <t>抬头</t>
    <phoneticPr fontId="2" type="noConversion"/>
  </si>
  <si>
    <t>瑞安东波</t>
    <phoneticPr fontId="2" type="noConversion"/>
  </si>
  <si>
    <t>上海中治</t>
    <phoneticPr fontId="2" type="noConversion"/>
  </si>
  <si>
    <t>宁波东煌</t>
    <phoneticPr fontId="2" type="noConversion"/>
  </si>
  <si>
    <t>宝适</t>
    <phoneticPr fontId="2" type="noConversion"/>
  </si>
  <si>
    <t>杭州热威</t>
    <phoneticPr fontId="2" type="noConversion"/>
  </si>
  <si>
    <t>霍富</t>
    <phoneticPr fontId="2" type="noConversion"/>
  </si>
  <si>
    <t>武汉哈金森</t>
    <phoneticPr fontId="2" type="noConversion"/>
  </si>
  <si>
    <t>武汉美嘉</t>
    <phoneticPr fontId="2" type="noConversion"/>
  </si>
  <si>
    <t>日本电产芝浦</t>
    <phoneticPr fontId="2" type="noConversion"/>
  </si>
  <si>
    <t>横店东磁</t>
    <phoneticPr fontId="2" type="noConversion"/>
  </si>
  <si>
    <t>慈溪鱼乐</t>
    <phoneticPr fontId="2" type="noConversion"/>
  </si>
  <si>
    <t>武汉东方骏驰</t>
    <phoneticPr fontId="2" type="noConversion"/>
  </si>
  <si>
    <t>苏州相城文教</t>
    <phoneticPr fontId="2" type="noConversion"/>
  </si>
  <si>
    <t>上海瀚波</t>
    <phoneticPr fontId="2" type="noConversion"/>
  </si>
  <si>
    <t>YJCSHAN1904447</t>
    <phoneticPr fontId="2" type="noConversion"/>
  </si>
  <si>
    <t>打26号很多托单，28号少量托单</t>
    <phoneticPr fontId="2" type="noConversion"/>
  </si>
  <si>
    <t>DPC</t>
    <phoneticPr fontId="2" type="noConversion"/>
  </si>
  <si>
    <t>YJCSHAN1904039</t>
    <phoneticPr fontId="2" type="noConversion"/>
  </si>
  <si>
    <t>DJSCSHBDEE91244B</t>
    <phoneticPr fontId="2" type="noConversion"/>
  </si>
  <si>
    <t>无锡特瑞堡</t>
    <phoneticPr fontId="2" type="noConversion"/>
  </si>
  <si>
    <t>苏州民康</t>
    <phoneticPr fontId="2" type="noConversion"/>
  </si>
  <si>
    <t>江苏雷利</t>
    <phoneticPr fontId="2" type="noConversion"/>
  </si>
  <si>
    <t>宁波达尔</t>
    <phoneticPr fontId="2" type="noConversion"/>
  </si>
  <si>
    <t>大陆泰密克</t>
    <phoneticPr fontId="2" type="noConversion"/>
  </si>
  <si>
    <t>ECONO</t>
    <phoneticPr fontId="2" type="noConversion"/>
  </si>
  <si>
    <t>TRW SHA</t>
    <phoneticPr fontId="2" type="noConversion"/>
  </si>
  <si>
    <t>武汉华森</t>
    <phoneticPr fontId="2" type="noConversion"/>
  </si>
  <si>
    <t>THYSSEN</t>
    <phoneticPr fontId="2" type="noConversion"/>
  </si>
  <si>
    <t>WELL SHIN</t>
    <phoneticPr fontId="2" type="noConversion"/>
  </si>
  <si>
    <t>湖北惠洋</t>
    <phoneticPr fontId="2" type="noConversion"/>
  </si>
  <si>
    <t>YJCSHAN1904163</t>
  </si>
  <si>
    <t>YJCSHAN1904180</t>
  </si>
  <si>
    <t>YJCSHAN1904338</t>
  </si>
  <si>
    <t>YJCSHAN1904420</t>
  </si>
  <si>
    <t>YJCSHAN1904421</t>
  </si>
  <si>
    <t>YJCSHAN1904423</t>
  </si>
  <si>
    <t>YJCSHAN1904426</t>
  </si>
  <si>
    <t>YJCSHAN1902786</t>
  </si>
  <si>
    <t>YJCSHAN1904263</t>
  </si>
  <si>
    <t>YJCSHAN1904624</t>
  </si>
  <si>
    <t>YJCSHAN1904628</t>
  </si>
  <si>
    <t>YJCSHAN1904637</t>
  </si>
  <si>
    <t>YJCSHAN1904639</t>
  </si>
  <si>
    <t>YJCSHAN1904640</t>
  </si>
  <si>
    <t>YJCSHAN1904656</t>
  </si>
  <si>
    <t>YJCSHAN1904660</t>
  </si>
  <si>
    <t>YJCSHAN1903891</t>
  </si>
  <si>
    <t>DJSCSHBDEE91244C</t>
  </si>
  <si>
    <t>DJSCSHBDEE91244E</t>
  </si>
  <si>
    <t>DJSCSHBDEE91244F</t>
  </si>
  <si>
    <t>DJSCSHBDEE91244G</t>
  </si>
  <si>
    <t>DJSCSHBDEE91244H</t>
  </si>
  <si>
    <t>DJSCSHBDEE91244J</t>
  </si>
  <si>
    <t>DJSCSHBDEE91244K</t>
  </si>
  <si>
    <t>DJSCSHBDEE91244L</t>
  </si>
  <si>
    <t>DJSCSHBDEE91244M</t>
  </si>
  <si>
    <t>DJSCSHBDEE91244N</t>
  </si>
  <si>
    <t>DJSCSHBDEE91244Q</t>
  </si>
  <si>
    <t>DJSCSHBDEE91244R</t>
  </si>
  <si>
    <t>DJSCSHBDEE91244S</t>
  </si>
  <si>
    <t>DJSCSHBDEE91244T</t>
  </si>
  <si>
    <t>DJSCSHBDEE91244U</t>
  </si>
  <si>
    <t>DJSCSHBDEE91244V</t>
  </si>
  <si>
    <t>REACTOR</t>
    <phoneticPr fontId="2" type="noConversion"/>
  </si>
  <si>
    <t>GARMENTS</t>
    <phoneticPr fontId="2" type="noConversion"/>
  </si>
  <si>
    <t>DUST BAG</t>
    <phoneticPr fontId="2" type="noConversion"/>
  </si>
  <si>
    <t>STEPPING MOTOR</t>
    <phoneticPr fontId="2" type="noConversion"/>
  </si>
  <si>
    <t>DEEP GROOVE BALL BEARING</t>
    <phoneticPr fontId="2" type="noConversion"/>
  </si>
  <si>
    <t>BEARING</t>
    <phoneticPr fontId="2" type="noConversion"/>
  </si>
  <si>
    <t>LADIES WOVEN SKIRTS 
LADIES WOVEN PANTS</t>
    <phoneticPr fontId="2" type="noConversion"/>
  </si>
  <si>
    <t>HECU REPAIR KIT MK70 ABS
HECU REPAIR KIT MK70M ABS</t>
    <phoneticPr fontId="2" type="noConversion"/>
  </si>
  <si>
    <t>BRACKET-STAND BOTTOM FRONT</t>
    <phoneticPr fontId="2" type="noConversion"/>
  </si>
  <si>
    <t>STRIP-SEAL, FR RH DOOR
STRIP-SEAL, FR LH DOOR
STRIP-SEAL, RR RH DOOR
STRIP-SEAL, RR LH DOOR
FOAM-SEAL, COWL TOP
COVER-RH FDR</t>
    <phoneticPr fontId="2" type="noConversion"/>
  </si>
  <si>
    <t>CEPS RENAULT LJH CE1 BL2 LHD</t>
    <phoneticPr fontId="2" type="noConversion"/>
  </si>
  <si>
    <t>POWER SUPPLY CORD SETS</t>
    <phoneticPr fontId="2" type="noConversion"/>
  </si>
  <si>
    <t>编</t>
    <phoneticPr fontId="2" type="noConversion"/>
  </si>
  <si>
    <t>抄送</t>
    <phoneticPr fontId="2" type="noConversion"/>
  </si>
  <si>
    <t>li.xiaoyan@nidec-shibaura.cn</t>
    <phoneticPr fontId="2" type="noConversion"/>
  </si>
  <si>
    <t>xu.meifang@nidec-shibaura.cn</t>
    <phoneticPr fontId="2" type="noConversion"/>
  </si>
  <si>
    <t>装箱</t>
    <phoneticPr fontId="2" type="noConversion"/>
  </si>
  <si>
    <t>南通迪皮茜</t>
    <phoneticPr fontId="2" type="noConversion"/>
  </si>
  <si>
    <t>Y</t>
    <phoneticPr fontId="2" type="noConversion"/>
  </si>
  <si>
    <t>武汉华森</t>
    <phoneticPr fontId="2" type="noConversion"/>
  </si>
  <si>
    <t>江苏顺德</t>
    <phoneticPr fontId="2" type="noConversion"/>
  </si>
  <si>
    <t>康奈可</t>
    <phoneticPr fontId="2" type="noConversion"/>
  </si>
  <si>
    <t>NORMA</t>
    <phoneticPr fontId="2" type="noConversion"/>
  </si>
  <si>
    <t>港尔光学</t>
    <phoneticPr fontId="2" type="noConversion"/>
  </si>
  <si>
    <t>G</t>
    <phoneticPr fontId="2" type="noConversion"/>
  </si>
  <si>
    <t>N</t>
    <phoneticPr fontId="2" type="noConversion"/>
  </si>
  <si>
    <t>H</t>
    <phoneticPr fontId="2" type="noConversion"/>
  </si>
  <si>
    <t>D</t>
    <phoneticPr fontId="2" type="noConversion"/>
  </si>
  <si>
    <t>K</t>
    <phoneticPr fontId="2" type="noConversion"/>
  </si>
  <si>
    <t>S</t>
    <phoneticPr fontId="2" type="noConversion"/>
  </si>
  <si>
    <t>DRYU9910452</t>
  </si>
  <si>
    <t>719023</t>
    <phoneticPr fontId="2" type="noConversion"/>
  </si>
  <si>
    <t>BUSH-STABILIZER</t>
    <phoneticPr fontId="2" type="noConversion"/>
  </si>
  <si>
    <t>放单</t>
    <phoneticPr fontId="2" type="noConversion"/>
  </si>
  <si>
    <t>DJSCSHBDEE91244A</t>
    <phoneticPr fontId="2" type="noConversion"/>
  </si>
  <si>
    <t>DRYU9470646</t>
  </si>
  <si>
    <t>719026</t>
    <phoneticPr fontId="2" type="noConversion"/>
  </si>
  <si>
    <t>CMFB EPB ECU
BAF &amp; CAF PP</t>
    <phoneticPr fontId="2" type="noConversion"/>
  </si>
  <si>
    <t>MOTOR
BAF &amp; CAF PP</t>
    <phoneticPr fontId="2" type="noConversion"/>
  </si>
  <si>
    <t>湖北惠洋</t>
    <phoneticPr fontId="2" type="noConversion"/>
  </si>
  <si>
    <t>H</t>
    <phoneticPr fontId="2" type="noConversion"/>
  </si>
  <si>
    <t>TRW SHA</t>
    <phoneticPr fontId="2" type="noConversion"/>
  </si>
  <si>
    <t>T</t>
    <phoneticPr fontId="2" type="noConversion"/>
  </si>
  <si>
    <t>打托书</t>
    <phoneticPr fontId="2" type="noConversion"/>
  </si>
  <si>
    <t>打配舱单</t>
    <phoneticPr fontId="2" type="noConversion"/>
  </si>
  <si>
    <t>保函</t>
    <phoneticPr fontId="2" type="noConversion"/>
  </si>
  <si>
    <t>加拼</t>
    <phoneticPr fontId="2" type="noConversion"/>
  </si>
  <si>
    <t>舱单</t>
    <phoneticPr fontId="2" type="noConversion"/>
  </si>
  <si>
    <t>并单</t>
    <phoneticPr fontId="2" type="noConversion"/>
  </si>
  <si>
    <t>VGM</t>
    <phoneticPr fontId="2" type="noConversion"/>
  </si>
  <si>
    <t>并单审核完成：对每个箱子的单子，选中，编辑，点VGM信息，输入SHIPPER名、地址、联系人、联系邮箱、联系方式、负责人、箱总重、称重时间、称重方法、箱皮重，确定，点VGM导入</t>
    <phoneticPr fontId="2" type="noConversion"/>
  </si>
  <si>
    <t>步骤</t>
    <phoneticPr fontId="2" type="noConversion"/>
  </si>
  <si>
    <t>分步</t>
    <phoneticPr fontId="2" type="noConversion"/>
  </si>
  <si>
    <t>前提</t>
    <phoneticPr fontId="2" type="noConversion"/>
  </si>
  <si>
    <t>收到托书</t>
    <phoneticPr fontId="2" type="noConversion"/>
  </si>
  <si>
    <t>收到报关资料</t>
    <phoneticPr fontId="2" type="noConversion"/>
  </si>
  <si>
    <t>装箱完毕</t>
    <phoneticPr fontId="2" type="noConversion"/>
  </si>
  <si>
    <t>加拼审核完</t>
    <phoneticPr fontId="2" type="noConversion"/>
  </si>
  <si>
    <t>舱单有回执</t>
    <phoneticPr fontId="2" type="noConversion"/>
  </si>
  <si>
    <t>并单审核完</t>
    <phoneticPr fontId="2" type="noConversion"/>
  </si>
  <si>
    <t>加拼审核好后，进提单确认界面，搜出该航次下所有单子（DJSCSHBxxxxxxxx%），依次对每个单子：点编辑，更改是否出HOUSE BL为是，新增装箱信息，填箱号、封号、箱型、件毛体(各自的数据，应和第2步录入的数据一致)、拼箱，确认，保存。全部改好核对无误后（A也要改），查询页全选，点舱单提交发送，过一会会自动舱单回执。</t>
    <phoneticPr fontId="2" type="noConversion"/>
  </si>
  <si>
    <t>准备数据</t>
    <phoneticPr fontId="2" type="noConversion"/>
  </si>
  <si>
    <t>准备好该航次所有YJC单子的数据表格（客户编号、提单号、件毛体[报关数据]、品名[每个箱子最后一票品名后加BAF &amp; CAF pp]）</t>
    <phoneticPr fontId="2" type="noConversion"/>
  </si>
  <si>
    <r>
      <t>订舱界面搜出主拼号单（这时候只有DJSCSHBXXXXXXA一个），选中，点多票加拼，点右方加号添加需要数量的记录，将上面表格中数据依次录入（可以把不需要的箱型去掉，这一步录错的数据还可以在后面改），点确认，回到查询界面，查询并选中刚增加的审核状态的单子，点</t>
    </r>
    <r>
      <rPr>
        <sz val="11"/>
        <color rgb="FFFF0000"/>
        <rFont val="等线"/>
        <family val="3"/>
        <charset val="134"/>
        <scheme val="minor"/>
      </rPr>
      <t>批量提交</t>
    </r>
    <r>
      <rPr>
        <sz val="11"/>
        <rFont val="等线"/>
        <family val="3"/>
        <charset val="134"/>
        <scheme val="minor"/>
      </rPr>
      <t>(提交状态)</t>
    </r>
    <r>
      <rPr>
        <sz val="11"/>
        <color theme="1"/>
        <rFont val="等线"/>
        <family val="2"/>
        <charset val="134"/>
        <scheme val="minor"/>
      </rPr>
      <t>，群里通知黄小姐审核（审核好是未审核状态）。</t>
    </r>
    <phoneticPr fontId="2" type="noConversion"/>
  </si>
  <si>
    <t>发舱单</t>
    <phoneticPr fontId="2" type="noConversion"/>
  </si>
  <si>
    <t>系统并单</t>
    <phoneticPr fontId="2" type="noConversion"/>
  </si>
  <si>
    <t>客户并单</t>
    <phoneticPr fontId="2" type="noConversion"/>
  </si>
  <si>
    <t>输箱封号</t>
    <phoneticPr fontId="2" type="noConversion"/>
  </si>
  <si>
    <t>中治和杰和华龙的单子要分别并成一单（报关分开报，提单只出一个），把实际件毛体加到一起，录到主单，品名也合到主单里，然后只保留主单，删除其他的即可（杰和华龙每次都给样本，按样本复制即可）。</t>
    <phoneticPr fontId="2" type="noConversion"/>
  </si>
  <si>
    <t>YJC 拼箱</t>
    <phoneticPr fontId="2" type="noConversion"/>
  </si>
  <si>
    <t>一个箱子随便一个单子，点S/R主单，左下角去掉不是该箱子的YJC号（A单不并），输入主单号（DJSCS……）、货号普通、货物类型FCL、通知方改为same as cnee、实际件（PL）毛体、FreightTerm PP。</t>
    <phoneticPr fontId="2" type="noConversion"/>
  </si>
  <si>
    <t>中国业务》拼箱》拼箱，输入船名航次，查出该船名航次下所有YJC单子，Master排序，选中一个箱子的所有单子(包括A单)，选好箱型，点生成拼箱号，左边全部选中，输入箱号和封号，检查数量件毛体，保存即可</t>
    <phoneticPr fontId="2" type="noConversion"/>
  </si>
  <si>
    <t>改数据</t>
    <phoneticPr fontId="2" type="noConversion"/>
  </si>
  <si>
    <t>拉确认件</t>
    <phoneticPr fontId="2" type="noConversion"/>
  </si>
  <si>
    <t>杰和华龙、中治、LK A单和其他单子，点打印，格式类型CHECK B/L，点打印，保存pdf即可</t>
    <phoneticPr fontId="2" type="noConversion"/>
  </si>
  <si>
    <t>发确认件</t>
    <phoneticPr fontId="2" type="noConversion"/>
  </si>
  <si>
    <t>确认提单</t>
    <phoneticPr fontId="2" type="noConversion"/>
  </si>
  <si>
    <t>Eunsan EDI</t>
    <phoneticPr fontId="2" type="noConversion"/>
  </si>
  <si>
    <t>YJC拼箱</t>
    <phoneticPr fontId="2" type="noConversion"/>
  </si>
  <si>
    <t>准备INV PL</t>
    <phoneticPr fontId="2" type="noConversion"/>
  </si>
  <si>
    <t>操作邮件</t>
    <phoneticPr fontId="2" type="noConversion"/>
  </si>
  <si>
    <t>资料里扣（有些不需要）</t>
    <phoneticPr fontId="2" type="noConversion"/>
  </si>
  <si>
    <t>准备SA</t>
    <phoneticPr fontId="2" type="noConversion"/>
  </si>
  <si>
    <t>准备HBL DN</t>
    <phoneticPr fontId="2" type="noConversion"/>
  </si>
  <si>
    <t>多数确认即可
提单确认件发出去以后，根据客户要求改到客户认可为止，客户确认电放的，如果不是付款买单，在系统里改电放状态</t>
    <phoneticPr fontId="2" type="noConversion"/>
  </si>
  <si>
    <t>每个箱子一次
一个箱子随便一个单子，点S/R主单，点Eunsan EDI即可</t>
    <phoneticPr fontId="2" type="noConversion"/>
  </si>
  <si>
    <t>每个箱子一个
在S/R主单界面，点邮件，格式类型选CHECK B/L，复选框左边六个都选中，右边选中Freight Print，House B/L和借&amp;&amp;代记全部选到右边，点发送，保存附件，不保存邮件</t>
    <phoneticPr fontId="2" type="noConversion"/>
  </si>
  <si>
    <t>Jenn资料</t>
    <phoneticPr fontId="2" type="noConversion"/>
  </si>
  <si>
    <t>资料都好</t>
    <phoneticPr fontId="2" type="noConversion"/>
  </si>
  <si>
    <t>拉提单</t>
    <phoneticPr fontId="2" type="noConversion"/>
  </si>
  <si>
    <t>船开、可放</t>
    <phoneticPr fontId="2" type="noConversion"/>
  </si>
  <si>
    <t>放单</t>
    <phoneticPr fontId="2" type="noConversion"/>
  </si>
  <si>
    <t>开船</t>
    <phoneticPr fontId="2" type="noConversion"/>
  </si>
  <si>
    <t>制作并单保函(一个箱子一份)和电放保函(一个航次一份)，并单保函需更改：船名航次、并前所有单号件毛体、箱封号箱型、并后提单号(该箱子的主单号)、件毛体、日期，打印，在日期上盖章。电放保函需更改：船名航次、提单号(多个箱子可以用xxxxxxxxxxxA/B/C的格式)、两个日期，打印，盖两个章。</t>
    <phoneticPr fontId="2" type="noConversion"/>
  </si>
  <si>
    <t>代理资料
开船前一天</t>
    <phoneticPr fontId="2" type="noConversion"/>
  </si>
  <si>
    <t>S</t>
    <phoneticPr fontId="2" type="noConversion"/>
  </si>
  <si>
    <t>上海三凯</t>
    <phoneticPr fontId="2" type="noConversion"/>
  </si>
  <si>
    <t>Y</t>
    <phoneticPr fontId="2" type="noConversion"/>
  </si>
  <si>
    <t>广州日产</t>
    <phoneticPr fontId="2" type="noConversion"/>
  </si>
  <si>
    <t>R</t>
    <phoneticPr fontId="2" type="noConversion"/>
  </si>
  <si>
    <t>斯丹德</t>
    <phoneticPr fontId="2" type="noConversion"/>
  </si>
  <si>
    <t>蒂森虏伯</t>
    <phoneticPr fontId="2" type="noConversion"/>
  </si>
  <si>
    <t>GXIF_xuyanwu@163.com</t>
  </si>
  <si>
    <t>Henry.Hu@normagroup.com;Liqing.Zhang@normagroup.com</t>
    <phoneticPr fontId="2" type="noConversion"/>
  </si>
  <si>
    <t>im-export@stant.com</t>
  </si>
  <si>
    <t>pjw@ff-gangeroptical.com</t>
  </si>
  <si>
    <t>Huiliang.Ji@huf-group.com</t>
  </si>
  <si>
    <t>polly@cn-yule.com</t>
  </si>
  <si>
    <t>VARIABLE CAM TIMER UNIT</t>
    <phoneticPr fontId="2" type="noConversion"/>
  </si>
  <si>
    <t>忠明</t>
    <phoneticPr fontId="2" type="noConversion"/>
  </si>
  <si>
    <t>SCHAEFFLER</t>
    <phoneticPr fontId="2" type="noConversion"/>
  </si>
  <si>
    <t>嘉兴敏惠</t>
    <phoneticPr fontId="2" type="noConversion"/>
  </si>
  <si>
    <t>CASCO</t>
    <phoneticPr fontId="2" type="noConversion"/>
  </si>
  <si>
    <t>KOSTAL</t>
    <phoneticPr fontId="2" type="noConversion"/>
  </si>
  <si>
    <t>中治</t>
    <phoneticPr fontId="2" type="noConversion"/>
  </si>
  <si>
    <t>台州振鹏</t>
    <phoneticPr fontId="2" type="noConversion"/>
  </si>
  <si>
    <t>SHA KARLANG</t>
    <phoneticPr fontId="2" type="noConversion"/>
  </si>
  <si>
    <t>TEKLAS</t>
    <phoneticPr fontId="2" type="noConversion"/>
  </si>
  <si>
    <t>HUF</t>
    <phoneticPr fontId="2" type="noConversion"/>
  </si>
  <si>
    <t>KAWAI</t>
    <phoneticPr fontId="2" type="noConversion"/>
  </si>
  <si>
    <t>中宛</t>
    <phoneticPr fontId="2" type="noConversion"/>
  </si>
  <si>
    <t>天乐</t>
    <phoneticPr fontId="2" type="noConversion"/>
  </si>
  <si>
    <t>飞格</t>
    <phoneticPr fontId="2" type="noConversion"/>
  </si>
  <si>
    <t>瑞安东波</t>
    <phoneticPr fontId="2" type="noConversion"/>
  </si>
  <si>
    <t>SKF</t>
    <phoneticPr fontId="2" type="noConversion"/>
  </si>
  <si>
    <t>CALSONIC</t>
    <phoneticPr fontId="2" type="noConversion"/>
  </si>
  <si>
    <t>SOUTHCO</t>
    <phoneticPr fontId="2" type="noConversion"/>
  </si>
  <si>
    <t>无锡好力</t>
    <phoneticPr fontId="2" type="noConversion"/>
  </si>
  <si>
    <t>YJCSHAN1902150</t>
  </si>
  <si>
    <t>YJCSHAN1903512</t>
  </si>
  <si>
    <t>YJCSHAN1904101</t>
  </si>
  <si>
    <t>YJCSHAN1904433</t>
  </si>
  <si>
    <t>YJCSHAN1904561</t>
  </si>
  <si>
    <t>YJCSHAN1904562</t>
  </si>
  <si>
    <t>YJCSHAN1904635</t>
  </si>
  <si>
    <t>YJCSHAN1904645</t>
  </si>
  <si>
    <t>YJCSHAN1904659</t>
  </si>
  <si>
    <t>YJCSHAN1904661</t>
  </si>
  <si>
    <t>YJCSHAN1904686</t>
  </si>
  <si>
    <t>YJCSHAN1904687</t>
  </si>
  <si>
    <t>YJCSHAN1904688</t>
  </si>
  <si>
    <t>YJCSHAN1904694</t>
  </si>
  <si>
    <t>YJCSHAN1904701</t>
  </si>
  <si>
    <t>YJCSHAN1904716</t>
  </si>
  <si>
    <t>YJCSHAN1904730</t>
  </si>
  <si>
    <t>YJCSHAN1904741</t>
  </si>
  <si>
    <t>YJCSHAN1904756</t>
  </si>
  <si>
    <t>YJCSHAN1904768</t>
  </si>
  <si>
    <t>YJCSHAN1904773</t>
  </si>
  <si>
    <t>YJCSHAN1904633</t>
  </si>
  <si>
    <t>YJCSHAN1904796</t>
  </si>
  <si>
    <t>YJCSHAN1904837</t>
  </si>
  <si>
    <t>YJCSHAN1904858</t>
  </si>
  <si>
    <t>YJCSHAN1903951A</t>
    <phoneticPr fontId="2" type="noConversion"/>
  </si>
  <si>
    <t>YJCSHAN1904664A</t>
    <phoneticPr fontId="2" type="noConversion"/>
  </si>
  <si>
    <t>YJCSHAN1904861A</t>
    <phoneticPr fontId="2" type="noConversion"/>
  </si>
  <si>
    <t>DJSCSHBMSE90744A</t>
  </si>
  <si>
    <t>DJSCSHBMSE90744B</t>
  </si>
  <si>
    <t>DJSCSHBMSE90744C</t>
  </si>
  <si>
    <t>DJSCSHBMSE90744D</t>
  </si>
  <si>
    <t>DJSCSHBMSE90744E</t>
  </si>
  <si>
    <t>DJSCSHBMSE90744F</t>
  </si>
  <si>
    <t>DJSCSHBMSE90744G</t>
  </si>
  <si>
    <t>DJSCSHBMSE90744H</t>
  </si>
  <si>
    <t>DJSCSHBMSE90744J</t>
  </si>
  <si>
    <t>DJSCSHBMSE90744K</t>
  </si>
  <si>
    <t>DJSCSHBMSE90744L</t>
  </si>
  <si>
    <t>DJSCSHBMSE90744M</t>
  </si>
  <si>
    <t>DJSCSHBMSE90744N</t>
  </si>
  <si>
    <t>DJSCSHBMSE90744P</t>
  </si>
  <si>
    <t>DJSCSHBMSE90744Q</t>
  </si>
  <si>
    <t>DJSCSHBMSE90744R</t>
  </si>
  <si>
    <t>DJSCSHBMSE90744S</t>
  </si>
  <si>
    <t>DJSCSHBMSE90744T</t>
  </si>
  <si>
    <t>DJSCSHBMSE90744U</t>
  </si>
  <si>
    <t>DJSCSHBMSE90744V</t>
  </si>
  <si>
    <t>DJSCSHBMSE90744W</t>
  </si>
  <si>
    <t>DJSCSHBMSE90744X</t>
  </si>
  <si>
    <t>DJSCSHBMSE90744Y</t>
  </si>
  <si>
    <t>DJSCSHBMSE90744Z</t>
    <phoneticPr fontId="2" type="noConversion"/>
  </si>
  <si>
    <t>DJSCSHBMSE90745A</t>
    <phoneticPr fontId="2" type="noConversion"/>
  </si>
  <si>
    <t>DJSCSHBMSE90745B</t>
    <phoneticPr fontId="2" type="noConversion"/>
  </si>
  <si>
    <t>DJSCSHBMSE90745C</t>
    <phoneticPr fontId="2" type="noConversion"/>
  </si>
  <si>
    <t>DJSCSHBMSE90745D</t>
    <phoneticPr fontId="2" type="noConversion"/>
  </si>
  <si>
    <t>PARTS FOR SPEAKER</t>
    <phoneticPr fontId="2" type="noConversion"/>
  </si>
  <si>
    <t>MLDG-FR BMPR, UPR
KIT-FR BUMPER AERODYNAMIC MBR
MLDG-RR BMPR SPOILER</t>
    <phoneticPr fontId="2" type="noConversion"/>
  </si>
  <si>
    <t>RETAINER ASM, 13504355
26774623, RECEPTACLE</t>
    <phoneticPr fontId="2" type="noConversion"/>
  </si>
  <si>
    <t>BLIND_SPOT_WARNING SWITCH. REN_X43
INVOICE NO:2000228375</t>
    <phoneticPr fontId="2" type="noConversion"/>
  </si>
  <si>
    <t>DJSCSHBMSE90745E</t>
    <phoneticPr fontId="2" type="noConversion"/>
  </si>
  <si>
    <t>TEMU7742795</t>
  </si>
  <si>
    <t>ECO START/STOP SWITCH.
REN_X61_PHASE 2
CENTRAL DOOR LOCK SWITCH.
REN_X98
SEAT HEATER SWITCH.
REN_X07
INVOICE NO:2000233681</t>
    <phoneticPr fontId="2" type="noConversion"/>
  </si>
  <si>
    <t>LINER&amp;CAP S/A - I/L BUTTON, E-SHIFTER
UMBRELLA, E2UL E-SHIFTER
GUIDE -I/L BUTTON, E2UL E-SHIFTE
GUIDE S/A -P BUTTON, E2UL E-SHIFTE
CAP S/A -P BUTTON, E2UL E-SHIFTER
CAP S/A -I/L BUTTON, E2UL E-SHIFTER
LINER S/A-LH, E2UL E-SHIFTER
LINER S/A-RH, E2UL E-SHIFTER
BUTTON S/A - PARK, E2LB - ESHIFTER
BEZEL S/A E2UL E-SHIFTER
BUTTON S/A-PARK, GM C1UL E-SHIFTER
KNOB S/A-CAP, C1YB E-SHIFTER(MY19)
GUIDE-I/L BUTTON, E2LB E-SHIFTER</t>
    <phoneticPr fontId="2" type="noConversion"/>
  </si>
  <si>
    <t>BEZEL WITHOUT EPB</t>
    <phoneticPr fontId="2" type="noConversion"/>
  </si>
  <si>
    <t>BEARING</t>
    <phoneticPr fontId="2" type="noConversion"/>
  </si>
  <si>
    <t>113329583R BRKT-LWR ROD
112534437R BRKT-FR LH DYNAMIC INSUL</t>
    <phoneticPr fontId="2" type="noConversion"/>
  </si>
  <si>
    <t>ESCL SYSTEM
START STOP BUTTON</t>
    <phoneticPr fontId="2" type="noConversion"/>
  </si>
  <si>
    <t>SPEAKER PARTS</t>
    <phoneticPr fontId="2" type="noConversion"/>
  </si>
  <si>
    <t>GARMENTS</t>
    <phoneticPr fontId="2" type="noConversion"/>
  </si>
  <si>
    <t>LADIES WOVEN PANTS</t>
    <phoneticPr fontId="2" type="noConversion"/>
  </si>
  <si>
    <t>Y1XX KNOB
Y1XX MY 16 SUEDE KNOB
VW324/325 BOOT
VW324/325 BOOT LHD
Y1XX MY16 SUEDE BOOT
Y1XX BOOT</t>
    <phoneticPr fontId="2" type="noConversion"/>
  </si>
  <si>
    <t>BENDIX
PINION</t>
    <phoneticPr fontId="2" type="noConversion"/>
  </si>
  <si>
    <t>RUBBER HOSE</t>
    <phoneticPr fontId="2" type="noConversion"/>
  </si>
  <si>
    <t>HEATING ELEMENT</t>
    <phoneticPr fontId="2" type="noConversion"/>
  </si>
  <si>
    <t>BICYCLE PARTS</t>
    <phoneticPr fontId="2" type="noConversion"/>
  </si>
  <si>
    <t>BALL BEARING</t>
    <phoneticPr fontId="2" type="noConversion"/>
  </si>
  <si>
    <t>HUB BRG</t>
    <phoneticPr fontId="2" type="noConversion"/>
  </si>
  <si>
    <t>DRAIN PUMP</t>
    <phoneticPr fontId="2" type="noConversion"/>
  </si>
  <si>
    <t>POWER SUPPLY CORD SETS</t>
    <phoneticPr fontId="2" type="noConversion"/>
  </si>
  <si>
    <t>AMPL ASSY-AIR COND, AUTO</t>
    <phoneticPr fontId="2" type="noConversion"/>
  </si>
  <si>
    <t>TUBE-RAD INLET
PIPE-RADIATOR</t>
    <phoneticPr fontId="2" type="noConversion"/>
  </si>
  <si>
    <t>提单号</t>
    <phoneticPr fontId="2" type="noConversion"/>
  </si>
  <si>
    <t>件</t>
    <phoneticPr fontId="2" type="noConversion"/>
  </si>
  <si>
    <t>毛</t>
    <phoneticPr fontId="2" type="noConversion"/>
  </si>
  <si>
    <t>体</t>
    <phoneticPr fontId="2" type="noConversion"/>
  </si>
  <si>
    <t>品名</t>
    <phoneticPr fontId="2" type="noConversion"/>
  </si>
  <si>
    <t>箱号</t>
    <phoneticPr fontId="2" type="noConversion"/>
  </si>
  <si>
    <t>封号</t>
    <phoneticPr fontId="2" type="noConversion"/>
  </si>
  <si>
    <t>件1</t>
    <phoneticPr fontId="2" type="noConversion"/>
  </si>
  <si>
    <t>毛1</t>
    <phoneticPr fontId="2" type="noConversion"/>
  </si>
  <si>
    <t>体1</t>
    <phoneticPr fontId="2" type="noConversion"/>
  </si>
  <si>
    <t>客户编号</t>
    <phoneticPr fontId="2" type="noConversion"/>
  </si>
  <si>
    <t>DRYU9913493</t>
  </si>
  <si>
    <t>PHRU8703345</t>
  </si>
  <si>
    <t>PUSH TO CLOSE LATCH
CABLE ASSEMBLY
COMPRESSION LATCH, MEDIUM SS POLISHED
HARDWARE PACKAGE
PULL, SNAP-IN
HINGES, CUSTOM
BATCH(ES)
BAF &amp; CAF PP</t>
    <phoneticPr fontId="2" type="noConversion"/>
  </si>
  <si>
    <t>ASSY CAP SHAFT
BAF &amp; CAF PP</t>
    <phoneticPr fontId="2" type="noConversion"/>
  </si>
  <si>
    <t>GMX351 KNOB
XTS KNOB-COVER
GMX351 SLEEVE
GMX351 SKIRT
GMX351 BUTTON COVER
Y1XX SKIRT
Y1XX BUTTON
MIC BUTTON
BAF &amp; CAF PP</t>
    <phoneticPr fontId="2" type="noConversion"/>
  </si>
  <si>
    <t>有些用邮件，有些在群里，把提单确认件发给客户确认，并询问是否现在电放
有些客户不确认，让跟国外确认的，把提单发给Jenn确认，如果收货人是雷诺三星，要把INV PL一起发给Jenn</t>
    <phoneticPr fontId="2" type="noConversion"/>
  </si>
  <si>
    <t>周二船期</t>
    <phoneticPr fontId="2" type="noConversion"/>
  </si>
  <si>
    <t>周四船期</t>
    <phoneticPr fontId="2" type="noConversion"/>
  </si>
  <si>
    <t>周日船期</t>
    <phoneticPr fontId="2" type="noConversion"/>
  </si>
  <si>
    <t>发送舱单后过几分钟有了回执（亿加网上也要有），即可并单。提单确认界面搜出该航次所有单子，对每个箱子：选中所有分单，点并单申请，全部并好请黄小姐审核，审核后编辑进去把出House B/L改为是。并单后有几个箱子就剩几个单子了。</t>
    <phoneticPr fontId="2" type="noConversion"/>
  </si>
  <si>
    <t>核对件毛体和唛头、描述，增加项目信息（数量和报关数量一致），注意核对主单号、件毛体、Item Info，打印盖章
小代理单打非A单</t>
    <phoneticPr fontId="2" type="noConversion"/>
  </si>
  <si>
    <t>ETD
改ATD 放单</t>
    <phoneticPr fontId="2" type="noConversion"/>
  </si>
  <si>
    <t>装箱
振华 加拼 保函 舱单
         并单 VGM
YJC 客户并单 改数据
       提单确认 代理并单
       拼箱 箱封号
抠INV PL</t>
    <phoneticPr fontId="2" type="noConversion"/>
  </si>
  <si>
    <t>小代理资料</t>
    <phoneticPr fontId="2" type="noConversion"/>
  </si>
  <si>
    <t>小代理并单</t>
    <phoneticPr fontId="2" type="noConversion"/>
  </si>
  <si>
    <t>临时</t>
    <phoneticPr fontId="2" type="noConversion"/>
  </si>
  <si>
    <t>拉预录报关单</t>
    <phoneticPr fontId="2" type="noConversion"/>
  </si>
  <si>
    <r>
      <t>分别将小代理的几个单子并到一个单子里去（面单上会标记并到哪一个），发货人CNSHAFW，收货人(LK A8570，NTL A9255)，件毛体相加，贸易方式都不选，PP，完了以后</t>
    </r>
    <r>
      <rPr>
        <sz val="11"/>
        <color rgb="FFFF0000"/>
        <rFont val="等线"/>
        <family val="3"/>
        <charset val="134"/>
        <scheme val="minor"/>
      </rPr>
      <t>删除</t>
    </r>
    <r>
      <rPr>
        <sz val="11"/>
        <color theme="1"/>
        <rFont val="等线"/>
        <family val="2"/>
        <charset val="134"/>
        <scheme val="minor"/>
      </rPr>
      <t>其余被并的非A单。</t>
    </r>
  </si>
  <si>
    <r>
      <rPr>
        <i/>
        <sz val="11"/>
        <color rgb="FFFF0000"/>
        <rFont val="等线"/>
        <family val="3"/>
        <charset val="134"/>
        <scheme val="minor"/>
      </rPr>
      <t>并单审核 VGM</t>
    </r>
    <r>
      <rPr>
        <sz val="11"/>
        <color theme="1"/>
        <rFont val="等线"/>
        <family val="2"/>
        <charset val="134"/>
        <scheme val="minor"/>
      </rPr>
      <t xml:space="preserve">
确认提单
发代理资料</t>
    </r>
    <phoneticPr fontId="2" type="noConversion"/>
  </si>
  <si>
    <r>
      <rPr>
        <i/>
        <sz val="11"/>
        <color rgb="FFFF0000"/>
        <rFont val="等线"/>
        <family val="3"/>
        <charset val="134"/>
        <scheme val="minor"/>
      </rPr>
      <t>并单审核 VGM</t>
    </r>
    <r>
      <rPr>
        <sz val="11"/>
        <color theme="1"/>
        <rFont val="等线"/>
        <family val="2"/>
        <charset val="134"/>
        <scheme val="minor"/>
      </rPr>
      <t xml:space="preserve">
确认提单
发代理资料
拉预录报关单</t>
    </r>
    <phoneticPr fontId="2" type="noConversion"/>
  </si>
  <si>
    <t>每个箱子一个
在S/R主单界面，点S/A Print，保存即可（SA上40HC显示为45GP为正常）</t>
    <phoneticPr fontId="2" type="noConversion"/>
  </si>
  <si>
    <t>将一个航次所有INV&amp;PL、SA、HBL&amp;DN一并发送给Jenn并抄送操作和cs，主题写：“Documents of ETDxxxx EASLINE BUSAN 1912E DJSCS……”
A单INV PL不用发给Jenn</t>
    <phoneticPr fontId="2" type="noConversion"/>
  </si>
  <si>
    <t>准备提单确认邮件</t>
    <phoneticPr fontId="2" type="noConversion"/>
  </si>
  <si>
    <t>拉提单确认件之前要改两个数据：
1、件：实际进仓单位跟报关单位不一致的，改过来并且在品名里加xPLTS=Xctns；
2、体：实际进仓体积可能大于报关体积，也要改过来。</t>
    <phoneticPr fontId="2" type="noConversion"/>
  </si>
  <si>
    <t>YJCSHAN1902787</t>
  </si>
  <si>
    <t>YJCSHAN1903353</t>
  </si>
  <si>
    <t>YJCSHAN1904315</t>
  </si>
  <si>
    <t>YJCSHAN1904437</t>
  </si>
  <si>
    <t>YJCSHAN1904842</t>
  </si>
  <si>
    <t>YJCSHAN1904920</t>
  </si>
  <si>
    <t>YJCSHAN1904924</t>
  </si>
  <si>
    <t>YJCSHAN1904927</t>
  </si>
  <si>
    <t>YJCSHAN1904941</t>
  </si>
  <si>
    <t>YJCSHAN1904954</t>
  </si>
  <si>
    <t>YJCSHAN1904987</t>
  </si>
  <si>
    <t>YJCSHAN1904989</t>
  </si>
  <si>
    <t>YJCSHAN1904994</t>
  </si>
  <si>
    <t>YJCSHAN1905037</t>
  </si>
  <si>
    <t>YJCSHAN1905054</t>
  </si>
  <si>
    <t>上海孚仁</t>
    <phoneticPr fontId="2" type="noConversion"/>
  </si>
  <si>
    <t>日立海立</t>
    <phoneticPr fontId="2" type="noConversion"/>
  </si>
  <si>
    <t>淮安威灵</t>
    <phoneticPr fontId="2" type="noConversion"/>
  </si>
  <si>
    <t>常熟法雷奥</t>
    <phoneticPr fontId="2" type="noConversion"/>
  </si>
  <si>
    <t>苏州日立电线</t>
    <phoneticPr fontId="2" type="noConversion"/>
  </si>
  <si>
    <t>横店东磁</t>
    <phoneticPr fontId="2" type="noConversion"/>
  </si>
  <si>
    <t>盖茨</t>
    <phoneticPr fontId="2" type="noConversion"/>
  </si>
  <si>
    <t>有信汽车</t>
    <phoneticPr fontId="2" type="noConversion"/>
  </si>
  <si>
    <t>舍弗勒</t>
    <phoneticPr fontId="5" type="noConversion"/>
  </si>
  <si>
    <t>欧拓</t>
    <phoneticPr fontId="2" type="noConversion"/>
  </si>
  <si>
    <t>YJCSHAN1905001A</t>
    <phoneticPr fontId="2" type="noConversion"/>
  </si>
  <si>
    <t>YJCSHAN1905036A</t>
    <phoneticPr fontId="2" type="noConversion"/>
  </si>
  <si>
    <t>DJSCSHB2EE91444A</t>
  </si>
  <si>
    <t>DJSCSHB2EE91444B</t>
  </si>
  <si>
    <t>DJSCSHB2EE91444C</t>
  </si>
  <si>
    <t>DJSCSHB2EE91444D</t>
  </si>
  <si>
    <t>DJSCSHB2EE91444G</t>
  </si>
  <si>
    <t>DJSCSHB2EE91444H</t>
  </si>
  <si>
    <t>DJSCSHB2EE91444J</t>
  </si>
  <si>
    <t>DJSCSHB2EE91444K</t>
  </si>
  <si>
    <t>DJSCSHB2EE91444L</t>
  </si>
  <si>
    <t>DJSCSHB2EE91444N</t>
  </si>
  <si>
    <t>DJSCSHB2EE91444P</t>
  </si>
  <si>
    <t>DJSCSHB2EE91444Q</t>
  </si>
  <si>
    <t>DJSCSHB2EE91444R</t>
  </si>
  <si>
    <t>DJSCSHB2EE91444S</t>
  </si>
  <si>
    <t>DJSCSHB2EE91444T</t>
  </si>
  <si>
    <t>DJSCSHB2EE91444U</t>
  </si>
  <si>
    <t>DJSCSHB2EE91444V</t>
  </si>
  <si>
    <t>DJSCSHB2EE91444W</t>
  </si>
  <si>
    <t>实件</t>
    <phoneticPr fontId="2" type="noConversion"/>
  </si>
  <si>
    <t>实毛</t>
    <phoneticPr fontId="2" type="noConversion"/>
  </si>
  <si>
    <t>实体</t>
    <phoneticPr fontId="2" type="noConversion"/>
  </si>
  <si>
    <t>DRYU9484110</t>
    <phoneticPr fontId="2" type="noConversion"/>
  </si>
  <si>
    <t>DJSC716377</t>
    <phoneticPr fontId="2" type="noConversion"/>
  </si>
  <si>
    <t>PLASTIC CONNECTER</t>
    <phoneticPr fontId="2" type="noConversion"/>
  </si>
  <si>
    <t>STARTER</t>
  </si>
  <si>
    <t>MECHANISM ASSY-WINDSHIELD WIPER</t>
    <phoneticPr fontId="2" type="noConversion"/>
  </si>
  <si>
    <t>WIRE</t>
    <phoneticPr fontId="2" type="noConversion"/>
  </si>
  <si>
    <t>FERRITE MAGNET</t>
    <phoneticPr fontId="2" type="noConversion"/>
  </si>
  <si>
    <t>ASSY MUFFLER SUCTION</t>
  </si>
  <si>
    <t>GROMMET ISOLATOR
HEAT SINK</t>
    <phoneticPr fontId="2" type="noConversion"/>
  </si>
  <si>
    <t>YJCSHAN1905025</t>
    <phoneticPr fontId="2" type="noConversion"/>
  </si>
  <si>
    <t>POWER SUPPLY CORD SETS</t>
  </si>
  <si>
    <t>COIL HARMONIC</t>
  </si>
  <si>
    <t>RUBBER BELT</t>
  </si>
  <si>
    <t>SEAL WATER
CAP-EXHAUST</t>
    <phoneticPr fontId="2" type="noConversion"/>
  </si>
  <si>
    <t>VARIABLE CAM TIMER UNIT</t>
  </si>
  <si>
    <t>FR PROTR-TANK
COVER-UNDER ENG
COVER-RR SEAT
BAF &amp; CAF PP</t>
    <phoneticPr fontId="2" type="noConversion"/>
  </si>
  <si>
    <t>WOMEN'S SKIRT</t>
    <phoneticPr fontId="2" type="noConversion"/>
  </si>
  <si>
    <t>LOCK &amp; RC ASS</t>
    <phoneticPr fontId="2" type="noConversion"/>
  </si>
  <si>
    <t>客户和小代理并单</t>
    <phoneticPr fontId="2" type="noConversion"/>
  </si>
  <si>
    <t>PHRU8604384</t>
    <phoneticPr fontId="2" type="noConversion"/>
  </si>
  <si>
    <t>714816</t>
    <phoneticPr fontId="2" type="noConversion"/>
  </si>
  <si>
    <t>G</t>
    <phoneticPr fontId="2" type="noConversion"/>
  </si>
  <si>
    <t>Y</t>
    <phoneticPr fontId="2" type="noConversion"/>
  </si>
  <si>
    <t>O</t>
    <phoneticPr fontId="2" type="noConversion"/>
  </si>
  <si>
    <t>F</t>
    <phoneticPr fontId="2" type="noConversion"/>
  </si>
  <si>
    <t>R</t>
    <phoneticPr fontId="2" type="noConversion"/>
  </si>
  <si>
    <t>K</t>
    <phoneticPr fontId="2" type="noConversion"/>
  </si>
  <si>
    <t>KOSTAL</t>
    <phoneticPr fontId="2" type="noConversion"/>
  </si>
  <si>
    <t>D</t>
    <phoneticPr fontId="2" type="noConversion"/>
  </si>
  <si>
    <t>南京大茂</t>
    <phoneticPr fontId="2" type="noConversion"/>
  </si>
  <si>
    <t>S</t>
    <phoneticPr fontId="2" type="noConversion"/>
  </si>
  <si>
    <t>SKF</t>
    <phoneticPr fontId="2" type="noConversion"/>
  </si>
  <si>
    <t>飞格</t>
    <phoneticPr fontId="2" type="noConversion"/>
  </si>
  <si>
    <t>台州振鹏</t>
    <phoneticPr fontId="2" type="noConversion"/>
  </si>
  <si>
    <t>Z</t>
    <phoneticPr fontId="2" type="noConversion"/>
  </si>
  <si>
    <t>T</t>
    <phoneticPr fontId="2" type="noConversion"/>
  </si>
  <si>
    <t>无锡特瑞堡</t>
    <phoneticPr fontId="2" type="noConversion"/>
  </si>
  <si>
    <t>H</t>
    <phoneticPr fontId="2" type="noConversion"/>
  </si>
  <si>
    <t>无锡好力</t>
    <phoneticPr fontId="2" type="noConversion"/>
  </si>
  <si>
    <t>E</t>
    <phoneticPr fontId="2" type="noConversion"/>
  </si>
  <si>
    <t>ECONO</t>
    <phoneticPr fontId="2" type="noConversion"/>
  </si>
  <si>
    <t>整理托书样本
准备提单确认邮件</t>
    <phoneticPr fontId="2" type="noConversion"/>
  </si>
  <si>
    <t>整理托书样本
整理邮箱规则
准备放单邮件</t>
    <phoneticPr fontId="2" type="noConversion"/>
  </si>
  <si>
    <t>船名航次</t>
    <phoneticPr fontId="2" type="noConversion"/>
  </si>
  <si>
    <t>ETD</t>
    <phoneticPr fontId="2" type="noConversion"/>
  </si>
  <si>
    <t>主单号</t>
    <phoneticPr fontId="2" type="noConversion"/>
  </si>
  <si>
    <t>EASLINE SHANGHAI 1914E</t>
    <phoneticPr fontId="2" type="noConversion"/>
  </si>
  <si>
    <t>振华加拼</t>
    <phoneticPr fontId="2" type="noConversion"/>
  </si>
  <si>
    <t>PMA SENSOR</t>
  </si>
  <si>
    <t>DJSCSHB2EE
91444</t>
    <phoneticPr fontId="2" type="noConversion"/>
  </si>
  <si>
    <t>船开</t>
    <phoneticPr fontId="2" type="noConversion"/>
  </si>
  <si>
    <t>改ATD</t>
    <phoneticPr fontId="2" type="noConversion"/>
  </si>
  <si>
    <t>后序放单</t>
    <phoneticPr fontId="2" type="noConversion"/>
  </si>
  <si>
    <t>SA</t>
    <phoneticPr fontId="2" type="noConversion"/>
  </si>
  <si>
    <t>DONGJIN
VENUS
1913E</t>
    <phoneticPr fontId="2" type="noConversion"/>
  </si>
  <si>
    <t>DJSCSHBDEE
91344</t>
    <phoneticPr fontId="2" type="noConversion"/>
  </si>
  <si>
    <t>品名表</t>
    <phoneticPr fontId="2" type="noConversion"/>
  </si>
  <si>
    <t>振华保函</t>
    <phoneticPr fontId="2" type="noConversion"/>
  </si>
  <si>
    <t>振华舱单</t>
    <phoneticPr fontId="2" type="noConversion"/>
  </si>
  <si>
    <t>振华VGM</t>
    <phoneticPr fontId="2" type="noConversion"/>
  </si>
  <si>
    <t>小代并单</t>
    <phoneticPr fontId="2" type="noConversion"/>
  </si>
  <si>
    <t>系统拼箱</t>
    <phoneticPr fontId="2" type="noConversion"/>
  </si>
  <si>
    <t>系统电放</t>
    <phoneticPr fontId="2" type="noConversion"/>
  </si>
  <si>
    <t>Esan EDI</t>
    <phoneticPr fontId="2" type="noConversion"/>
  </si>
  <si>
    <t>HBL DN</t>
    <phoneticPr fontId="2" type="noConversion"/>
  </si>
  <si>
    <t>小代资料</t>
    <phoneticPr fontId="2" type="noConversion"/>
  </si>
  <si>
    <t>发Jenn</t>
    <phoneticPr fontId="2" type="noConversion"/>
  </si>
  <si>
    <t>发小代理</t>
    <phoneticPr fontId="2" type="noConversion"/>
  </si>
  <si>
    <t>箱单发票</t>
    <phoneticPr fontId="2" type="noConversion"/>
  </si>
  <si>
    <t>0331
周日</t>
    <phoneticPr fontId="2" type="noConversion"/>
  </si>
  <si>
    <t>0402
周二</t>
    <phoneticPr fontId="2" type="noConversion"/>
  </si>
  <si>
    <t>0328
周四</t>
    <phoneticPr fontId="2" type="noConversion"/>
  </si>
  <si>
    <t>0326
周二</t>
    <phoneticPr fontId="2" type="noConversion"/>
  </si>
  <si>
    <t>0324
周日</t>
    <phoneticPr fontId="2" type="noConversion"/>
  </si>
  <si>
    <t>0321
周四</t>
    <phoneticPr fontId="2" type="noConversion"/>
  </si>
  <si>
    <t>0319
周二</t>
    <phoneticPr fontId="2" type="noConversion"/>
  </si>
  <si>
    <t>0404
周四</t>
    <phoneticPr fontId="2" type="noConversion"/>
  </si>
  <si>
    <t>0407
周日</t>
    <phoneticPr fontId="2" type="noConversion"/>
  </si>
  <si>
    <t>0409
周二</t>
    <phoneticPr fontId="2" type="noConversion"/>
  </si>
  <si>
    <t>0411
周四</t>
    <phoneticPr fontId="2" type="noConversion"/>
  </si>
  <si>
    <t>将主提单/A提单(正本不加SURRENDERED即可)/箱单/发票按顺序合到一个pdf文件，发送给小代理，并抄送操作和cs@yjc.cn
LK(esbae@lkl.co.kr;import@lkl.co.kr) NTL(sun@nahrae.net;hosu@nahrae.net;nahrae@nahrae.net)，</t>
    <phoneticPr fontId="2" type="noConversion"/>
  </si>
  <si>
    <t>制单</t>
    <phoneticPr fontId="2" type="noConversion"/>
  </si>
  <si>
    <t>凯毅德</t>
    <phoneticPr fontId="2" type="noConversion"/>
  </si>
  <si>
    <t>浙江三花</t>
    <phoneticPr fontId="2" type="noConversion"/>
  </si>
  <si>
    <t>浙江盾安</t>
    <phoneticPr fontId="2" type="noConversion"/>
  </si>
  <si>
    <t>常州肯迪</t>
    <phoneticPr fontId="2" type="noConversion"/>
  </si>
  <si>
    <t>YJCSHAN1904174</t>
  </si>
  <si>
    <t>DJSCSHBDEE91344A</t>
  </si>
  <si>
    <t>YJCSHAN1904774</t>
  </si>
  <si>
    <t>YJCSHAN1904776</t>
  </si>
  <si>
    <t>DJSCSHBDEE91344C</t>
  </si>
  <si>
    <t>YJCSHAN1904777</t>
  </si>
  <si>
    <t>DJSCSHBDEE91344D</t>
  </si>
  <si>
    <t>YJCSHAN1904781</t>
  </si>
  <si>
    <t>DJSCSHBDEE91344E</t>
  </si>
  <si>
    <t>YJCSHAN1904789</t>
  </si>
  <si>
    <t>DJSCSHBDEE91344F</t>
  </si>
  <si>
    <t>YJCSHAN1904897</t>
  </si>
  <si>
    <t>DJSCSHBDEE91344G</t>
  </si>
  <si>
    <t>YJCSHAN1905000</t>
  </si>
  <si>
    <t>DJSCSHBDEE91344H</t>
  </si>
  <si>
    <t>YJCSHAN1905052</t>
  </si>
  <si>
    <t>DJSCSHBDEE91344J</t>
  </si>
  <si>
    <t>YJCSHAN1905057</t>
  </si>
  <si>
    <t>DJSCSHBDEE91344K</t>
  </si>
  <si>
    <t>YJCSHAN1904945</t>
  </si>
  <si>
    <t>DJSCSHBDEE91344L</t>
  </si>
  <si>
    <t>YJCSHAN1905107</t>
  </si>
  <si>
    <t>DJSCSHBDEE91344M</t>
  </si>
  <si>
    <t>YJCSHAN1904839</t>
  </si>
  <si>
    <t>DJSCSHBDEE91344N</t>
  </si>
  <si>
    <t>YJCSHAN1905112</t>
  </si>
  <si>
    <t>DJSCSHBDEE91344P</t>
  </si>
  <si>
    <t>YJCSHAN1905155</t>
  </si>
  <si>
    <t>DJSCSHBDEE91344Q</t>
  </si>
  <si>
    <t>YJCSHAN1905156</t>
  </si>
  <si>
    <t>DJSCSHBDEE91344R</t>
  </si>
  <si>
    <t>LOCK-FR RH/LH DOOR</t>
    <phoneticPr fontId="2" type="noConversion"/>
  </si>
  <si>
    <t>STEPPING MOTOR</t>
    <phoneticPr fontId="2" type="noConversion"/>
  </si>
  <si>
    <t>STEPPING MOTOR
SYNCHRONOUS MOTOR</t>
    <phoneticPr fontId="2" type="noConversion"/>
  </si>
  <si>
    <t>LOCK KIT</t>
    <phoneticPr fontId="2" type="noConversion"/>
  </si>
  <si>
    <t>PLASTIC CONNECTER</t>
    <phoneticPr fontId="2" type="noConversion"/>
  </si>
  <si>
    <t>DEEP GROOVE BALL BEARING</t>
    <phoneticPr fontId="2" type="noConversion"/>
  </si>
  <si>
    <t>TUBE-RAD INLET
TUBE-BLOWBY INLET</t>
    <phoneticPr fontId="2" type="noConversion"/>
  </si>
  <si>
    <t>COIL
ELECTRONIC EXPANSION VALVE</t>
    <phoneticPr fontId="2" type="noConversion"/>
  </si>
  <si>
    <t>PMA SENSOR</t>
    <phoneticPr fontId="2" type="noConversion"/>
  </si>
  <si>
    <t>COIL
SERVICE VALVE</t>
    <phoneticPr fontId="2" type="noConversion"/>
  </si>
  <si>
    <t>HOT KNIFE</t>
    <phoneticPr fontId="2" type="noConversion"/>
  </si>
  <si>
    <t>PMA ECU</t>
    <phoneticPr fontId="2" type="noConversion"/>
  </si>
  <si>
    <t>GRAPHITE</t>
    <phoneticPr fontId="2" type="noConversion"/>
  </si>
  <si>
    <t>整理托书样本
准备提单确认邮件
抠INV PL</t>
    <phoneticPr fontId="2" type="noConversion"/>
  </si>
  <si>
    <t>DJLU2182234</t>
  </si>
  <si>
    <t>20GP</t>
    <phoneticPr fontId="2" type="noConversion"/>
  </si>
  <si>
    <t>DRYU9464670</t>
  </si>
  <si>
    <t>40HQ</t>
    <phoneticPr fontId="2" type="noConversion"/>
  </si>
  <si>
    <t>提单确认找王红，正本寄金浩</t>
    <phoneticPr fontId="2" type="noConversion"/>
  </si>
  <si>
    <t>wanho@schaeffler.com 抄 jinho@schaeffler.com</t>
    <phoneticPr fontId="2" type="noConversion"/>
  </si>
  <si>
    <t>YJCSHAN190417401</t>
    <phoneticPr fontId="2" type="noConversion"/>
  </si>
  <si>
    <t>GRAPHITE
BAF &amp; CAF PP</t>
    <phoneticPr fontId="2" type="noConversion"/>
  </si>
  <si>
    <t>POWER SUPPLY CORD SETS
BAF &amp; CAF PP</t>
    <phoneticPr fontId="2" type="noConversion"/>
  </si>
  <si>
    <t>客户编号</t>
    <phoneticPr fontId="2" type="noConversion"/>
  </si>
  <si>
    <t>YJCSHAN190417402</t>
    <phoneticPr fontId="2" type="noConversion"/>
  </si>
  <si>
    <t>YJCSHAN190417403</t>
    <phoneticPr fontId="2" type="noConversion"/>
  </si>
  <si>
    <t>YJCSHAN190417404</t>
    <phoneticPr fontId="2" type="noConversion"/>
  </si>
  <si>
    <t>YJCSHAN190417405</t>
    <phoneticPr fontId="2" type="noConversion"/>
  </si>
  <si>
    <t>YJCSHAN190417406</t>
    <phoneticPr fontId="2" type="noConversion"/>
  </si>
  <si>
    <t>YJCSHAN190417407</t>
    <phoneticPr fontId="2" type="noConversion"/>
  </si>
  <si>
    <t>YJCSHAN190417408</t>
    <phoneticPr fontId="2" type="noConversion"/>
  </si>
  <si>
    <t>YJCSHAN190417409</t>
    <phoneticPr fontId="2" type="noConversion"/>
  </si>
  <si>
    <t>YJCSHAN190417410</t>
    <phoneticPr fontId="2" type="noConversion"/>
  </si>
  <si>
    <t>YJCSHAN190417411</t>
    <phoneticPr fontId="2" type="noConversion"/>
  </si>
  <si>
    <t>YJCSHAN190417412</t>
    <phoneticPr fontId="2" type="noConversion"/>
  </si>
  <si>
    <t>YJCSHAN190417413</t>
    <phoneticPr fontId="2" type="noConversion"/>
  </si>
  <si>
    <t>YJCSHAN190417414</t>
    <phoneticPr fontId="2" type="noConversion"/>
  </si>
  <si>
    <t>YJCSHAN190417415</t>
    <phoneticPr fontId="2" type="noConversion"/>
  </si>
  <si>
    <t>DJSCSHBDEE91344B</t>
    <phoneticPr fontId="2" type="noConversion"/>
  </si>
  <si>
    <t>凯毅德</t>
    <phoneticPr fontId="2" type="noConversion"/>
  </si>
  <si>
    <t>Y</t>
    <phoneticPr fontId="2" type="noConversion"/>
  </si>
  <si>
    <t>K</t>
    <phoneticPr fontId="2" type="noConversion"/>
  </si>
  <si>
    <t>S</t>
    <phoneticPr fontId="2" type="noConversion"/>
  </si>
  <si>
    <t>浙江三花</t>
    <phoneticPr fontId="2" type="noConversion"/>
  </si>
  <si>
    <t>常州肯迪</t>
    <phoneticPr fontId="2" type="noConversion"/>
  </si>
  <si>
    <t>T</t>
    <phoneticPr fontId="2" type="noConversion"/>
  </si>
  <si>
    <t>特克拉</t>
    <phoneticPr fontId="2" type="noConversion"/>
  </si>
  <si>
    <t>jieyan.mao@autoneum.com</t>
    <phoneticPr fontId="2" type="noConversion"/>
  </si>
  <si>
    <t>153-9588-7092</t>
    <phoneticPr fontId="2" type="noConversion"/>
  </si>
  <si>
    <t>开船后根据需要更改该航次所有ATD，拉出所有可电放的提单。正本提单等振华放单后再放</t>
    <phoneticPr fontId="2" type="noConversion"/>
  </si>
  <si>
    <t>电放：通过邮件或者群发提单给客户
对于发代理资料后放的提单，需要重新发HB/L给Jenn和小代理</t>
    <phoneticPr fontId="2" type="noConversion"/>
  </si>
  <si>
    <t>上海中治</t>
  </si>
  <si>
    <t>纳美</t>
  </si>
  <si>
    <t>安徽爱德夏</t>
  </si>
  <si>
    <t>重庆胜维德</t>
  </si>
  <si>
    <t>延锋伟世通</t>
  </si>
  <si>
    <t>宝适</t>
  </si>
  <si>
    <t>河合</t>
  </si>
  <si>
    <t>霍富</t>
  </si>
  <si>
    <t>上海瀚波</t>
  </si>
  <si>
    <t>芯发威达</t>
  </si>
  <si>
    <t>东机工</t>
  </si>
  <si>
    <t>常州恒智</t>
  </si>
  <si>
    <t>哈曼</t>
  </si>
  <si>
    <t>索斯科</t>
  </si>
  <si>
    <t>YJCSHAN1904791</t>
  </si>
  <si>
    <t>YJCSHAN1904847</t>
  </si>
  <si>
    <t>YJCSHAN1904898</t>
  </si>
  <si>
    <t>YJCSHAN1904943</t>
  </si>
  <si>
    <t>YJCSHAN1904944</t>
  </si>
  <si>
    <t>YJCSHAN1904948</t>
  </si>
  <si>
    <t>YJCSHAN1905106</t>
  </si>
  <si>
    <t>YJCSHAN1905177</t>
  </si>
  <si>
    <t>YJCSHAN1905178</t>
  </si>
  <si>
    <t>YJCSHAN1905153</t>
  </si>
  <si>
    <t>YJCSHAN1905154</t>
  </si>
  <si>
    <t>YJCSHAN1905183</t>
  </si>
  <si>
    <t>YJCSHAN1905211</t>
  </si>
  <si>
    <t>YJCSHAN1905213</t>
  </si>
  <si>
    <t>YJCSHAN1905216</t>
  </si>
  <si>
    <t>YJCSHAN1905217</t>
  </si>
  <si>
    <t>YJCSHAN1905229</t>
  </si>
  <si>
    <t>YJCSHAN1905268</t>
  </si>
  <si>
    <t>YJCSHAN1905275</t>
  </si>
  <si>
    <t>YJCSHAN1905298</t>
  </si>
  <si>
    <t>YJCSHAN1905304</t>
  </si>
  <si>
    <t>YJCSHAN1905309</t>
  </si>
  <si>
    <t>DJSCSHBMVE90744A</t>
  </si>
  <si>
    <t>DJSCSHBMVE90744B</t>
  </si>
  <si>
    <t>DJSCSHBMVE90744C</t>
  </si>
  <si>
    <t>DJSCSHBMVE90744D</t>
  </si>
  <si>
    <t>DJSCSHBMVE90744E</t>
  </si>
  <si>
    <t>DJSCSHBMVE90744F</t>
  </si>
  <si>
    <t>DJSCSHBMVE90744H</t>
  </si>
  <si>
    <t>DJSCSHBMVE90744J</t>
  </si>
  <si>
    <t>DJSCSHBMVE90744K</t>
  </si>
  <si>
    <t>DJSCSHBMVE90744L</t>
  </si>
  <si>
    <t>DJSCSHBMVE90744M</t>
  </si>
  <si>
    <t>DJSCSHBMVE90744N</t>
  </si>
  <si>
    <t>DJSCSHBMVE90744P</t>
  </si>
  <si>
    <t>DJSCSHBMVE90744Q</t>
  </si>
  <si>
    <t>DJSCSHBMVE90744R</t>
  </si>
  <si>
    <t>DJSCSHBMVE90744S</t>
  </si>
  <si>
    <t>DJSCSHBMVE90744T</t>
  </si>
  <si>
    <t>DJSCSHBMVE90744U</t>
  </si>
  <si>
    <t>DJSCSHBMVE90744V</t>
  </si>
  <si>
    <t>DJSCSHBMVE90744W</t>
  </si>
  <si>
    <t>DJSCSHBMVE90744X</t>
  </si>
  <si>
    <t>DJSCSHBMVE90744Y</t>
  </si>
  <si>
    <t>DJSCSHBMVE90744Z</t>
  </si>
  <si>
    <t>DJSCSHBMVE90744G</t>
  </si>
  <si>
    <t>DJSCSHBMVE90745A</t>
    <phoneticPr fontId="2" type="noConversion"/>
  </si>
  <si>
    <t>DJSCSHBMVE90745B</t>
    <phoneticPr fontId="2" type="noConversion"/>
  </si>
  <si>
    <t>DJSCSHBMVE90745C</t>
    <phoneticPr fontId="2" type="noConversion"/>
  </si>
  <si>
    <t>BEAU4630345</t>
    <phoneticPr fontId="2" type="noConversion"/>
  </si>
  <si>
    <t>DJSC719335</t>
    <phoneticPr fontId="2" type="noConversion"/>
  </si>
  <si>
    <t>1-40HQ</t>
    <phoneticPr fontId="2" type="noConversion"/>
  </si>
  <si>
    <t>2-40HQ</t>
    <phoneticPr fontId="2" type="noConversion"/>
  </si>
  <si>
    <t>DJLU5157997</t>
    <phoneticPr fontId="2" type="noConversion"/>
  </si>
  <si>
    <t>719467</t>
    <phoneticPr fontId="2" type="noConversion"/>
  </si>
  <si>
    <t>GROOVE-LOCK, FORD C519 E-SHIFTER
GEAR-SHAFT, FORD C519 E-SHIFTER
GEAR-CARRIER, C519 E-SHIFTER
GEAR-SPUR, C519 E-SHIFTER</t>
    <phoneticPr fontId="2" type="noConversion"/>
  </si>
  <si>
    <t>LADIES LONG PANT</t>
    <phoneticPr fontId="2" type="noConversion"/>
  </si>
  <si>
    <t>POWER SUPPLY CORD SETS</t>
    <phoneticPr fontId="2" type="noConversion"/>
  </si>
  <si>
    <t>SYMC Y290 CCR CAN8 AMP 2975/3190374</t>
    <phoneticPr fontId="2" type="noConversion"/>
  </si>
  <si>
    <t>EMBEDDED COMPUTER
FLASH MEMORY CARD
CONNECTOR</t>
    <phoneticPr fontId="2" type="noConversion"/>
  </si>
  <si>
    <t>PAD KIT-FRONT DISC BRAKE
CALIPER ASSY-BRAKE, W/O PAD RH
HARDWARE KIT-FR DISC BRAKE</t>
    <phoneticPr fontId="2" type="noConversion"/>
  </si>
  <si>
    <t>ESCL SYSTEM
CLAMP</t>
    <phoneticPr fontId="2" type="noConversion"/>
  </si>
  <si>
    <t>HEATING ELEMENT</t>
    <phoneticPr fontId="2" type="noConversion"/>
  </si>
  <si>
    <t>BALL BEARING
WASHER-PLAIN</t>
    <phoneticPr fontId="2" type="noConversion"/>
  </si>
  <si>
    <t>YJCSHAN1905083</t>
    <phoneticPr fontId="2" type="noConversion"/>
  </si>
  <si>
    <t>2015 RENAULT M0/R0-15/X98 RADIO
2013 RENAULT X82(1DIN)
2013 RENAULT X07 RADIO
2013 RENAULT RADIO
2013 RENAULT X82 2DIN
ME_X07RBL_REMOVABLE</t>
    <phoneticPr fontId="2" type="noConversion"/>
  </si>
  <si>
    <t>DOOR HINGE STRAP BODY</t>
    <phoneticPr fontId="2" type="noConversion"/>
  </si>
  <si>
    <t>KNITTED COATED GLOVE</t>
    <phoneticPr fontId="2" type="noConversion"/>
  </si>
  <si>
    <t>SHIM</t>
    <phoneticPr fontId="2" type="noConversion"/>
  </si>
  <si>
    <t>E2SC MY19 CNSL</t>
    <phoneticPr fontId="2" type="noConversion"/>
  </si>
  <si>
    <t>GUIDE S/A P-BUTTON
BUTTON S/A -PARK
GUIDE -I/L BUTTON
BUTTON S/A -I/L
LINER -I/L BUTTON
KNOB S/A -CAP
C1UL MCM BEZEL S/A</t>
    <phoneticPr fontId="2" type="noConversion"/>
  </si>
  <si>
    <t>GRAPHITE</t>
    <phoneticPr fontId="2" type="noConversion"/>
  </si>
  <si>
    <t>TONNEAU COVER</t>
    <phoneticPr fontId="2" type="noConversion"/>
  </si>
  <si>
    <t>SHIFT PARTS
SPRING</t>
    <phoneticPr fontId="2" type="noConversion"/>
  </si>
  <si>
    <t>MOULDING REPEATER-TURN SIGNAL
OUTSIDE MIRROR-BODY LH</t>
    <phoneticPr fontId="2" type="noConversion"/>
  </si>
  <si>
    <t>BEZEL WITHOUT EPB</t>
    <phoneticPr fontId="2" type="noConversion"/>
  </si>
  <si>
    <t>AUTOMOTIVE BOOT SHIFTER</t>
    <phoneticPr fontId="2" type="noConversion"/>
  </si>
  <si>
    <t>HANGER
PROFILE</t>
    <phoneticPr fontId="2" type="noConversion"/>
  </si>
  <si>
    <t>YJCSHAN1905255A</t>
    <phoneticPr fontId="2" type="noConversion"/>
  </si>
  <si>
    <t>YJCSHAN1905179A</t>
    <phoneticPr fontId="2" type="noConversion"/>
  </si>
  <si>
    <t>AUTOMOTIVE BOOT SHIFTER
BAF &amp; CAF PP</t>
    <phoneticPr fontId="2" type="noConversion"/>
  </si>
  <si>
    <t>3-20GP</t>
    <phoneticPr fontId="2" type="noConversion"/>
  </si>
  <si>
    <t>PHRU2605784</t>
    <phoneticPr fontId="2" type="noConversion"/>
  </si>
  <si>
    <t>719419</t>
    <phoneticPr fontId="2" type="noConversion"/>
  </si>
  <si>
    <t>福州诺贝尔</t>
    <phoneticPr fontId="2" type="noConversion"/>
  </si>
  <si>
    <t>YJCSHAN1905319</t>
    <phoneticPr fontId="2" type="noConversion"/>
  </si>
  <si>
    <t>DJSCSHBMVE90745D</t>
    <phoneticPr fontId="2" type="noConversion"/>
  </si>
  <si>
    <t>TUBE-FUEL VAPOUR
BAF &amp; CAF PP</t>
    <phoneticPr fontId="2" type="noConversion"/>
  </si>
  <si>
    <t>4-40HQ</t>
    <phoneticPr fontId="2" type="noConversion"/>
  </si>
  <si>
    <t>TEMU7742943</t>
    <phoneticPr fontId="2" type="noConversion"/>
  </si>
  <si>
    <t>719227</t>
    <phoneticPr fontId="2" type="noConversion"/>
  </si>
  <si>
    <t>PUSH TO CLOSE LATCH
DZUS DART, RETAINER 0 BLK
COMPRESSION LATCH, MEDIUM SS POLISHED
LINK RETAINER
PULL, SNAP-IN
BATCH(ES)
BAF &amp; CAF PP</t>
    <phoneticPr fontId="2" type="noConversion"/>
  </si>
  <si>
    <t>YJCSHAN190479101</t>
  </si>
  <si>
    <t>YJCSHAN190479202</t>
  </si>
  <si>
    <t>YJCSHAN190479303</t>
  </si>
  <si>
    <t>YJCSHAN190479404</t>
  </si>
  <si>
    <t>YJCSHAN190479505</t>
  </si>
  <si>
    <t>YJCSHAN190479606</t>
  </si>
  <si>
    <t>YJCSHAN190479707</t>
  </si>
  <si>
    <t>YJCSHAN190479808</t>
  </si>
  <si>
    <t>YJCSHAN190479909</t>
  </si>
  <si>
    <t>YJCSHAN190480010</t>
  </si>
  <si>
    <t>YJCSHAN190480111</t>
  </si>
  <si>
    <t>YJCSHAN190480212</t>
  </si>
  <si>
    <t>YJCSHAN190480313</t>
  </si>
  <si>
    <t>YJCSHAN190480414</t>
  </si>
  <si>
    <t>YJCSHAN190480515</t>
  </si>
  <si>
    <t>YJCSHAN190480616</t>
  </si>
  <si>
    <t>YJCSHAN190480717</t>
  </si>
  <si>
    <t>YJCSHAN190480818</t>
  </si>
  <si>
    <t>YJCSHAN190480919</t>
  </si>
  <si>
    <t>YJCSHAN190481020</t>
  </si>
  <si>
    <t>YJCSHAN190481121</t>
  </si>
  <si>
    <t>YJCSHAN190481222</t>
  </si>
  <si>
    <t>YJCSHAN190481323</t>
  </si>
  <si>
    <t>YJCSHAN190481424</t>
  </si>
  <si>
    <t>YJCSHAN190481525</t>
  </si>
  <si>
    <t>YJCSHAN190481626</t>
  </si>
  <si>
    <t>YJCSHAN190481727</t>
  </si>
  <si>
    <t>箱型</t>
    <phoneticPr fontId="2" type="noConversion"/>
  </si>
  <si>
    <t>非必做</t>
    <phoneticPr fontId="2" type="noConversion"/>
  </si>
  <si>
    <t>提单号</t>
    <phoneticPr fontId="2" type="noConversion"/>
  </si>
  <si>
    <t>提单确认</t>
    <phoneticPr fontId="2" type="noConversion"/>
  </si>
  <si>
    <t>预录单</t>
    <phoneticPr fontId="2" type="noConversion"/>
  </si>
  <si>
    <t>放行单</t>
    <phoneticPr fontId="2" type="noConversion"/>
  </si>
  <si>
    <t>电放提单</t>
    <phoneticPr fontId="2" type="noConversion"/>
  </si>
  <si>
    <t>主单号</t>
    <phoneticPr fontId="2" type="noConversion"/>
  </si>
  <si>
    <t>移到打托书里面去</t>
    <phoneticPr fontId="2" type="noConversion"/>
  </si>
  <si>
    <t>YJCSHAN1905340</t>
    <phoneticPr fontId="2" type="noConversion"/>
  </si>
  <si>
    <t>DJSCSHB2EE91544T</t>
    <phoneticPr fontId="2" type="noConversion"/>
  </si>
  <si>
    <t>MCC PARTS</t>
    <phoneticPr fontId="2" type="noConversion"/>
  </si>
  <si>
    <t>YJCSHAN1905405</t>
    <phoneticPr fontId="2" type="noConversion"/>
  </si>
  <si>
    <t>DJSCSHBMSE90844H</t>
    <phoneticPr fontId="2" type="noConversion"/>
  </si>
  <si>
    <t>ESCL SYSTEM
CLAMP</t>
    <phoneticPr fontId="2" type="noConversion"/>
  </si>
  <si>
    <t>YJCSHAN1905047</t>
    <phoneticPr fontId="2" type="noConversion"/>
  </si>
  <si>
    <t>DJSCSHB2EE91544H</t>
    <phoneticPr fontId="2" type="noConversion"/>
  </si>
  <si>
    <t>ROTARY COMPRESSOR</t>
    <phoneticPr fontId="2" type="noConversion"/>
  </si>
  <si>
    <t>YJCSHAN1905072</t>
    <phoneticPr fontId="2" type="noConversion"/>
  </si>
  <si>
    <t>DJSCSHB2EE91544C</t>
    <phoneticPr fontId="2" type="noConversion"/>
  </si>
  <si>
    <t>BALL BEARING</t>
    <phoneticPr fontId="2" type="noConversion"/>
  </si>
  <si>
    <t>YJCSHAN1905051</t>
    <phoneticPr fontId="2" type="noConversion"/>
  </si>
  <si>
    <t>DJSCSHB2EE91544B</t>
    <phoneticPr fontId="2" type="noConversion"/>
  </si>
  <si>
    <t>REACTOR</t>
    <phoneticPr fontId="2" type="noConversion"/>
  </si>
  <si>
    <t>YJCSHAN1905361</t>
    <phoneticPr fontId="2" type="noConversion"/>
  </si>
  <si>
    <t>DJSCSHB2EE91544V</t>
    <phoneticPr fontId="2" type="noConversion"/>
  </si>
  <si>
    <t>LAGERUNG W166-1053462</t>
    <phoneticPr fontId="2" type="noConversion"/>
  </si>
  <si>
    <t>YJCSHAN1905199</t>
    <phoneticPr fontId="2" type="noConversion"/>
  </si>
  <si>
    <t>DJSCSHB2EE91544W</t>
    <phoneticPr fontId="2" type="noConversion"/>
  </si>
  <si>
    <t>PET TENT</t>
    <phoneticPr fontId="2" type="noConversion"/>
  </si>
  <si>
    <t>DJSCSHB2EE91544F</t>
    <phoneticPr fontId="2" type="noConversion"/>
  </si>
  <si>
    <t>PET RETRACTABLE LEASH</t>
    <phoneticPr fontId="2" type="noConversion"/>
  </si>
  <si>
    <t>YJCSHAN1905314</t>
    <phoneticPr fontId="2" type="noConversion"/>
  </si>
  <si>
    <t>DJSCSHB2EE91544P</t>
    <phoneticPr fontId="2" type="noConversion"/>
  </si>
  <si>
    <t>COIL
ELECTRONIC EXPANSION VALUE</t>
    <phoneticPr fontId="2" type="noConversion"/>
  </si>
  <si>
    <t>YJCSHAN1905315</t>
    <phoneticPr fontId="2" type="noConversion"/>
  </si>
  <si>
    <t>DJSCSHB2EE91544Q</t>
    <phoneticPr fontId="2" type="noConversion"/>
  </si>
  <si>
    <t>COIL
CHARGE VALVE
SERVICE VALVE
SOLENOID VALVE
4 WAY REVERSING VALVE</t>
    <phoneticPr fontId="2" type="noConversion"/>
  </si>
  <si>
    <t>4 WAY REVERSING VALVE</t>
    <phoneticPr fontId="2" type="noConversion"/>
  </si>
  <si>
    <t>DJSCSHB2EE91544R</t>
  </si>
  <si>
    <t>YJCSHAN1905316</t>
  </si>
  <si>
    <t>STEPPING MOTOR</t>
  </si>
  <si>
    <t>DJSCSHB2EE91544J</t>
  </si>
  <si>
    <t>YJCSHAN1905278</t>
  </si>
  <si>
    <t>DJSCSHB2EE91544K</t>
  </si>
  <si>
    <t>YJCSHAN1905279</t>
  </si>
  <si>
    <t>DJSCSHB2EE91544L</t>
  </si>
  <si>
    <t>YJCSHAN1905280</t>
  </si>
  <si>
    <t>ASSY TUBE-TRIPOD
ASSY TUBE-TRIPOD BEND
ASSY TUBE U BEND-CONNECTOR
TUBE-B BEND
DISTRIBUTER AIR</t>
    <phoneticPr fontId="2" type="noConversion"/>
  </si>
  <si>
    <t>DJSCSHB2EE91544U</t>
  </si>
  <si>
    <t>YJCSHAN1905358</t>
  </si>
  <si>
    <t>DJSCSHB2EE91544S</t>
  </si>
  <si>
    <t>YJCSHAN1905322</t>
    <phoneticPr fontId="2" type="noConversion"/>
  </si>
  <si>
    <t>BEARING</t>
    <phoneticPr fontId="2" type="noConversion"/>
  </si>
  <si>
    <t>收发通、船名、航次、ETD、ETA、件及单位、毛、体、Term、PP/CC、唛头、描述（件毛体和唛头描述可以暂不管）
小代理单生成A单
对每一个单子，找到该发货人之前的单子，复制过来，更改件毛体、船名航次、船期、唛头品名，录入主单，保存。（非A单直接电放、Incoterms 不选、Freight Term PP；A单Incoterms根据面单显示的选，没有的问一下）
付款方式CC:EXW/FCA/FOB；PP:CIF/CNF/DAP/DDP/DDU
代理单直接电放</t>
    <phoneticPr fontId="2" type="noConversion"/>
  </si>
  <si>
    <t>DJSCSHB2EE91544A</t>
    <phoneticPr fontId="2" type="noConversion"/>
  </si>
  <si>
    <t>YJCSHAN1905089</t>
    <phoneticPr fontId="2" type="noConversion"/>
  </si>
  <si>
    <t>YJCSHAN1905090</t>
    <phoneticPr fontId="2" type="noConversion"/>
  </si>
  <si>
    <t>DJSCSHB2EE91544E</t>
    <phoneticPr fontId="2" type="noConversion"/>
  </si>
  <si>
    <t>DJSCSHB2EE91544D</t>
    <phoneticPr fontId="2" type="noConversion"/>
  </si>
  <si>
    <t>YJCSHAN1905271</t>
    <phoneticPr fontId="2" type="noConversion"/>
  </si>
  <si>
    <t>DJSCSHB2EE91544G</t>
    <phoneticPr fontId="2" type="noConversion"/>
  </si>
  <si>
    <t>YJCSHAN1905299</t>
    <phoneticPr fontId="2" type="noConversion"/>
  </si>
  <si>
    <t>YJCSHAN1905311</t>
    <phoneticPr fontId="2" type="noConversion"/>
  </si>
  <si>
    <t>DJSCSHB2EE91544M</t>
    <phoneticPr fontId="2" type="noConversion"/>
  </si>
  <si>
    <t>DJSCSHB2EE91544N</t>
    <phoneticPr fontId="2" type="noConversion"/>
  </si>
  <si>
    <t>YJCSHAN1905313</t>
    <phoneticPr fontId="2" type="noConversion"/>
  </si>
  <si>
    <t>YJCSHAN1905385</t>
    <phoneticPr fontId="2" type="noConversion"/>
  </si>
  <si>
    <t>DJSCSHB2EE91544X</t>
    <phoneticPr fontId="2" type="noConversion"/>
  </si>
  <si>
    <t>YJCSHAN1905438</t>
    <phoneticPr fontId="2" type="noConversion"/>
  </si>
  <si>
    <t>DJSCSHB2EE91545A</t>
    <phoneticPr fontId="2" type="noConversion"/>
  </si>
  <si>
    <t>YJCSHAN1905440</t>
    <phoneticPr fontId="2" type="noConversion"/>
  </si>
  <si>
    <t>DJSCSHB2EE91545B</t>
    <phoneticPr fontId="2" type="noConversion"/>
  </si>
  <si>
    <t>YJCSHAN1905466</t>
    <phoneticPr fontId="2" type="noConversion"/>
  </si>
  <si>
    <t>DJSCSHB2EE91545C</t>
    <phoneticPr fontId="2" type="noConversion"/>
  </si>
  <si>
    <t>南通迪皮茜</t>
    <phoneticPr fontId="2" type="noConversion"/>
  </si>
  <si>
    <t>福州兜狗</t>
    <phoneticPr fontId="2" type="noConversion"/>
  </si>
  <si>
    <t>四川川虎</t>
    <phoneticPr fontId="2" type="noConversion"/>
  </si>
  <si>
    <t>索斯科</t>
    <phoneticPr fontId="2" type="noConversion"/>
  </si>
  <si>
    <t>武汉艾习司</t>
    <phoneticPr fontId="2" type="noConversion"/>
  </si>
  <si>
    <t>三花股份</t>
    <phoneticPr fontId="2" type="noConversion"/>
  </si>
  <si>
    <t>宁波达尔</t>
    <phoneticPr fontId="2" type="noConversion"/>
  </si>
  <si>
    <t>江苏韩亚</t>
    <phoneticPr fontId="2" type="noConversion"/>
  </si>
  <si>
    <t>满明</t>
    <phoneticPr fontId="2" type="noConversion"/>
  </si>
  <si>
    <t>无锡杰尚</t>
    <phoneticPr fontId="2" type="noConversion"/>
  </si>
  <si>
    <t>艾联</t>
    <phoneticPr fontId="2" type="noConversion"/>
  </si>
  <si>
    <t>马瑞利</t>
    <phoneticPr fontId="2" type="noConversion"/>
  </si>
  <si>
    <t>YJCSHAN1905402</t>
    <phoneticPr fontId="2" type="noConversion"/>
  </si>
  <si>
    <t>DJSCSHB2EE91544Y</t>
    <phoneticPr fontId="2" type="noConversion"/>
  </si>
  <si>
    <t>DJSCSHB2EE91544A</t>
  </si>
  <si>
    <t>DJSCSHB2EE91544X</t>
  </si>
  <si>
    <t>DJSCSHB2EE91544N</t>
  </si>
  <si>
    <t>YJCSHAN1905467</t>
    <phoneticPr fontId="2" type="noConversion"/>
  </si>
  <si>
    <t>DJSCSHB2EE91545D</t>
  </si>
  <si>
    <t>DJSCSHB2EE91545D</t>
    <phoneticPr fontId="2" type="noConversion"/>
  </si>
  <si>
    <t>DJSCSHB2EE91545C</t>
  </si>
  <si>
    <t>MAGNET R.S</t>
    <phoneticPr fontId="2" type="noConversion"/>
  </si>
  <si>
    <t>SWITCH-DIP
HEAT SINK</t>
    <phoneticPr fontId="2" type="noConversion"/>
  </si>
  <si>
    <t>CASSETTE-OPENING ROOF</t>
    <phoneticPr fontId="2" type="noConversion"/>
  </si>
  <si>
    <t>SEALING PARTS</t>
    <phoneticPr fontId="2" type="noConversion"/>
  </si>
  <si>
    <t>ELECTRONIC EXPANSION VALVE
COIL</t>
    <phoneticPr fontId="2" type="noConversion"/>
  </si>
  <si>
    <t>LOCK-HOOD</t>
    <phoneticPr fontId="2" type="noConversion"/>
  </si>
  <si>
    <t>LADIES ONE-PIECE
LADIES BLOUSE</t>
    <phoneticPr fontId="2" type="noConversion"/>
  </si>
  <si>
    <t>PUSH TO CLOSE LATCH
HINGES, CUSTOM
BATCH(ES)</t>
    <phoneticPr fontId="2" type="noConversion"/>
  </si>
  <si>
    <t>DJSCSHB2EE91545G</t>
  </si>
  <si>
    <t>DJSCSHB2EE91545G</t>
    <phoneticPr fontId="2" type="noConversion"/>
  </si>
  <si>
    <t>LAMP BULB HOLDER - REAR FENDER RH/LH</t>
    <phoneticPr fontId="2" type="noConversion"/>
  </si>
  <si>
    <t>DJSCSHB2EE91545E</t>
  </si>
  <si>
    <t>DJSCSHB2EE91545E</t>
    <phoneticPr fontId="2" type="noConversion"/>
  </si>
  <si>
    <t>BLACK BOILED
GREY BOILED</t>
    <phoneticPr fontId="2" type="noConversion"/>
  </si>
  <si>
    <t>LADIES WOVEN BLOUSE
LADIES WOVEN DRESS</t>
    <phoneticPr fontId="2" type="noConversion"/>
  </si>
  <si>
    <t>DJLU5156049</t>
    <phoneticPr fontId="2" type="noConversion"/>
  </si>
  <si>
    <t>DJSC719477</t>
    <phoneticPr fontId="2" type="noConversion"/>
  </si>
  <si>
    <t>1-40HQ</t>
    <phoneticPr fontId="2" type="noConversion"/>
  </si>
  <si>
    <t>阿尔卑斯</t>
    <phoneticPr fontId="2" type="noConversion"/>
  </si>
  <si>
    <t>YJCSHAN1905477</t>
    <phoneticPr fontId="2" type="noConversion"/>
  </si>
  <si>
    <t>DJSCSHB2EE91545F</t>
  </si>
  <si>
    <t>DJSCSHB2EE91545F</t>
    <phoneticPr fontId="2" type="noConversion"/>
  </si>
  <si>
    <t>森萨塔</t>
    <phoneticPr fontId="2" type="noConversion"/>
  </si>
  <si>
    <t>汇总</t>
  </si>
  <si>
    <t>YJCSHAN1905476A</t>
    <phoneticPr fontId="2" type="noConversion"/>
  </si>
  <si>
    <t>2-40HQ</t>
    <phoneticPr fontId="2" type="noConversion"/>
  </si>
  <si>
    <t>FCIU7084364</t>
    <phoneticPr fontId="2" type="noConversion"/>
  </si>
  <si>
    <t>719496</t>
    <phoneticPr fontId="2" type="noConversion"/>
  </si>
  <si>
    <t>3-40HQ</t>
    <phoneticPr fontId="2" type="noConversion"/>
  </si>
  <si>
    <t>DJLU5153163</t>
    <phoneticPr fontId="2" type="noConversion"/>
  </si>
  <si>
    <t>719414</t>
    <phoneticPr fontId="2" type="noConversion"/>
  </si>
  <si>
    <t>DJSCSHB2EE91544F</t>
  </si>
  <si>
    <t>DJSCSHB2EE91544G</t>
  </si>
  <si>
    <t>DJSCSHB2EE91544H</t>
  </si>
  <si>
    <t>DJSCSHB2EE91544Q</t>
  </si>
  <si>
    <t>DJSCSHB2EE91544T</t>
  </si>
  <si>
    <t>DJSCSHB2EE91544V</t>
  </si>
  <si>
    <t>DJSCSHB2EE91544W</t>
  </si>
  <si>
    <t>DJSCSHB2EE91544Y</t>
  </si>
  <si>
    <t>DJSCSHB2EE91545B</t>
  </si>
  <si>
    <t>DJSCSHB2EE91544C</t>
  </si>
  <si>
    <t>DJSCSHB2EE91544P</t>
  </si>
  <si>
    <t>DJSCSHB2EE91545A</t>
  </si>
  <si>
    <t>DJSCSHB2EE91544B</t>
  </si>
  <si>
    <t>DJSCSHB2EE91544D</t>
  </si>
  <si>
    <t>DJSCSHB2EE91544E</t>
  </si>
  <si>
    <t>DJSCSHB2EE91544M</t>
  </si>
  <si>
    <t>MINI ELEC KPR, STD W/ SWITCH &amp; OVERRIDE
BATCH(ES)
BAF &amp; CAF PP</t>
    <phoneticPr fontId="2" type="noConversion"/>
  </si>
  <si>
    <t>15CP3-27.81 PRESSURE TRANSDUCER 5000 EA
BAF &amp; CAF PP</t>
    <phoneticPr fontId="2" type="noConversion"/>
  </si>
  <si>
    <t>YJCSHAN190531301</t>
    <phoneticPr fontId="2" type="noConversion"/>
  </si>
  <si>
    <t>YJCSHAN190531302</t>
  </si>
  <si>
    <t>YJCSHAN190531303</t>
  </si>
  <si>
    <t>YJCSHAN190531304</t>
  </si>
  <si>
    <t>YJCSHAN190531305</t>
  </si>
  <si>
    <t>YJCSHAN190531306</t>
  </si>
  <si>
    <t>YJCSHAN190531307</t>
  </si>
  <si>
    <t>YJCSHAN190531308</t>
  </si>
  <si>
    <t>YJCSHAN190531309</t>
  </si>
  <si>
    <t>YJCSHAN190531310</t>
  </si>
  <si>
    <t>YJCSHAN190531311</t>
  </si>
  <si>
    <t>YJCSHAN190531312</t>
  </si>
  <si>
    <t>YJCSHAN190531313</t>
  </si>
  <si>
    <t>YJCSHAN190531314</t>
  </si>
  <si>
    <t>YJCSHAN190531315</t>
  </si>
  <si>
    <t>YJCSHAN190531316</t>
  </si>
  <si>
    <t>YJCSHAN190531317</t>
  </si>
  <si>
    <t>YJCSHAN190531318</t>
  </si>
  <si>
    <t>YJCSHAN190531319</t>
  </si>
  <si>
    <t>YJCSHAN190531320</t>
  </si>
  <si>
    <t>YJCSHAN190531321</t>
  </si>
  <si>
    <t>YJCSHAN190531322</t>
  </si>
  <si>
    <t>YJCSHAN190531323</t>
  </si>
  <si>
    <t>YJCSHAN190531324</t>
  </si>
  <si>
    <t>YJCSHAN190531325</t>
  </si>
  <si>
    <t>YJCSHAN190531326</t>
  </si>
  <si>
    <t>YJCSHAN190531327</t>
  </si>
  <si>
    <t>YJCSHAN190531328</t>
  </si>
  <si>
    <t>YJCSHAN190531329</t>
  </si>
  <si>
    <t>A</t>
    <phoneticPr fontId="2" type="noConversion"/>
  </si>
  <si>
    <t>并5199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</si>
</sst>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\/dd"/>
    <numFmt numFmtId="177" formatCode="m/dd"/>
    <numFmt numFmtId="178" formatCode="dd"/>
    <numFmt numFmtId="179" formatCode="[$-804]aaa;@"/>
    <numFmt numFmtId="180" formatCode="mmdd\ [$-804]aaa;@"/>
  </numFmts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2"/>
      <scheme val="minor"/>
    </font>
    <font>
      <sz val="11"/>
      <name val="微软雅黑"/>
      <family val="2"/>
      <charset val="134"/>
    </font>
    <font>
      <b/>
      <sz val="28"/>
      <color theme="0"/>
      <name val="等线 Light"/>
      <family val="2"/>
      <scheme val="major"/>
    </font>
    <font>
      <b/>
      <sz val="28"/>
      <color theme="0"/>
      <name val="微软雅黑"/>
      <family val="2"/>
      <charset val="134"/>
    </font>
    <font>
      <sz val="36"/>
      <color theme="4" tint="-0.24994659260841701"/>
      <name val="等线"/>
      <family val="2"/>
      <scheme val="minor"/>
    </font>
    <font>
      <sz val="36"/>
      <color theme="4" tint="-0.2499465926084170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等线 Light"/>
      <family val="2"/>
      <scheme val="major"/>
    </font>
    <font>
      <b/>
      <sz val="11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16"/>
      <color theme="1"/>
      <name val="微软雅黑"/>
      <family val="2"/>
      <charset val="134"/>
    </font>
    <font>
      <sz val="11"/>
      <color theme="1"/>
      <name val="等线 Light"/>
      <family val="2"/>
      <scheme val="maj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Arial"/>
      <family val="2"/>
    </font>
    <font>
      <sz val="7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</font>
    <font>
      <i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4" fillId="0" borderId="0"/>
    <xf numFmtId="0" fontId="6" fillId="0" borderId="0" applyFill="0" applyBorder="0" applyProtection="0"/>
    <xf numFmtId="0" fontId="8" fillId="3" borderId="0" applyNumberFormat="0" applyBorder="0" applyProtection="0">
      <alignment horizontal="center"/>
    </xf>
    <xf numFmtId="0" fontId="10" fillId="0" borderId="0" applyNumberFormat="0" applyFill="0" applyProtection="0">
      <alignment horizontal="left" indent="3"/>
    </xf>
    <xf numFmtId="0" fontId="13" fillId="4" borderId="1" applyNumberFormat="0" applyProtection="0">
      <alignment horizontal="left" vertical="center" indent="1"/>
    </xf>
    <xf numFmtId="0" fontId="13" fillId="3" borderId="1" applyNumberFormat="0" applyProtection="0">
      <alignment horizontal="left" indent="1"/>
    </xf>
    <xf numFmtId="178" fontId="15" fillId="0" borderId="2" applyFill="0" applyProtection="0">
      <alignment horizontal="left" vertical="center" wrapText="1" indent="1"/>
    </xf>
    <xf numFmtId="178" fontId="17" fillId="0" borderId="4" applyFill="0" applyProtection="0">
      <alignment horizontal="left" vertical="top" wrapText="1" indent="1"/>
    </xf>
    <xf numFmtId="178" fontId="6" fillId="0" borderId="6" applyNumberFormat="0" applyFill="0" applyProtection="0">
      <alignment horizontal="left" vertical="center" wrapText="1" indent="1"/>
    </xf>
    <xf numFmtId="178" fontId="1" fillId="0" borderId="0" applyNumberFormat="0" applyFill="0" applyProtection="0">
      <alignment horizontal="left" vertical="top" wrapText="1" indent="1"/>
    </xf>
  </cellStyleXfs>
  <cellXfs count="101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7" fillId="2" borderId="0" xfId="2" applyFont="1" applyFill="1"/>
    <xf numFmtId="0" fontId="9" fillId="3" borderId="0" xfId="3" applyFont="1">
      <alignment horizontal="center"/>
    </xf>
    <xf numFmtId="0" fontId="11" fillId="0" borderId="0" xfId="4" applyFont="1">
      <alignment horizontal="left" indent="3"/>
    </xf>
    <xf numFmtId="0" fontId="7" fillId="0" borderId="0" xfId="2" applyFont="1"/>
    <xf numFmtId="0" fontId="12" fillId="0" borderId="0" xfId="2" applyFont="1"/>
    <xf numFmtId="0" fontId="14" fillId="4" borderId="1" xfId="5" applyFont="1">
      <alignment horizontal="left" vertical="center" indent="1"/>
    </xf>
    <xf numFmtId="30" fontId="14" fillId="3" borderId="1" xfId="6" applyNumberFormat="1" applyFont="1" applyAlignment="1">
      <alignment horizontal="left" vertical="center" indent="1"/>
    </xf>
    <xf numFmtId="0" fontId="14" fillId="3" borderId="1" xfId="6" applyFont="1" applyAlignment="1">
      <alignment horizontal="left" vertical="center" indent="1"/>
    </xf>
    <xf numFmtId="178" fontId="16" fillId="0" borderId="2" xfId="7" applyFont="1">
      <alignment horizontal="left" vertical="center" wrapText="1" indent="1"/>
    </xf>
    <xf numFmtId="178" fontId="16" fillId="0" borderId="3" xfId="7" applyFont="1" applyBorder="1">
      <alignment horizontal="left" vertical="center" wrapText="1" indent="1"/>
    </xf>
    <xf numFmtId="0" fontId="18" fillId="0" borderId="4" xfId="8" applyNumberFormat="1" applyFont="1">
      <alignment horizontal="left" vertical="top" wrapText="1" indent="1"/>
    </xf>
    <xf numFmtId="0" fontId="18" fillId="0" borderId="5" xfId="8" applyNumberFormat="1" applyFont="1" applyBorder="1">
      <alignment horizontal="left" vertical="top" wrapText="1" indent="1"/>
    </xf>
    <xf numFmtId="0" fontId="19" fillId="0" borderId="4" xfId="8" applyNumberFormat="1" applyFont="1">
      <alignment horizontal="left" vertical="top" wrapText="1" indent="1"/>
    </xf>
    <xf numFmtId="0" fontId="21" fillId="0" borderId="4" xfId="8" applyNumberFormat="1" applyFont="1">
      <alignment horizontal="left" vertical="top" wrapText="1" indent="1"/>
    </xf>
    <xf numFmtId="14" fontId="11" fillId="0" borderId="0" xfId="4" applyNumberFormat="1" applyFont="1">
      <alignment horizontal="left" indent="3"/>
    </xf>
    <xf numFmtId="0" fontId="18" fillId="0" borderId="7" xfId="8" applyNumberFormat="1" applyFont="1" applyBorder="1">
      <alignment horizontal="left" vertical="top" wrapText="1" indent="1"/>
    </xf>
    <xf numFmtId="0" fontId="24" fillId="0" borderId="0" xfId="1" applyFont="1"/>
    <xf numFmtId="177" fontId="24" fillId="0" borderId="0" xfId="1" applyNumberFormat="1" applyFont="1" applyAlignment="1">
      <alignment vertical="top"/>
    </xf>
    <xf numFmtId="0" fontId="24" fillId="0" borderId="0" xfId="1" applyFont="1" applyAlignment="1">
      <alignment vertical="top"/>
    </xf>
    <xf numFmtId="0" fontId="24" fillId="0" borderId="0" xfId="1" applyFont="1" applyAlignment="1">
      <alignment vertical="top" wrapText="1"/>
    </xf>
    <xf numFmtId="49" fontId="24" fillId="0" borderId="0" xfId="1" applyNumberFormat="1" applyFont="1" applyAlignment="1">
      <alignment vertical="top"/>
    </xf>
    <xf numFmtId="0" fontId="26" fillId="5" borderId="8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7" fillId="0" borderId="0" xfId="1" applyFont="1" applyAlignment="1">
      <alignment vertical="top" wrapText="1"/>
    </xf>
    <xf numFmtId="0" fontId="25" fillId="0" borderId="0" xfId="1" applyFont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top"/>
    </xf>
    <xf numFmtId="0" fontId="0" fillId="6" borderId="8" xfId="0" applyFill="1" applyBorder="1" applyAlignment="1">
      <alignment vertical="center" wrapText="1"/>
    </xf>
    <xf numFmtId="0" fontId="0" fillId="6" borderId="10" xfId="0" applyFill="1" applyBorder="1" applyAlignment="1">
      <alignment horizontal="left" vertical="center" wrapText="1"/>
    </xf>
    <xf numFmtId="179" fontId="0" fillId="0" borderId="13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0" fontId="0" fillId="7" borderId="21" xfId="0" applyFill="1" applyBorder="1" applyAlignment="1">
      <alignment vertical="top" wrapText="1"/>
    </xf>
    <xf numFmtId="0" fontId="0" fillId="7" borderId="22" xfId="0" applyFill="1" applyBorder="1" applyAlignment="1">
      <alignment vertical="top"/>
    </xf>
    <xf numFmtId="0" fontId="0" fillId="7" borderId="20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0" fillId="7" borderId="20" xfId="0" applyFill="1" applyBorder="1" applyAlignment="1">
      <alignment vertical="center" wrapText="1"/>
    </xf>
    <xf numFmtId="0" fontId="0" fillId="7" borderId="21" xfId="0" applyFill="1" applyBorder="1" applyAlignment="1">
      <alignment horizontal="left" vertical="top"/>
    </xf>
    <xf numFmtId="0" fontId="29" fillId="0" borderId="0" xfId="1" applyFont="1" applyAlignment="1">
      <alignment vertical="top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80" fontId="0" fillId="0" borderId="26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textRotation="255"/>
    </xf>
    <xf numFmtId="0" fontId="0" fillId="0" borderId="32" xfId="0" applyBorder="1" applyAlignment="1">
      <alignment horizontal="center" textRotation="255"/>
    </xf>
    <xf numFmtId="0" fontId="0" fillId="0" borderId="24" xfId="0" applyBorder="1" applyAlignment="1">
      <alignment horizontal="center" textRotation="255"/>
    </xf>
    <xf numFmtId="0" fontId="0" fillId="0" borderId="35" xfId="0" applyBorder="1" applyAlignment="1">
      <alignment horizontal="center" textRotation="180"/>
    </xf>
    <xf numFmtId="0" fontId="0" fillId="0" borderId="23" xfId="0" applyBorder="1" applyAlignment="1">
      <alignment horizontal="center" textRotation="255"/>
    </xf>
    <xf numFmtId="0" fontId="0" fillId="0" borderId="24" xfId="0" applyBorder="1" applyAlignment="1">
      <alignment horizontal="center" textRotation="180"/>
    </xf>
    <xf numFmtId="0" fontId="0" fillId="0" borderId="32" xfId="0" applyBorder="1">
      <alignment vertical="center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49" fontId="24" fillId="0" borderId="0" xfId="1" quotePrefix="1" applyNumberFormat="1" applyFont="1" applyAlignment="1">
      <alignment vertical="top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7" borderId="18" xfId="0" applyFill="1" applyBorder="1" applyAlignment="1">
      <alignment horizontal="center" vertical="center" textRotation="255"/>
    </xf>
    <xf numFmtId="0" fontId="0" fillId="7" borderId="19" xfId="0" applyFill="1" applyBorder="1" applyAlignment="1">
      <alignment horizontal="center" vertical="center" textRotation="255"/>
    </xf>
    <xf numFmtId="0" fontId="18" fillId="0" borderId="0" xfId="10" applyNumberFormat="1" applyFont="1">
      <alignment horizontal="left" vertical="top" wrapText="1" indent="1"/>
    </xf>
    <xf numFmtId="0" fontId="7" fillId="0" borderId="6" xfId="9" applyNumberFormat="1" applyFont="1">
      <alignment horizontal="left" vertical="center" wrapText="1" indent="1"/>
    </xf>
    <xf numFmtId="178" fontId="7" fillId="0" borderId="6" xfId="9" applyFont="1">
      <alignment horizontal="left" vertical="center" wrapText="1" indent="1"/>
    </xf>
    <xf numFmtId="0" fontId="24" fillId="0" borderId="0" xfId="1" applyFont="1" applyFill="1" applyAlignment="1">
      <alignment vertical="top"/>
    </xf>
    <xf numFmtId="0" fontId="24" fillId="0" borderId="0" xfId="1" applyNumberFormat="1" applyFont="1" applyAlignment="1">
      <alignment vertical="top"/>
    </xf>
    <xf numFmtId="0" fontId="29" fillId="0" borderId="0" xfId="1" applyNumberFormat="1" applyFont="1" applyFill="1" applyAlignment="1">
      <alignment vertical="top"/>
    </xf>
    <xf numFmtId="49" fontId="24" fillId="0" borderId="0" xfId="1" applyNumberFormat="1" applyFont="1" applyFill="1" applyAlignment="1">
      <alignment vertical="top"/>
    </xf>
    <xf numFmtId="0" fontId="24" fillId="0" borderId="0" xfId="1" applyNumberFormat="1" applyFont="1" applyFill="1" applyAlignment="1">
      <alignment vertical="top"/>
    </xf>
    <xf numFmtId="0" fontId="27" fillId="0" borderId="0" xfId="1" applyNumberFormat="1" applyFont="1" applyFill="1" applyAlignment="1">
      <alignment vertical="top" wrapText="1"/>
    </xf>
    <xf numFmtId="0" fontId="30" fillId="0" borderId="0" xfId="0" applyFont="1">
      <alignment vertical="center"/>
    </xf>
    <xf numFmtId="0" fontId="30" fillId="0" borderId="0" xfId="0" applyFont="1" applyAlignment="1">
      <alignment vertical="center" wrapText="1"/>
    </xf>
  </cellXfs>
  <cellStyles count="11">
    <cellStyle name="备注" xfId="10" xr:uid="{DA155C3A-5E87-4B78-B06D-098E3540733C}"/>
    <cellStyle name="备注页眉" xfId="9" xr:uid="{9F8D3C41-0D92-4CB7-9DE6-25476C9F2C3F}"/>
    <cellStyle name="标题 1 2" xfId="4" xr:uid="{C3346117-91B3-4A50-B873-C8EF574C443A}"/>
    <cellStyle name="标题 2 2" xfId="5" xr:uid="{482797E8-BB0D-45FC-AD86-3D8F32FF1E87}"/>
    <cellStyle name="标题 3 2" xfId="6" xr:uid="{2AA04D50-DB4F-42DF-83BE-2C36C79A01B8}"/>
    <cellStyle name="标题 5" xfId="3" xr:uid="{52CE716C-8454-4DCB-A6D5-B8C0252EC2DA}"/>
    <cellStyle name="常规" xfId="0" builtinId="0"/>
    <cellStyle name="常规 2" xfId="1" xr:uid="{414346A9-6AB9-4556-9A81-DDE341BD9844}"/>
    <cellStyle name="常规 3" xfId="2" xr:uid="{75AD6792-55BD-47B2-8945-57AB3C44B3C3}"/>
    <cellStyle name="天" xfId="7" xr:uid="{0B75A525-778E-4DF0-BC95-B8BF47A96A1D}"/>
    <cellStyle name="天详细信息" xfId="8" xr:uid="{F308FF7A-C791-4B39-B4DB-FE3590E035AA}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family val="3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auto="1"/>
        <name val="等线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numFmt numFmtId="177" formatCode="m/dd"/>
      <alignment horizontal="general" vertical="top" textRotation="0" indent="0" justifyLastLine="0" shrinkToFit="0" readingOrder="0"/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b/>
        <i val="0"/>
        <color rgb="FFFF0000"/>
      </font>
    </dxf>
    <dxf>
      <font>
        <b/>
        <i val="0"/>
        <strike val="0"/>
        <u val="none"/>
        <color auto="1"/>
      </font>
      <numFmt numFmtId="181" formatCode="[$-804]aaaa;@"/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30" formatCode="@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等线"/>
        <family val="3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等线"/>
        <family val="3"/>
        <charset val="134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numFmt numFmtId="0" formatCode="General"/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none"/>
      </font>
    </dxf>
    <dxf>
      <alignment horizontal="general" vertical="center" textRotation="0" wrapText="1" indent="0" justifyLastLine="0" shrinkToFit="0" readingOrder="0"/>
    </dxf>
    <dxf>
      <numFmt numFmtId="176" formatCode="mm\/dd"/>
    </dxf>
    <dxf>
      <border diagonalUp="0" diagonalDown="0">
        <left style="hair">
          <color indexed="64"/>
        </left>
        <right/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thick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/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 style="hair">
          <color indexed="64"/>
        </vertical>
        <horizontal style="thin">
          <color indexed="64"/>
        </horizontal>
      </border>
    </dxf>
    <dxf>
      <border diagonalUp="0" diagonalDown="0">
        <left style="thick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/>
        <right style="hair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 val="0"/>
      </font>
    </dxf>
    <dxf>
      <font>
        <b val="0"/>
      </font>
      <numFmt numFmtId="0" formatCode="General"/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2101BE-3ED4-42DE-A0CA-6AD6F2B1DC3E}" name="表3_5" displayName="表3_5" ref="A1:F106" totalsRowShown="0" dataDxfId="113">
  <autoFilter ref="A1:F106" xr:uid="{00000000-0009-0000-0100-000003000000}"/>
  <sortState ref="A2:F106">
    <sortCondition ref="B2:B84"/>
    <sortCondition ref="C2:C84"/>
  </sortState>
  <tableColumns count="6">
    <tableColumn id="6" xr3:uid="{3D5A787D-F780-440C-81B4-5674708A1C7F}" name="D" dataDxfId="112"/>
    <tableColumn id="5" xr3:uid="{C7F3DA97-261E-480D-A067-F2FC2AA8B498}" name="A" dataDxfId="111"/>
    <tableColumn id="2" xr3:uid="{341BD24A-034A-4D1A-82F7-17A69E993EF1}" name="抬头" dataDxfId="110"/>
    <tableColumn id="7" xr3:uid="{FDDCF282-7AFF-4C50-86E9-8A67C703350D}" name="R" dataDxfId="109"/>
    <tableColumn id="3" xr3:uid="{D2A1E712-075F-415C-86BA-A93CD907F2AD}" name="联系邮箱" dataDxfId="108"/>
    <tableColumn id="1" xr3:uid="{2310B997-3622-44D6-9076-EF5CC7A651BA}" name="抄送" dataDxfId="10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498651-5F00-4977-B9C8-E6D9916A01EB}" name="Table25" displayName="Table25" ref="H1:I9" totalsRowShown="0">
  <autoFilter ref="H1:I9" xr:uid="{4363D2D8-D4C9-472C-A88D-D27D414AFAED}"/>
  <tableColumns count="2">
    <tableColumn id="1" xr3:uid="{F258A2CC-47B8-4A5B-AD01-F1A00079AB77}" name="数字"/>
    <tableColumn id="2" xr3:uid="{75522B77-3BE8-482E-B197-59080DCB3741}" name="字母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80575C-E711-4F78-9FEC-3A860B3A2F21}" name="表1_6" displayName="表1_6" ref="K1:M9" totalsRowShown="0">
  <autoFilter ref="K1:M9" xr:uid="{BF3253F9-E73E-4731-85A0-0E7D14B05400}"/>
  <tableColumns count="3">
    <tableColumn id="1" xr3:uid="{0539007B-4306-477B-9CE7-EF5E8B75B948}" name="抬头"/>
    <tableColumn id="2" xr3:uid="{3EFDF709-E877-41B2-9B44-4F6FA74C770A}" name="群"/>
    <tableColumn id="3" xr3:uid="{09D0FC7D-D7FB-4C07-B4D2-344D96CDEE00}" name="备注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096F9F-2192-415E-B9BC-C17196BDE29A}" name="表8" displayName="表8" ref="A1:AC12" totalsRowShown="0" headerRowDxfId="106" headerRowBorderDxfId="105" tableBorderDxfId="104" totalsRowBorderDxfId="103">
  <tableColumns count="29">
    <tableColumn id="1" xr3:uid="{7AC9CD5A-9EE8-471C-942F-2B7D241BE98E}" name="ETD" dataDxfId="102"/>
    <tableColumn id="2" xr3:uid="{5D5FE0C3-673B-46E7-B90D-CE9331131352}" name="船名航次" dataDxfId="101"/>
    <tableColumn id="3" xr3:uid="{F3B0D7F4-A4F3-47B1-8436-758E76B5849F}" name="主单号" dataDxfId="100"/>
    <tableColumn id="4" xr3:uid="{B7342A01-41E0-4333-B0C3-16373542E3A4}" name="品名表" dataDxfId="99"/>
    <tableColumn id="5" xr3:uid="{F1CE3A7E-AFA8-4685-81D6-84E8A74716C7}" name="振华加拼" dataDxfId="98"/>
    <tableColumn id="6" xr3:uid="{14550EC1-B127-4E99-BE2A-5AEE5103CD8A}" name="振华保函" dataDxfId="97"/>
    <tableColumn id="7" xr3:uid="{7E3979A0-EFA7-4B98-9E54-9B83B047FEE4}" name="振华舱单" dataDxfId="96"/>
    <tableColumn id="8" xr3:uid="{B30DDD07-52ED-4D5E-981F-A3C3F2EA5AFB}" name="振华并单" dataDxfId="95"/>
    <tableColumn id="9" xr3:uid="{D828BEEE-D8A1-4EC9-884C-C87252AB37AF}" name="振华VGM" dataDxfId="94"/>
    <tableColumn id="10" xr3:uid="{E6EE29DA-AD0D-47D4-B196-3A722A8215C2}" name="改数据" dataDxfId="93"/>
    <tableColumn id="11" xr3:uid="{10ACBB45-3511-4192-AE2B-9A064BCEAD58}" name="客户并单" dataDxfId="92"/>
    <tableColumn id="12" xr3:uid="{A76C18F9-3986-45B8-AB84-7A47FD86BBA8}" name="拉确认件" dataDxfId="91"/>
    <tableColumn id="13" xr3:uid="{B085D0F2-E4BF-4908-A6B2-D29349FA5613}" name="发确认件" dataDxfId="90"/>
    <tableColumn id="14" xr3:uid="{7F19E8BF-17DC-4B39-8A77-000FA5838C30}" name="小代并单" dataDxfId="89"/>
    <tableColumn id="16" xr3:uid="{032DBA9F-C1FB-418A-BE07-9E835D42CE86}" name="系统拼箱" dataDxfId="88"/>
    <tableColumn id="17" xr3:uid="{6E0FBABE-DA07-4529-A2B0-53D7FB61B787}" name="输箱封号" dataDxfId="87"/>
    <tableColumn id="19" xr3:uid="{4EFDC487-EBC6-4424-9677-19636F56269D}" name="箱单发票" dataDxfId="86"/>
    <tableColumn id="18" xr3:uid="{13AC9DA1-B493-438A-85C8-AA25382FE8C7}" name="确认提单" dataDxfId="85"/>
    <tableColumn id="20" xr3:uid="{2A0C06E0-7F53-4BA5-9D67-9C3EA74A3461}" name="系统电放" dataDxfId="84"/>
    <tableColumn id="21" xr3:uid="{E7E4E878-148E-4A3B-AACE-188D4BCBCDF6}" name="Esan EDI" dataDxfId="83"/>
    <tableColumn id="22" xr3:uid="{6FE723E3-40B0-4D13-8159-4F717F13BBC6}" name="SA" dataDxfId="82"/>
    <tableColumn id="23" xr3:uid="{D953132C-7968-47FC-AD9E-F0E034CE47F7}" name="HBL DN" dataDxfId="81"/>
    <tableColumn id="30" xr3:uid="{45B462C0-97A0-4279-8C2B-60E5E1804105}" name="小代资料" dataDxfId="80"/>
    <tableColumn id="24" xr3:uid="{08695C5E-2591-4DB6-B172-35700731C97C}" name="发Jenn" dataDxfId="79"/>
    <tableColumn id="25" xr3:uid="{E2FD4424-6437-46C9-9F2A-3DAEC653078F}" name="发小代理" dataDxfId="78"/>
    <tableColumn id="26" xr3:uid="{DABCD4B1-E387-41E4-9AD4-53E5653336A0}" name="船开" dataDxfId="77"/>
    <tableColumn id="27" xr3:uid="{BB669DBC-7A1C-4E89-A38C-B361E991862A}" name="改ATD" dataDxfId="76"/>
    <tableColumn id="28" xr3:uid="{69135E7D-D691-4279-AC4C-82F104DA0B01}" name="放单" dataDxfId="75"/>
    <tableColumn id="29" xr3:uid="{33D5E9F4-CE7B-474A-9D58-C5BE8F27FA98}" name="后序放单" dataDxfId="7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1" displayName="表1" ref="A1:C31" totalsRowShown="0">
  <autoFilter ref="A1:C31" xr:uid="{00000000-0009-0000-0100-000001000000}"/>
  <sortState ref="A2:C31">
    <sortCondition ref="A4"/>
  </sortState>
  <tableColumns count="3">
    <tableColumn id="1" xr3:uid="{00000000-0010-0000-0200-000001000000}" name="时间"/>
    <tableColumn id="3" xr3:uid="{00000000-0010-0000-0200-000003000000}" name="船期" dataDxfId="73"/>
    <tableColumn id="2" xr3:uid="{00000000-0010-0000-0200-000002000000}" name="摘要" dataDxfId="7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576D4F-2260-4CE3-AF3C-05CCB9F40521}" name="表1_8" displayName="表1_8" ref="B1:R184" totalsRowCount="1" headerRowDxfId="71" dataDxfId="70" totalsRowDxfId="69">
  <autoFilter ref="B1:R183" xr:uid="{00000000-0009-0000-0100-000001000000}">
    <filterColumn colId="0">
      <filters>
        <dateGroupItem year="2019" month="4" day="7" dateTimeGrouping="day"/>
      </filters>
    </filterColumn>
    <filterColumn colId="14">
      <filters>
        <filter val="3-40HQ"/>
      </filters>
    </filterColumn>
  </autoFilter>
  <sortState ref="B157:R180">
    <sortCondition ref="G159"/>
  </sortState>
  <tableColumns count="17">
    <tableColumn id="9" xr3:uid="{387C766E-956F-486E-B1A3-ADD7A10F9D06}" name="ETD" totalsRowLabel="汇总" dataDxfId="32" totalsRowDxfId="15"/>
    <tableColumn id="10" xr3:uid="{A2F4D6B1-43D9-4D5B-824E-909879A6C265}" name="序" dataDxfId="31" totalsRowDxfId="14"/>
    <tableColumn id="13" xr3:uid="{F9D1543A-6F48-4D76-8AAC-077005DBE427}" name="抬头" dataDxfId="30" totalsRowDxfId="13"/>
    <tableColumn id="21" xr3:uid="{0030B006-9125-46E1-A978-EDE0D15A66DD}" name="并单" dataDxfId="29" totalsRowDxfId="12" dataCellStyle="常规 2"/>
    <tableColumn id="17" xr3:uid="{CE036549-3EE0-4004-89F4-24B86B1AABF1}" name="客户编号" dataDxfId="28" totalsRowDxfId="11" dataCellStyle="常规 2"/>
    <tableColumn id="2" xr3:uid="{BCABE106-5900-4132-8864-670FD59DBE4B}" name="HOUSE B/L" dataDxfId="27" totalsRowDxfId="10"/>
    <tableColumn id="3" xr3:uid="{7AF27CF0-B290-4A8F-90D0-A98D55C05830}" name="MASTER B/L" dataDxfId="26" totalsRowDxfId="9"/>
    <tableColumn id="6" xr3:uid="{1F105FBF-9627-490A-991D-5F8F314D6C4E}" name="件" dataDxfId="25" totalsRowDxfId="8"/>
    <tableColumn id="7" xr3:uid="{D6E26964-6A54-4ABD-A766-800DA3E5C2ED}" name="毛" dataDxfId="24"/>
    <tableColumn id="8" xr3:uid="{A5950457-9DB4-4679-891D-4B33FF7419C4}" name="体" dataDxfId="23" totalsRowDxfId="7"/>
    <tableColumn id="15" xr3:uid="{4A68E359-64E4-4765-9989-042EB1178395}" name="实件" totalsRowFunction="sum" dataDxfId="22" totalsRowDxfId="6" dataCellStyle="常规 2"/>
    <tableColumn id="12" xr3:uid="{A139445D-1993-4FFB-A97C-0DE01635E6D1}" name="实毛" totalsRowFunction="sum" dataDxfId="21" totalsRowDxfId="5" dataCellStyle="常规 2"/>
    <tableColumn id="1" xr3:uid="{5A9C70B6-10C7-4191-A8FC-0DE5172107BB}" name="实体" totalsRowFunction="sum" dataDxfId="20" totalsRowDxfId="4" dataCellStyle="常规 2"/>
    <tableColumn id="11" xr3:uid="{D44AD4D4-710E-461B-AE5D-3F960C479C24}" name="品名" dataDxfId="19" totalsRowDxfId="3"/>
    <tableColumn id="14" xr3:uid="{12061551-DF5C-4A0C-9692-912D3BB85057}" name="编" dataDxfId="18" totalsRowDxfId="2" dataCellStyle="常规 2"/>
    <tableColumn id="4" xr3:uid="{CD7F8BE7-6D15-4993-9496-83EB67E08CC1}" name="箱号" dataDxfId="17" totalsRowDxfId="1" dataCellStyle="常规 2"/>
    <tableColumn id="5" xr3:uid="{CAEDC53B-FD22-46B5-8C92-D85CD468E6A8}" name="封号" dataDxfId="16" totalsRowDxfId="0" dataCellStyle="常规 2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FC211-99BD-4425-8B95-193043491A0E}" name="表2" displayName="表2" ref="T1:AE183" totalsRowShown="0" headerRowDxfId="68" dataDxfId="67" headerRowCellStyle="常规 2" dataCellStyle="常规 2">
  <autoFilter ref="T1:AE183" xr:uid="{A36B4A72-E487-46D5-84D6-C1CE759131EF}"/>
  <sortState ref="T109:AE124">
    <sortCondition ref="T120"/>
  </sortState>
  <tableColumns count="12">
    <tableColumn id="1" xr3:uid="{09177A61-7839-4782-928B-1ED7AC9A52AF}" name="客户编号" dataDxfId="66" dataCellStyle="常规 2">
      <calculatedColumnFormula>表1_8[[#This Row],[客户编号]]</calculatedColumnFormula>
    </tableColumn>
    <tableColumn id="2" xr3:uid="{B99D3218-4A88-43C4-8187-BC6B890B1D3E}" name="提单号" dataDxfId="65" dataCellStyle="常规 2">
      <calculatedColumnFormula>表1_8[[#This Row],[MASTER B/L]]</calculatedColumnFormula>
    </tableColumn>
    <tableColumn id="3" xr3:uid="{DF7E5739-C9E1-47B4-BC8C-463DD41CD7DA}" name="件" dataDxfId="64" dataCellStyle="常规 2">
      <calculatedColumnFormula>表1_8[[#This Row],[件]]</calculatedColumnFormula>
    </tableColumn>
    <tableColumn id="4" xr3:uid="{763BE850-AD9B-49BC-9888-97A4F878F96E}" name="毛" dataDxfId="63" dataCellStyle="常规 2">
      <calculatedColumnFormula>表1_8[[#This Row],[毛]]</calculatedColumnFormula>
    </tableColumn>
    <tableColumn id="5" xr3:uid="{08782030-CAAC-4CEB-B562-B03784561E90}" name="体" dataDxfId="62" dataCellStyle="常规 2">
      <calculatedColumnFormula>表1_8[[#This Row],[体]]</calculatedColumnFormula>
    </tableColumn>
    <tableColumn id="6" xr3:uid="{69E8C375-60B3-4C74-987A-1AF0357014D3}" name="品名" dataDxfId="61" dataCellStyle="常规 2">
      <calculatedColumnFormula>表1_8[[#This Row],[品名]]</calculatedColumnFormula>
    </tableColumn>
    <tableColumn id="12" xr3:uid="{DF000604-A04D-43CB-9A9E-2B509754DD48}" name="箱型" dataDxfId="60" dataCellStyle="常规 2">
      <calculatedColumnFormula>RIGHT(表1_8[[#This Row],[编]],4)</calculatedColumnFormula>
    </tableColumn>
    <tableColumn id="7" xr3:uid="{003062E3-8335-4226-8E64-E271C6E95D9F}" name="箱号" dataDxfId="59" dataCellStyle="常规 2">
      <calculatedColumnFormula>表1_8[[#This Row],[箱号]]</calculatedColumnFormula>
    </tableColumn>
    <tableColumn id="8" xr3:uid="{4450CF22-4F7A-40A5-B39A-CA87502C0E4B}" name="封号" dataDxfId="58" dataCellStyle="常规 2">
      <calculatedColumnFormula>表1_8[[#This Row],[封号]]</calculatedColumnFormula>
    </tableColumn>
    <tableColumn id="9" xr3:uid="{869F1F2C-F0AA-4D0D-839C-601FBC79588D}" name="件1" dataDxfId="57" dataCellStyle="常规 2">
      <calculatedColumnFormula>表2[[#This Row],[件]]</calculatedColumnFormula>
    </tableColumn>
    <tableColumn id="10" xr3:uid="{6D2F5671-0EEF-4E36-B813-AFDAD013B297}" name="毛1" dataDxfId="56" dataCellStyle="常规 2">
      <calculatedColumnFormula>表2[[#This Row],[毛]]</calculatedColumnFormula>
    </tableColumn>
    <tableColumn id="11" xr3:uid="{80BADF16-3F75-467F-BEBA-61F731F1760B}" name="体1" dataDxfId="55" dataCellStyle="常规 2">
      <calculatedColumnFormula>表2[[#This Row],[体]]</calculatedColumnFormula>
    </tableColumn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90D1B8-CF43-42BB-B87C-E1D196DCBE5F}" name="表3" displayName="表3" ref="AG1:AL183" totalsRowShown="0" headerRowDxfId="54" dataDxfId="53" headerRowCellStyle="常规 2" dataCellStyle="常规 2">
  <autoFilter ref="AG1:AL183" xr:uid="{67B45A0F-0BC6-46ED-AB8F-CC49DA400203}"/>
  <tableColumns count="6">
    <tableColumn id="1" xr3:uid="{8EC98EFE-748A-4FAC-93EC-ECBEFF574775}" name="提单号" dataDxfId="52" dataCellStyle="常规 2">
      <calculatedColumnFormula>表1_8[[#This Row],[HOUSE B/L]]</calculatedColumnFormula>
    </tableColumn>
    <tableColumn id="6" xr3:uid="{D53FD689-F536-4BA8-9B6F-0B2A89DAE9FE}" name="主单号" dataDxfId="51" dataCellStyle="常规 2">
      <calculatedColumnFormula>表1_8[[#This Row],[MASTER B/L]]</calculatedColumnFormula>
    </tableColumn>
    <tableColumn id="2" xr3:uid="{089248CB-A2AE-4578-A3FB-5C1528E9A353}" name="提单确认" dataDxfId="50" dataCellStyle="常规 2">
      <calculatedColumnFormula>"ETD"&amp;TEXT(表1_8[[#This Row],[ETD]],"mmdd")&amp;" "&amp;表1_8[[#This Row],[HOUSE B/L]]&amp;" "&amp;表1_8[[#This Row],[MASTER B/L]]&amp;" CHECK BL"</calculatedColumnFormula>
    </tableColumn>
    <tableColumn id="3" xr3:uid="{CAE9934F-19B5-466A-8160-702A71F365FB}" name="预录单" dataDxfId="49" dataCellStyle="常规 2">
      <calculatedColumnFormula>"ETD"&amp;TEXT(表1_8[[#This Row],[ETD]],"mmdd")&amp;" "&amp;表1_8[[#This Row],[HOUSE B/L]]&amp;" "&amp;表1_8[[#This Row],[MASTER B/L]]&amp;" 报关单"</calculatedColumnFormula>
    </tableColumn>
    <tableColumn id="4" xr3:uid="{485D415B-776B-4C7C-BF4D-AD9D927D68E7}" name="放行单" dataDxfId="48" dataCellStyle="常规 2">
      <calculatedColumnFormula>"ETD"&amp;TEXT(表1_8[[#This Row],[ETD]],"mmdd")&amp;" "&amp;表1_8[[#This Row],[HOUSE B/L]]&amp;" "&amp;表1_8[[#This Row],[MASTER B/L]]&amp;" 放行单"</calculatedColumnFormula>
    </tableColumn>
    <tableColumn id="5" xr3:uid="{413FCEFD-01D8-47C0-8774-7D1A6A8499A1}" name="电放提单" dataDxfId="47" dataCellStyle="常规 2">
      <calculatedColumnFormula>"ETD"&amp;TEXT(表1_8[[#This Row],[ETD]],"mmdd")&amp;" "&amp;表1_8[[#This Row],[HOUSE B/L]]&amp;" "&amp;表1_8[[#This Row],[MASTER B/L]]&amp;" SURRENDERED BL"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9F24-455A-436B-A2BF-5627C16E136F}">
  <dimension ref="A1:M106"/>
  <sheetViews>
    <sheetView workbookViewId="0">
      <pane ySplit="1" topLeftCell="A71" activePane="bottomLeft" state="frozen"/>
      <selection pane="bottomLeft" activeCell="E100" sqref="E100"/>
    </sheetView>
  </sheetViews>
  <sheetFormatPr defaultRowHeight="14.25" x14ac:dyDescent="0.2"/>
  <cols>
    <col min="1" max="1" width="4.875" bestFit="1" customWidth="1"/>
    <col min="2" max="2" width="4.75" bestFit="1" customWidth="1"/>
    <col min="3" max="3" width="20" bestFit="1" customWidth="1"/>
    <col min="4" max="4" width="4.625" bestFit="1" customWidth="1"/>
    <col min="5" max="5" width="50.25" bestFit="1" customWidth="1"/>
    <col min="6" max="6" width="26.75" bestFit="1" customWidth="1"/>
    <col min="8" max="9" width="7.25" bestFit="1" customWidth="1"/>
    <col min="11" max="11" width="13" bestFit="1" customWidth="1"/>
    <col min="12" max="12" width="16.5" bestFit="1" customWidth="1"/>
    <col min="13" max="13" width="13.875" bestFit="1" customWidth="1"/>
  </cols>
  <sheetData>
    <row r="1" spans="1:13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437</v>
      </c>
      <c r="H1" t="s">
        <v>25</v>
      </c>
      <c r="I1" t="s">
        <v>26</v>
      </c>
      <c r="K1" t="s">
        <v>27</v>
      </c>
      <c r="L1" t="s">
        <v>28</v>
      </c>
      <c r="M1" t="s">
        <v>29</v>
      </c>
    </row>
    <row r="2" spans="1:13" x14ac:dyDescent="0.2">
      <c r="A2" s="4">
        <v>2</v>
      </c>
      <c r="B2" s="4" t="s">
        <v>30</v>
      </c>
      <c r="C2" s="4" t="s">
        <v>31</v>
      </c>
      <c r="D2" s="4" t="s">
        <v>32</v>
      </c>
      <c r="E2" s="4" t="s">
        <v>33</v>
      </c>
      <c r="H2">
        <v>2</v>
      </c>
      <c r="I2" t="s">
        <v>34</v>
      </c>
      <c r="K2" t="s">
        <v>35</v>
      </c>
      <c r="L2" t="s">
        <v>36</v>
      </c>
      <c r="M2" t="s">
        <v>37</v>
      </c>
    </row>
    <row r="3" spans="1:13" x14ac:dyDescent="0.2">
      <c r="A3" s="4">
        <v>2</v>
      </c>
      <c r="B3" s="4" t="s">
        <v>30</v>
      </c>
      <c r="C3" s="4" t="s">
        <v>38</v>
      </c>
      <c r="D3" s="4" t="s">
        <v>32</v>
      </c>
      <c r="E3" s="4" t="s">
        <v>39</v>
      </c>
      <c r="H3">
        <v>3</v>
      </c>
      <c r="I3" t="s">
        <v>40</v>
      </c>
      <c r="K3" t="s">
        <v>41</v>
      </c>
      <c r="L3" t="s">
        <v>42</v>
      </c>
      <c r="M3" t="s">
        <v>43</v>
      </c>
    </row>
    <row r="4" spans="1:13" x14ac:dyDescent="0.2">
      <c r="A4" s="4">
        <v>2</v>
      </c>
      <c r="B4" s="4" t="s">
        <v>30</v>
      </c>
      <c r="C4" s="4" t="s">
        <v>44</v>
      </c>
      <c r="D4" s="4" t="s">
        <v>32</v>
      </c>
      <c r="E4" s="4" t="s">
        <v>45</v>
      </c>
      <c r="H4">
        <v>4</v>
      </c>
      <c r="I4" t="s">
        <v>46</v>
      </c>
      <c r="K4" t="s">
        <v>47</v>
      </c>
      <c r="L4" t="s">
        <v>48</v>
      </c>
      <c r="M4" t="s">
        <v>43</v>
      </c>
    </row>
    <row r="5" spans="1:13" x14ac:dyDescent="0.2">
      <c r="A5" s="4">
        <v>2</v>
      </c>
      <c r="B5" t="s">
        <v>30</v>
      </c>
      <c r="C5" s="4" t="s">
        <v>49</v>
      </c>
      <c r="D5" s="4" t="s">
        <v>32</v>
      </c>
      <c r="H5">
        <v>5</v>
      </c>
      <c r="I5" t="s">
        <v>50</v>
      </c>
      <c r="K5" t="s">
        <v>51</v>
      </c>
      <c r="L5" t="s">
        <v>52</v>
      </c>
      <c r="M5" t="s">
        <v>43</v>
      </c>
    </row>
    <row r="6" spans="1:13" x14ac:dyDescent="0.2">
      <c r="A6" s="4">
        <v>2</v>
      </c>
      <c r="B6" t="s">
        <v>53</v>
      </c>
      <c r="C6" s="4" t="s">
        <v>54</v>
      </c>
      <c r="H6">
        <v>6</v>
      </c>
      <c r="I6" t="s">
        <v>55</v>
      </c>
      <c r="K6" t="s">
        <v>56</v>
      </c>
      <c r="L6" t="s">
        <v>57</v>
      </c>
      <c r="M6" t="s">
        <v>43</v>
      </c>
    </row>
    <row r="7" spans="1:13" x14ac:dyDescent="0.2">
      <c r="A7">
        <v>2</v>
      </c>
      <c r="B7" t="s">
        <v>58</v>
      </c>
      <c r="C7" s="4" t="s">
        <v>59</v>
      </c>
      <c r="D7" s="4" t="s">
        <v>521</v>
      </c>
      <c r="H7">
        <v>7</v>
      </c>
      <c r="I7" t="s">
        <v>60</v>
      </c>
      <c r="K7" t="s">
        <v>61</v>
      </c>
      <c r="L7" t="s">
        <v>62</v>
      </c>
      <c r="M7" t="s">
        <v>63</v>
      </c>
    </row>
    <row r="8" spans="1:13" x14ac:dyDescent="0.2">
      <c r="A8" s="4">
        <v>2</v>
      </c>
      <c r="B8" s="4" t="s">
        <v>53</v>
      </c>
      <c r="C8" s="4" t="s">
        <v>64</v>
      </c>
      <c r="D8" s="4" t="s">
        <v>32</v>
      </c>
      <c r="E8" s="4" t="s">
        <v>65</v>
      </c>
      <c r="H8">
        <v>8</v>
      </c>
      <c r="I8" t="s">
        <v>66</v>
      </c>
      <c r="K8" t="s">
        <v>67</v>
      </c>
      <c r="M8" t="s">
        <v>63</v>
      </c>
    </row>
    <row r="9" spans="1:13" x14ac:dyDescent="0.2">
      <c r="A9" s="4">
        <v>2</v>
      </c>
      <c r="B9" t="s">
        <v>58</v>
      </c>
      <c r="C9" s="4" t="s">
        <v>68</v>
      </c>
      <c r="D9" s="4" t="s">
        <v>32</v>
      </c>
      <c r="H9">
        <v>9</v>
      </c>
      <c r="I9" t="s">
        <v>69</v>
      </c>
      <c r="K9" t="s">
        <v>70</v>
      </c>
      <c r="M9" t="s">
        <v>63</v>
      </c>
    </row>
    <row r="10" spans="1:13" x14ac:dyDescent="0.2">
      <c r="A10" s="4">
        <v>2</v>
      </c>
      <c r="B10" t="s">
        <v>71</v>
      </c>
      <c r="C10" s="4" t="s">
        <v>72</v>
      </c>
    </row>
    <row r="11" spans="1:13" x14ac:dyDescent="0.2">
      <c r="A11" s="4">
        <v>2</v>
      </c>
      <c r="B11" s="4" t="s">
        <v>71</v>
      </c>
      <c r="C11" s="4" t="s">
        <v>73</v>
      </c>
      <c r="D11" s="4" t="s">
        <v>32</v>
      </c>
      <c r="E11" s="4" t="s">
        <v>74</v>
      </c>
    </row>
    <row r="12" spans="1:13" x14ac:dyDescent="0.2">
      <c r="A12" s="4">
        <v>2</v>
      </c>
      <c r="B12" s="4" t="s">
        <v>71</v>
      </c>
      <c r="C12" s="4" t="s">
        <v>75</v>
      </c>
      <c r="D12" s="4" t="s">
        <v>32</v>
      </c>
      <c r="E12" s="4" t="s">
        <v>76</v>
      </c>
    </row>
    <row r="13" spans="1:13" x14ac:dyDescent="0.2">
      <c r="A13">
        <v>3</v>
      </c>
      <c r="B13" t="s">
        <v>451</v>
      </c>
      <c r="C13" s="4" t="s">
        <v>525</v>
      </c>
      <c r="D13" s="4" t="s">
        <v>442</v>
      </c>
    </row>
    <row r="14" spans="1:13" x14ac:dyDescent="0.2">
      <c r="A14">
        <v>3</v>
      </c>
      <c r="B14" t="s">
        <v>20</v>
      </c>
      <c r="C14" s="4" t="s">
        <v>78</v>
      </c>
      <c r="D14" s="4" t="s">
        <v>32</v>
      </c>
      <c r="E14" t="s">
        <v>79</v>
      </c>
    </row>
    <row r="15" spans="1:13" x14ac:dyDescent="0.2">
      <c r="A15" s="4">
        <v>3</v>
      </c>
      <c r="B15" s="4" t="s">
        <v>77</v>
      </c>
      <c r="C15" s="4" t="s">
        <v>80</v>
      </c>
      <c r="D15" s="4" t="s">
        <v>32</v>
      </c>
      <c r="E15" s="4" t="s">
        <v>81</v>
      </c>
    </row>
    <row r="16" spans="1:13" x14ac:dyDescent="0.2">
      <c r="A16" s="4">
        <v>3</v>
      </c>
      <c r="B16" s="4" t="s">
        <v>77</v>
      </c>
      <c r="C16" s="4" t="s">
        <v>82</v>
      </c>
      <c r="D16" s="4" t="s">
        <v>32</v>
      </c>
      <c r="E16" s="4" t="s">
        <v>83</v>
      </c>
    </row>
    <row r="17" spans="1:6" x14ac:dyDescent="0.2">
      <c r="A17" s="4">
        <v>3</v>
      </c>
      <c r="B17" s="4" t="s">
        <v>77</v>
      </c>
      <c r="C17" s="4" t="s">
        <v>84</v>
      </c>
      <c r="D17" s="4" t="s">
        <v>32</v>
      </c>
      <c r="E17" s="4" t="s">
        <v>85</v>
      </c>
    </row>
    <row r="18" spans="1:6" x14ac:dyDescent="0.2">
      <c r="A18" s="4">
        <v>3</v>
      </c>
      <c r="B18" s="4" t="s">
        <v>77</v>
      </c>
      <c r="C18" s="4" t="s">
        <v>86</v>
      </c>
      <c r="D18" s="4" t="s">
        <v>32</v>
      </c>
      <c r="E18" s="4" t="s">
        <v>87</v>
      </c>
    </row>
    <row r="19" spans="1:6" x14ac:dyDescent="0.2">
      <c r="A19">
        <v>3</v>
      </c>
      <c r="B19" t="s">
        <v>745</v>
      </c>
      <c r="C19" t="s">
        <v>746</v>
      </c>
      <c r="D19" s="4" t="s">
        <v>739</v>
      </c>
    </row>
    <row r="20" spans="1:6" x14ac:dyDescent="0.2">
      <c r="A20">
        <v>3</v>
      </c>
      <c r="B20" t="s">
        <v>451</v>
      </c>
      <c r="C20" s="4" t="s">
        <v>441</v>
      </c>
      <c r="D20" s="4" t="s">
        <v>442</v>
      </c>
    </row>
    <row r="21" spans="1:6" x14ac:dyDescent="0.2">
      <c r="A21" s="4">
        <v>3</v>
      </c>
      <c r="B21" s="4" t="s">
        <v>77</v>
      </c>
      <c r="C21" s="4" t="s">
        <v>88</v>
      </c>
      <c r="D21" s="4" t="s">
        <v>32</v>
      </c>
      <c r="E21" s="4" t="s">
        <v>89</v>
      </c>
    </row>
    <row r="22" spans="1:6" x14ac:dyDescent="0.2">
      <c r="A22" s="4">
        <v>3</v>
      </c>
      <c r="B22" s="4" t="s">
        <v>77</v>
      </c>
      <c r="C22" s="4" t="s">
        <v>90</v>
      </c>
      <c r="D22" s="4" t="s">
        <v>32</v>
      </c>
      <c r="E22" s="4" t="s">
        <v>91</v>
      </c>
    </row>
    <row r="23" spans="1:6" x14ac:dyDescent="0.2">
      <c r="A23">
        <v>3</v>
      </c>
      <c r="B23" t="s">
        <v>20</v>
      </c>
      <c r="C23" s="4" t="s">
        <v>92</v>
      </c>
      <c r="D23" s="4" t="s">
        <v>32</v>
      </c>
      <c r="E23" t="s">
        <v>439</v>
      </c>
      <c r="F23" t="s">
        <v>438</v>
      </c>
    </row>
    <row r="24" spans="1:6" x14ac:dyDescent="0.2">
      <c r="A24" s="4">
        <v>3</v>
      </c>
      <c r="B24" s="4" t="s">
        <v>77</v>
      </c>
      <c r="C24" s="4" t="s">
        <v>93</v>
      </c>
      <c r="D24" s="4" t="s">
        <v>32</v>
      </c>
      <c r="E24" s="4" t="s">
        <v>94</v>
      </c>
    </row>
    <row r="25" spans="1:6" x14ac:dyDescent="0.2">
      <c r="A25" s="4">
        <v>3</v>
      </c>
      <c r="B25" s="4" t="s">
        <v>77</v>
      </c>
      <c r="C25" s="4" t="s">
        <v>95</v>
      </c>
      <c r="D25" s="4" t="s">
        <v>32</v>
      </c>
      <c r="E25" s="4" t="s">
        <v>96</v>
      </c>
    </row>
    <row r="26" spans="1:6" x14ac:dyDescent="0.2">
      <c r="A26">
        <v>3</v>
      </c>
      <c r="B26" t="s">
        <v>756</v>
      </c>
      <c r="C26" t="s">
        <v>757</v>
      </c>
      <c r="D26" s="4" t="s">
        <v>739</v>
      </c>
    </row>
    <row r="27" spans="1:6" x14ac:dyDescent="0.2">
      <c r="A27" s="4">
        <v>3</v>
      </c>
      <c r="B27" t="s">
        <v>97</v>
      </c>
      <c r="C27" s="4" t="s">
        <v>98</v>
      </c>
      <c r="D27" t="s">
        <v>739</v>
      </c>
    </row>
    <row r="28" spans="1:6" x14ac:dyDescent="0.2">
      <c r="A28" s="4">
        <v>3</v>
      </c>
      <c r="B28" s="4" t="s">
        <v>97</v>
      </c>
      <c r="C28" s="4" t="s">
        <v>99</v>
      </c>
      <c r="D28" s="4" t="s">
        <v>32</v>
      </c>
      <c r="E28" s="4" t="s">
        <v>100</v>
      </c>
    </row>
    <row r="29" spans="1:6" x14ac:dyDescent="0.2">
      <c r="A29">
        <v>3</v>
      </c>
      <c r="B29" t="s">
        <v>741</v>
      </c>
      <c r="C29" t="s">
        <v>749</v>
      </c>
      <c r="D29" s="4" t="s">
        <v>739</v>
      </c>
    </row>
    <row r="30" spans="1:6" x14ac:dyDescent="0.2">
      <c r="A30">
        <v>3</v>
      </c>
      <c r="B30" t="s">
        <v>741</v>
      </c>
      <c r="C30" t="s">
        <v>684</v>
      </c>
      <c r="D30" s="4" t="s">
        <v>739</v>
      </c>
    </row>
    <row r="31" spans="1:6" x14ac:dyDescent="0.2">
      <c r="A31" s="4">
        <v>3</v>
      </c>
      <c r="B31" s="4" t="s">
        <v>97</v>
      </c>
      <c r="C31" s="4" t="s">
        <v>101</v>
      </c>
      <c r="D31" s="4" t="s">
        <v>32</v>
      </c>
      <c r="E31" s="4" t="s">
        <v>102</v>
      </c>
    </row>
    <row r="32" spans="1:6" x14ac:dyDescent="0.2">
      <c r="A32">
        <v>4</v>
      </c>
      <c r="B32" t="s">
        <v>738</v>
      </c>
      <c r="C32" t="s">
        <v>690</v>
      </c>
      <c r="D32" s="4" t="s">
        <v>739</v>
      </c>
    </row>
    <row r="33" spans="1:5" x14ac:dyDescent="0.2">
      <c r="A33">
        <v>4</v>
      </c>
      <c r="B33" t="s">
        <v>448</v>
      </c>
      <c r="C33" s="4" t="s">
        <v>447</v>
      </c>
      <c r="D33" s="4" t="s">
        <v>32</v>
      </c>
      <c r="E33" t="s">
        <v>529</v>
      </c>
    </row>
    <row r="34" spans="1:5" x14ac:dyDescent="0.2">
      <c r="A34">
        <v>4</v>
      </c>
      <c r="B34" t="s">
        <v>103</v>
      </c>
      <c r="C34" s="4" t="s">
        <v>104</v>
      </c>
      <c r="D34" s="4" t="s">
        <v>521</v>
      </c>
      <c r="E34" t="s">
        <v>526</v>
      </c>
    </row>
    <row r="35" spans="1:5" x14ac:dyDescent="0.2">
      <c r="A35" s="4">
        <v>4</v>
      </c>
      <c r="B35" s="4" t="s">
        <v>105</v>
      </c>
      <c r="C35" s="4" t="s">
        <v>106</v>
      </c>
      <c r="D35" s="4" t="s">
        <v>32</v>
      </c>
      <c r="E35" s="4" t="s">
        <v>107</v>
      </c>
    </row>
    <row r="36" spans="1:5" x14ac:dyDescent="0.2">
      <c r="A36" s="4">
        <v>4</v>
      </c>
      <c r="B36" t="s">
        <v>105</v>
      </c>
      <c r="C36" s="4" t="s">
        <v>108</v>
      </c>
      <c r="D36" t="s">
        <v>739</v>
      </c>
    </row>
    <row r="37" spans="1:5" x14ac:dyDescent="0.2">
      <c r="A37" s="4">
        <v>4</v>
      </c>
      <c r="B37" t="s">
        <v>105</v>
      </c>
      <c r="C37" s="4" t="s">
        <v>51</v>
      </c>
    </row>
    <row r="38" spans="1:5" x14ac:dyDescent="0.2">
      <c r="A38" s="4">
        <v>4</v>
      </c>
      <c r="B38" t="s">
        <v>105</v>
      </c>
      <c r="C38" s="4" t="s">
        <v>109</v>
      </c>
    </row>
    <row r="39" spans="1:5" x14ac:dyDescent="0.2">
      <c r="A39">
        <v>4</v>
      </c>
      <c r="B39" t="s">
        <v>464</v>
      </c>
      <c r="C39" t="s">
        <v>463</v>
      </c>
      <c r="D39" s="4" t="s">
        <v>32</v>
      </c>
    </row>
    <row r="40" spans="1:5" x14ac:dyDescent="0.2">
      <c r="A40">
        <v>4</v>
      </c>
      <c r="B40" t="s">
        <v>110</v>
      </c>
      <c r="C40" s="4" t="s">
        <v>111</v>
      </c>
      <c r="D40" s="4" t="s">
        <v>521</v>
      </c>
      <c r="E40" t="s">
        <v>530</v>
      </c>
    </row>
    <row r="41" spans="1:5" x14ac:dyDescent="0.2">
      <c r="A41" s="4">
        <v>4</v>
      </c>
      <c r="B41" s="4" t="s">
        <v>105</v>
      </c>
      <c r="C41" s="4" t="s">
        <v>112</v>
      </c>
      <c r="D41" s="4" t="s">
        <v>32</v>
      </c>
      <c r="E41" s="4" t="s">
        <v>113</v>
      </c>
    </row>
    <row r="42" spans="1:5" x14ac:dyDescent="0.2">
      <c r="A42" s="4">
        <v>4</v>
      </c>
      <c r="B42" t="s">
        <v>105</v>
      </c>
      <c r="C42" s="4" t="s">
        <v>114</v>
      </c>
      <c r="D42" s="4" t="s">
        <v>32</v>
      </c>
    </row>
    <row r="43" spans="1:5" x14ac:dyDescent="0.2">
      <c r="A43">
        <v>4</v>
      </c>
      <c r="B43" t="s">
        <v>110</v>
      </c>
      <c r="C43" s="4" t="s">
        <v>115</v>
      </c>
      <c r="D43" t="s">
        <v>32</v>
      </c>
    </row>
    <row r="44" spans="1:5" x14ac:dyDescent="0.2">
      <c r="A44" s="4">
        <v>4</v>
      </c>
      <c r="B44" t="s">
        <v>105</v>
      </c>
      <c r="C44" s="4" t="s">
        <v>116</v>
      </c>
      <c r="D44" t="s">
        <v>32</v>
      </c>
    </row>
    <row r="45" spans="1:5" x14ac:dyDescent="0.2">
      <c r="A45" s="4">
        <v>4</v>
      </c>
      <c r="B45" t="s">
        <v>105</v>
      </c>
      <c r="C45" s="4" t="s">
        <v>35</v>
      </c>
      <c r="D45" t="s">
        <v>28</v>
      </c>
    </row>
    <row r="46" spans="1:5" x14ac:dyDescent="0.2">
      <c r="A46">
        <v>4</v>
      </c>
      <c r="B46" t="s">
        <v>754</v>
      </c>
      <c r="C46" t="s">
        <v>755</v>
      </c>
      <c r="D46" s="4" t="s">
        <v>739</v>
      </c>
    </row>
    <row r="47" spans="1:5" x14ac:dyDescent="0.2">
      <c r="A47">
        <v>4</v>
      </c>
      <c r="B47" t="s">
        <v>110</v>
      </c>
      <c r="C47" s="4" t="s">
        <v>117</v>
      </c>
      <c r="D47" s="4" t="s">
        <v>521</v>
      </c>
    </row>
    <row r="48" spans="1:5" x14ac:dyDescent="0.2">
      <c r="A48">
        <v>4</v>
      </c>
      <c r="B48" t="s">
        <v>450</v>
      </c>
      <c r="C48" s="4" t="s">
        <v>443</v>
      </c>
      <c r="D48" s="4" t="s">
        <v>442</v>
      </c>
    </row>
    <row r="49" spans="1:5" x14ac:dyDescent="0.2">
      <c r="A49" s="4">
        <v>5</v>
      </c>
      <c r="B49" t="s">
        <v>118</v>
      </c>
      <c r="C49" s="4" t="s">
        <v>47</v>
      </c>
      <c r="D49" t="s">
        <v>119</v>
      </c>
    </row>
    <row r="50" spans="1:5" x14ac:dyDescent="0.2">
      <c r="A50" s="4">
        <v>5</v>
      </c>
      <c r="B50" t="s">
        <v>118</v>
      </c>
      <c r="C50" s="4" t="s">
        <v>41</v>
      </c>
      <c r="D50" t="s">
        <v>119</v>
      </c>
    </row>
    <row r="51" spans="1:5" x14ac:dyDescent="0.2">
      <c r="A51" s="4">
        <v>5</v>
      </c>
      <c r="B51" t="s">
        <v>120</v>
      </c>
      <c r="C51" s="4" t="s">
        <v>121</v>
      </c>
      <c r="D51" s="4" t="s">
        <v>32</v>
      </c>
    </row>
    <row r="52" spans="1:5" x14ac:dyDescent="0.2">
      <c r="A52" s="4">
        <v>5</v>
      </c>
      <c r="B52" t="s">
        <v>122</v>
      </c>
      <c r="C52" s="4" t="s">
        <v>123</v>
      </c>
      <c r="D52" t="s">
        <v>32</v>
      </c>
    </row>
    <row r="53" spans="1:5" x14ac:dyDescent="0.2">
      <c r="A53">
        <v>5</v>
      </c>
      <c r="B53" t="s">
        <v>743</v>
      </c>
      <c r="C53" t="s">
        <v>744</v>
      </c>
      <c r="D53" s="4" t="s">
        <v>739</v>
      </c>
    </row>
    <row r="54" spans="1:5" x14ac:dyDescent="0.2">
      <c r="A54">
        <v>5</v>
      </c>
      <c r="B54" t="s">
        <v>875</v>
      </c>
      <c r="C54" t="s">
        <v>878</v>
      </c>
      <c r="D54" s="4" t="s">
        <v>874</v>
      </c>
    </row>
    <row r="55" spans="1:5" x14ac:dyDescent="0.2">
      <c r="A55" s="4">
        <v>5</v>
      </c>
      <c r="B55" s="4" t="s">
        <v>122</v>
      </c>
      <c r="C55" s="4" t="s">
        <v>124</v>
      </c>
      <c r="D55" s="4" t="s">
        <v>32</v>
      </c>
      <c r="E55" s="4" t="s">
        <v>125</v>
      </c>
    </row>
    <row r="56" spans="1:5" x14ac:dyDescent="0.2">
      <c r="A56">
        <v>5</v>
      </c>
      <c r="B56" t="s">
        <v>120</v>
      </c>
      <c r="C56" s="4" t="s">
        <v>126</v>
      </c>
      <c r="D56" s="4" t="s">
        <v>32</v>
      </c>
    </row>
    <row r="57" spans="1:5" x14ac:dyDescent="0.2">
      <c r="A57">
        <v>5</v>
      </c>
      <c r="B57" t="s">
        <v>875</v>
      </c>
      <c r="C57" t="s">
        <v>873</v>
      </c>
      <c r="D57" s="4" t="s">
        <v>874</v>
      </c>
    </row>
    <row r="58" spans="1:5" x14ac:dyDescent="0.2">
      <c r="A58">
        <v>5</v>
      </c>
      <c r="B58" t="s">
        <v>452</v>
      </c>
      <c r="C58" s="4" t="s">
        <v>445</v>
      </c>
      <c r="D58" s="4" t="s">
        <v>442</v>
      </c>
    </row>
    <row r="59" spans="1:5" x14ac:dyDescent="0.2">
      <c r="A59" s="4">
        <v>5</v>
      </c>
      <c r="B59" t="s">
        <v>127</v>
      </c>
      <c r="C59" s="4" t="s">
        <v>56</v>
      </c>
      <c r="D59" t="s">
        <v>28</v>
      </c>
    </row>
    <row r="60" spans="1:5" x14ac:dyDescent="0.2">
      <c r="A60">
        <v>5</v>
      </c>
      <c r="B60" t="s">
        <v>128</v>
      </c>
      <c r="C60" s="4" t="s">
        <v>61</v>
      </c>
      <c r="D60" s="4" t="s">
        <v>32</v>
      </c>
    </row>
    <row r="61" spans="1:5" x14ac:dyDescent="0.2">
      <c r="A61" s="4">
        <v>5</v>
      </c>
      <c r="B61" s="4" t="s">
        <v>127</v>
      </c>
      <c r="C61" s="4" t="s">
        <v>129</v>
      </c>
      <c r="D61" s="4" t="s">
        <v>32</v>
      </c>
      <c r="E61" s="4" t="s">
        <v>130</v>
      </c>
    </row>
    <row r="62" spans="1:5" x14ac:dyDescent="0.2">
      <c r="A62" s="4">
        <v>6</v>
      </c>
      <c r="B62" s="4" t="s">
        <v>131</v>
      </c>
      <c r="C62" s="4" t="s">
        <v>132</v>
      </c>
      <c r="D62" s="4" t="s">
        <v>32</v>
      </c>
      <c r="E62" s="4" t="s">
        <v>133</v>
      </c>
    </row>
    <row r="63" spans="1:5" x14ac:dyDescent="0.2">
      <c r="A63" s="4">
        <v>6</v>
      </c>
      <c r="B63" s="4" t="s">
        <v>131</v>
      </c>
      <c r="C63" s="4" t="s">
        <v>134</v>
      </c>
      <c r="D63" s="4" t="s">
        <v>32</v>
      </c>
      <c r="E63" s="4" t="s">
        <v>135</v>
      </c>
    </row>
    <row r="64" spans="1:5" x14ac:dyDescent="0.2">
      <c r="A64" s="4">
        <v>6</v>
      </c>
      <c r="B64" s="4" t="s">
        <v>131</v>
      </c>
      <c r="C64" s="4" t="s">
        <v>136</v>
      </c>
      <c r="D64" s="4" t="s">
        <v>32</v>
      </c>
      <c r="E64" s="4" t="s">
        <v>137</v>
      </c>
    </row>
    <row r="65" spans="1:6" x14ac:dyDescent="0.2">
      <c r="A65" s="4">
        <v>6</v>
      </c>
      <c r="B65" t="s">
        <v>131</v>
      </c>
      <c r="C65" s="4" t="s">
        <v>138</v>
      </c>
      <c r="D65" s="4" t="s">
        <v>32</v>
      </c>
    </row>
    <row r="66" spans="1:6" x14ac:dyDescent="0.2">
      <c r="A66">
        <v>6</v>
      </c>
      <c r="B66" t="s">
        <v>139</v>
      </c>
      <c r="C66" s="4" t="s">
        <v>140</v>
      </c>
      <c r="D66" s="4" t="s">
        <v>32</v>
      </c>
      <c r="E66" t="s">
        <v>141</v>
      </c>
    </row>
    <row r="67" spans="1:6" x14ac:dyDescent="0.2">
      <c r="A67">
        <v>6</v>
      </c>
      <c r="B67" t="s">
        <v>449</v>
      </c>
      <c r="C67" s="4" t="s">
        <v>446</v>
      </c>
      <c r="D67" s="4" t="s">
        <v>442</v>
      </c>
      <c r="E67" t="s">
        <v>527</v>
      </c>
    </row>
    <row r="68" spans="1:6" x14ac:dyDescent="0.2">
      <c r="A68">
        <v>6</v>
      </c>
      <c r="B68" t="s">
        <v>740</v>
      </c>
      <c r="C68" t="s">
        <v>693</v>
      </c>
      <c r="D68" s="4" t="s">
        <v>739</v>
      </c>
      <c r="E68" t="s">
        <v>881</v>
      </c>
    </row>
    <row r="69" spans="1:6" x14ac:dyDescent="0.2">
      <c r="A69" s="4">
        <v>7</v>
      </c>
      <c r="B69" t="s">
        <v>142</v>
      </c>
      <c r="C69" s="4" t="s">
        <v>143</v>
      </c>
      <c r="D69" s="4" t="s">
        <v>32</v>
      </c>
    </row>
    <row r="70" spans="1:6" x14ac:dyDescent="0.2">
      <c r="A70" s="4">
        <v>7</v>
      </c>
      <c r="B70" t="s">
        <v>523</v>
      </c>
      <c r="C70" t="s">
        <v>522</v>
      </c>
      <c r="D70" s="4" t="s">
        <v>521</v>
      </c>
    </row>
    <row r="71" spans="1:6" x14ac:dyDescent="0.2">
      <c r="A71">
        <v>7</v>
      </c>
      <c r="B71" t="s">
        <v>23</v>
      </c>
      <c r="C71" s="4" t="s">
        <v>144</v>
      </c>
      <c r="D71" s="4" t="s">
        <v>32</v>
      </c>
      <c r="E71" t="s">
        <v>145</v>
      </c>
    </row>
    <row r="72" spans="1:6" x14ac:dyDescent="0.2">
      <c r="A72" s="4">
        <v>7</v>
      </c>
      <c r="B72" s="4" t="s">
        <v>146</v>
      </c>
      <c r="C72" s="4" t="s">
        <v>147</v>
      </c>
      <c r="D72" s="4" t="s">
        <v>32</v>
      </c>
      <c r="E72" s="4" t="s">
        <v>148</v>
      </c>
      <c r="F72" t="s">
        <v>882</v>
      </c>
    </row>
    <row r="73" spans="1:6" x14ac:dyDescent="0.2">
      <c r="A73">
        <v>7</v>
      </c>
      <c r="B73" t="s">
        <v>742</v>
      </c>
      <c r="C73" t="s">
        <v>685</v>
      </c>
      <c r="D73" s="4" t="s">
        <v>739</v>
      </c>
    </row>
    <row r="74" spans="1:6" x14ac:dyDescent="0.2">
      <c r="A74" s="4">
        <v>7</v>
      </c>
      <c r="B74" s="4" t="s">
        <v>146</v>
      </c>
      <c r="C74" s="4" t="s">
        <v>149</v>
      </c>
      <c r="D74" s="4" t="s">
        <v>32</v>
      </c>
      <c r="E74" s="4" t="s">
        <v>150</v>
      </c>
    </row>
    <row r="75" spans="1:6" x14ac:dyDescent="0.2">
      <c r="A75" s="4">
        <v>7</v>
      </c>
      <c r="B75" s="4" t="s">
        <v>146</v>
      </c>
      <c r="C75" s="4" t="s">
        <v>151</v>
      </c>
      <c r="D75" s="4" t="s">
        <v>32</v>
      </c>
      <c r="E75" s="4" t="s">
        <v>152</v>
      </c>
    </row>
    <row r="76" spans="1:6" x14ac:dyDescent="0.2">
      <c r="A76">
        <v>7</v>
      </c>
      <c r="B76" t="s">
        <v>747</v>
      </c>
      <c r="C76" t="s">
        <v>748</v>
      </c>
      <c r="D76" s="4" t="s">
        <v>739</v>
      </c>
    </row>
    <row r="77" spans="1:6" x14ac:dyDescent="0.2">
      <c r="A77" s="4">
        <v>7</v>
      </c>
      <c r="B77" s="4" t="s">
        <v>153</v>
      </c>
      <c r="C77" s="4" t="s">
        <v>154</v>
      </c>
      <c r="D77" s="4" t="s">
        <v>32</v>
      </c>
      <c r="E77" s="4" t="s">
        <v>155</v>
      </c>
    </row>
    <row r="78" spans="1:6" x14ac:dyDescent="0.2">
      <c r="A78">
        <v>7</v>
      </c>
      <c r="B78" t="s">
        <v>156</v>
      </c>
      <c r="C78" s="4" t="s">
        <v>157</v>
      </c>
      <c r="D78" s="4"/>
    </row>
    <row r="79" spans="1:6" x14ac:dyDescent="0.2">
      <c r="A79">
        <v>7</v>
      </c>
      <c r="B79" t="s">
        <v>156</v>
      </c>
      <c r="C79" s="4" t="s">
        <v>158</v>
      </c>
      <c r="D79" s="4" t="s">
        <v>32</v>
      </c>
    </row>
    <row r="80" spans="1:6" x14ac:dyDescent="0.2">
      <c r="A80">
        <v>7</v>
      </c>
      <c r="B80" t="s">
        <v>453</v>
      </c>
      <c r="C80" s="4" t="s">
        <v>444</v>
      </c>
      <c r="D80" s="4" t="s">
        <v>442</v>
      </c>
    </row>
    <row r="81" spans="1:6" x14ac:dyDescent="0.2">
      <c r="A81" s="4">
        <v>7</v>
      </c>
      <c r="B81" t="s">
        <v>153</v>
      </c>
      <c r="C81" s="4" t="s">
        <v>159</v>
      </c>
    </row>
    <row r="82" spans="1:6" x14ac:dyDescent="0.2">
      <c r="A82" s="4">
        <v>7</v>
      </c>
      <c r="B82" s="4" t="s">
        <v>153</v>
      </c>
      <c r="C82" s="4" t="s">
        <v>160</v>
      </c>
      <c r="D82" s="4" t="s">
        <v>32</v>
      </c>
      <c r="E82" s="4" t="s">
        <v>161</v>
      </c>
    </row>
    <row r="83" spans="1:6" x14ac:dyDescent="0.2">
      <c r="A83" s="4">
        <v>7</v>
      </c>
      <c r="B83" s="4" t="s">
        <v>153</v>
      </c>
      <c r="C83" s="4" t="s">
        <v>162</v>
      </c>
      <c r="D83" s="4" t="s">
        <v>32</v>
      </c>
      <c r="E83" s="4" t="s">
        <v>163</v>
      </c>
    </row>
    <row r="84" spans="1:6" x14ac:dyDescent="0.2">
      <c r="A84">
        <v>7</v>
      </c>
      <c r="B84" t="s">
        <v>519</v>
      </c>
      <c r="C84" t="s">
        <v>520</v>
      </c>
      <c r="D84" s="4" t="s">
        <v>521</v>
      </c>
    </row>
    <row r="85" spans="1:6" x14ac:dyDescent="0.2">
      <c r="A85" s="4">
        <v>7</v>
      </c>
      <c r="B85" t="s">
        <v>153</v>
      </c>
      <c r="C85" s="4" t="s">
        <v>164</v>
      </c>
      <c r="D85" s="4" t="s">
        <v>32</v>
      </c>
      <c r="E85" t="s">
        <v>853</v>
      </c>
      <c r="F85" t="s">
        <v>852</v>
      </c>
    </row>
    <row r="86" spans="1:6" x14ac:dyDescent="0.2">
      <c r="A86" s="4">
        <v>7</v>
      </c>
      <c r="B86" t="s">
        <v>519</v>
      </c>
      <c r="C86" t="s">
        <v>524</v>
      </c>
      <c r="D86" s="4" t="s">
        <v>521</v>
      </c>
      <c r="E86" t="s">
        <v>528</v>
      </c>
    </row>
    <row r="87" spans="1:6" x14ac:dyDescent="0.2">
      <c r="A87" s="4">
        <v>7</v>
      </c>
      <c r="B87" s="4" t="s">
        <v>153</v>
      </c>
      <c r="C87" s="4" t="s">
        <v>165</v>
      </c>
      <c r="D87" s="4" t="s">
        <v>32</v>
      </c>
      <c r="E87" s="4" t="s">
        <v>166</v>
      </c>
    </row>
    <row r="88" spans="1:6" x14ac:dyDescent="0.2">
      <c r="A88">
        <v>7</v>
      </c>
      <c r="B88" t="s">
        <v>876</v>
      </c>
      <c r="C88" t="s">
        <v>877</v>
      </c>
      <c r="D88" s="4" t="s">
        <v>874</v>
      </c>
    </row>
    <row r="89" spans="1:6" x14ac:dyDescent="0.2">
      <c r="A89">
        <v>8</v>
      </c>
      <c r="B89" t="s">
        <v>466</v>
      </c>
      <c r="C89" t="s">
        <v>465</v>
      </c>
      <c r="D89" s="4" t="s">
        <v>32</v>
      </c>
    </row>
    <row r="90" spans="1:6" x14ac:dyDescent="0.2">
      <c r="A90">
        <v>8</v>
      </c>
      <c r="B90" t="s">
        <v>879</v>
      </c>
      <c r="C90" t="s">
        <v>880</v>
      </c>
      <c r="D90" s="4" t="s">
        <v>874</v>
      </c>
    </row>
    <row r="91" spans="1:6" x14ac:dyDescent="0.2">
      <c r="A91">
        <v>8</v>
      </c>
      <c r="B91" t="s">
        <v>752</v>
      </c>
      <c r="C91" t="s">
        <v>753</v>
      </c>
      <c r="D91" s="4" t="s">
        <v>739</v>
      </c>
    </row>
    <row r="92" spans="1:6" x14ac:dyDescent="0.2">
      <c r="A92">
        <v>8</v>
      </c>
      <c r="B92" t="s">
        <v>167</v>
      </c>
      <c r="C92" s="4" t="s">
        <v>168</v>
      </c>
      <c r="D92" s="4" t="s">
        <v>32</v>
      </c>
    </row>
    <row r="93" spans="1:6" x14ac:dyDescent="0.2">
      <c r="A93" s="4">
        <v>9</v>
      </c>
      <c r="B93" s="4" t="s">
        <v>169</v>
      </c>
      <c r="C93" s="4" t="s">
        <v>170</v>
      </c>
      <c r="D93" s="4" t="s">
        <v>32</v>
      </c>
      <c r="E93" s="4" t="s">
        <v>171</v>
      </c>
    </row>
    <row r="94" spans="1:6" x14ac:dyDescent="0.2">
      <c r="A94" s="4">
        <v>9</v>
      </c>
      <c r="B94" s="4" t="s">
        <v>169</v>
      </c>
      <c r="C94" s="4" t="s">
        <v>172</v>
      </c>
      <c r="D94" s="4" t="s">
        <v>32</v>
      </c>
      <c r="E94" s="4" t="s">
        <v>173</v>
      </c>
    </row>
    <row r="95" spans="1:6" x14ac:dyDescent="0.2">
      <c r="A95" s="4">
        <v>9</v>
      </c>
      <c r="B95" s="4" t="s">
        <v>174</v>
      </c>
      <c r="C95" s="4" t="s">
        <v>175</v>
      </c>
      <c r="D95" s="4" t="s">
        <v>32</v>
      </c>
      <c r="E95" s="4" t="s">
        <v>176</v>
      </c>
    </row>
    <row r="96" spans="1:6" x14ac:dyDescent="0.2">
      <c r="A96" s="4">
        <v>9</v>
      </c>
      <c r="B96" s="4" t="s">
        <v>174</v>
      </c>
      <c r="C96" s="4" t="s">
        <v>177</v>
      </c>
      <c r="D96" s="4" t="s">
        <v>178</v>
      </c>
      <c r="E96" s="4" t="s">
        <v>179</v>
      </c>
    </row>
    <row r="97" spans="1:5" x14ac:dyDescent="0.2">
      <c r="A97" s="4">
        <v>9</v>
      </c>
      <c r="B97" s="4" t="s">
        <v>174</v>
      </c>
      <c r="C97" s="4" t="s">
        <v>177</v>
      </c>
      <c r="D97" s="4" t="s">
        <v>32</v>
      </c>
      <c r="E97" s="4" t="s">
        <v>180</v>
      </c>
    </row>
    <row r="98" spans="1:5" x14ac:dyDescent="0.2">
      <c r="A98" s="4">
        <v>9</v>
      </c>
      <c r="B98" t="s">
        <v>174</v>
      </c>
      <c r="C98" s="4" t="s">
        <v>181</v>
      </c>
    </row>
    <row r="99" spans="1:5" x14ac:dyDescent="0.2">
      <c r="A99">
        <v>9</v>
      </c>
      <c r="B99" t="s">
        <v>32</v>
      </c>
      <c r="C99" s="4" t="s">
        <v>182</v>
      </c>
      <c r="D99" s="4" t="s">
        <v>521</v>
      </c>
      <c r="E99" t="s">
        <v>531</v>
      </c>
    </row>
    <row r="100" spans="1:5" x14ac:dyDescent="0.2">
      <c r="A100" s="4">
        <v>9</v>
      </c>
      <c r="B100" t="s">
        <v>183</v>
      </c>
      <c r="C100" s="4" t="s">
        <v>184</v>
      </c>
    </row>
    <row r="101" spans="1:5" x14ac:dyDescent="0.2">
      <c r="A101">
        <v>9</v>
      </c>
      <c r="B101" t="s">
        <v>32</v>
      </c>
      <c r="C101" s="4" t="s">
        <v>185</v>
      </c>
      <c r="D101" s="4" t="s">
        <v>32</v>
      </c>
    </row>
    <row r="102" spans="1:5" x14ac:dyDescent="0.2">
      <c r="A102">
        <v>9</v>
      </c>
      <c r="B102" t="s">
        <v>739</v>
      </c>
      <c r="C102" t="s">
        <v>691</v>
      </c>
      <c r="D102" s="4" t="s">
        <v>739</v>
      </c>
    </row>
    <row r="103" spans="1:5" x14ac:dyDescent="0.2">
      <c r="A103" s="4">
        <v>9</v>
      </c>
      <c r="B103" s="4" t="s">
        <v>186</v>
      </c>
      <c r="C103" s="4" t="s">
        <v>187</v>
      </c>
      <c r="D103" s="4" t="s">
        <v>32</v>
      </c>
      <c r="E103" s="4" t="s">
        <v>188</v>
      </c>
    </row>
    <row r="104" spans="1:5" x14ac:dyDescent="0.2">
      <c r="A104" s="4">
        <v>9</v>
      </c>
      <c r="B104" s="4" t="s">
        <v>186</v>
      </c>
      <c r="C104" s="4" t="s">
        <v>189</v>
      </c>
      <c r="D104" s="4" t="s">
        <v>32</v>
      </c>
      <c r="E104" s="4" t="s">
        <v>190</v>
      </c>
    </row>
    <row r="105" spans="1:5" x14ac:dyDescent="0.2">
      <c r="A105">
        <v>9</v>
      </c>
      <c r="B105" t="s">
        <v>751</v>
      </c>
      <c r="C105" t="s">
        <v>750</v>
      </c>
      <c r="D105" s="4" t="s">
        <v>739</v>
      </c>
    </row>
    <row r="106" spans="1:5" x14ac:dyDescent="0.2">
      <c r="A106" s="4">
        <v>9</v>
      </c>
      <c r="B106" s="4" t="s">
        <v>186</v>
      </c>
      <c r="C106" s="4" t="s">
        <v>191</v>
      </c>
      <c r="D106" s="4" t="s">
        <v>32</v>
      </c>
      <c r="E106" s="4" t="s">
        <v>192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7" workbookViewId="0">
      <selection activeCell="D14" sqref="D14"/>
    </sheetView>
  </sheetViews>
  <sheetFormatPr defaultRowHeight="14.25" x14ac:dyDescent="0.2"/>
  <cols>
    <col min="1" max="1" width="9" bestFit="1" customWidth="1"/>
    <col min="2" max="2" width="10.625" bestFit="1" customWidth="1"/>
    <col min="3" max="3" width="13" bestFit="1" customWidth="1"/>
    <col min="4" max="4" width="102.625" customWidth="1"/>
  </cols>
  <sheetData>
    <row r="1" spans="1:5" x14ac:dyDescent="0.2">
      <c r="A1" s="26" t="s">
        <v>475</v>
      </c>
      <c r="B1" s="26" t="s">
        <v>476</v>
      </c>
      <c r="C1" s="26" t="s">
        <v>477</v>
      </c>
      <c r="D1" s="26" t="s">
        <v>7</v>
      </c>
    </row>
    <row r="2" spans="1:5" ht="99.75" x14ac:dyDescent="0.2">
      <c r="A2" s="86" t="s">
        <v>352</v>
      </c>
      <c r="B2" s="27" t="s">
        <v>467</v>
      </c>
      <c r="C2" s="27" t="s">
        <v>478</v>
      </c>
      <c r="D2" s="27" t="s">
        <v>1072</v>
      </c>
    </row>
    <row r="3" spans="1:5" ht="42.75" x14ac:dyDescent="0.2">
      <c r="A3" s="86"/>
      <c r="B3" s="27" t="s">
        <v>468</v>
      </c>
      <c r="C3" s="27" t="s">
        <v>479</v>
      </c>
      <c r="D3" s="27" t="s">
        <v>655</v>
      </c>
    </row>
    <row r="4" spans="1:5" x14ac:dyDescent="0.2">
      <c r="A4" s="39" t="s">
        <v>440</v>
      </c>
      <c r="B4" s="39"/>
      <c r="C4" s="39"/>
      <c r="D4" s="39"/>
    </row>
    <row r="5" spans="1:5" ht="28.5" x14ac:dyDescent="0.2">
      <c r="A5" s="84" t="s">
        <v>488</v>
      </c>
      <c r="B5" s="28" t="s">
        <v>485</v>
      </c>
      <c r="C5" s="28" t="s">
        <v>480</v>
      </c>
      <c r="D5" s="28" t="s">
        <v>486</v>
      </c>
    </row>
    <row r="6" spans="1:5" ht="42.75" x14ac:dyDescent="0.2">
      <c r="A6" s="87"/>
      <c r="B6" s="27" t="s">
        <v>470</v>
      </c>
      <c r="C6" s="27" t="s">
        <v>480</v>
      </c>
      <c r="D6" s="27" t="s">
        <v>487</v>
      </c>
    </row>
    <row r="7" spans="1:5" ht="42.75" x14ac:dyDescent="0.2">
      <c r="A7" s="87"/>
      <c r="B7" s="27" t="s">
        <v>469</v>
      </c>
      <c r="C7" s="27" t="s">
        <v>480</v>
      </c>
      <c r="D7" s="27" t="s">
        <v>517</v>
      </c>
    </row>
    <row r="8" spans="1:5" ht="42.75" x14ac:dyDescent="0.2">
      <c r="A8" s="87"/>
      <c r="B8" s="27" t="s">
        <v>471</v>
      </c>
      <c r="C8" s="27" t="s">
        <v>481</v>
      </c>
      <c r="D8" s="27" t="s">
        <v>484</v>
      </c>
    </row>
    <row r="9" spans="1:5" ht="28.5" x14ac:dyDescent="0.2">
      <c r="A9" s="87"/>
      <c r="B9" s="27" t="s">
        <v>472</v>
      </c>
      <c r="C9" s="27" t="s">
        <v>482</v>
      </c>
      <c r="D9" s="27" t="s">
        <v>654</v>
      </c>
    </row>
    <row r="10" spans="1:5" ht="28.5" x14ac:dyDescent="0.2">
      <c r="A10" s="85"/>
      <c r="B10" s="27" t="s">
        <v>473</v>
      </c>
      <c r="C10" s="27" t="s">
        <v>483</v>
      </c>
      <c r="D10" s="27" t="s">
        <v>474</v>
      </c>
    </row>
    <row r="11" spans="1:5" ht="42.75" x14ac:dyDescent="0.2">
      <c r="A11" s="84" t="s">
        <v>489</v>
      </c>
      <c r="B11" s="29" t="s">
        <v>496</v>
      </c>
      <c r="C11" s="29" t="s">
        <v>480</v>
      </c>
      <c r="D11" s="27" t="s">
        <v>668</v>
      </c>
    </row>
    <row r="12" spans="1:5" ht="28.5" x14ac:dyDescent="0.2">
      <c r="A12" s="87"/>
      <c r="B12" s="27" t="s">
        <v>490</v>
      </c>
      <c r="C12" s="27" t="s">
        <v>496</v>
      </c>
      <c r="D12" s="27" t="s">
        <v>492</v>
      </c>
    </row>
    <row r="13" spans="1:5" ht="28.5" x14ac:dyDescent="0.2">
      <c r="A13" s="87"/>
      <c r="B13" s="27" t="s">
        <v>659</v>
      </c>
      <c r="C13" s="27" t="s">
        <v>496</v>
      </c>
      <c r="D13" s="27" t="s">
        <v>662</v>
      </c>
      <c r="E13" s="28" t="s">
        <v>1026</v>
      </c>
    </row>
    <row r="14" spans="1:5" ht="28.5" x14ac:dyDescent="0.2">
      <c r="A14" s="87"/>
      <c r="B14" s="27" t="s">
        <v>493</v>
      </c>
      <c r="C14" s="27" t="s">
        <v>735</v>
      </c>
      <c r="D14" s="27" t="s">
        <v>494</v>
      </c>
    </row>
    <row r="15" spans="1:5" ht="28.5" x14ac:dyDescent="0.2">
      <c r="A15" s="85"/>
      <c r="B15" s="27" t="s">
        <v>491</v>
      </c>
      <c r="C15" s="27" t="s">
        <v>502</v>
      </c>
      <c r="D15" s="27" t="s">
        <v>495</v>
      </c>
    </row>
    <row r="16" spans="1:5" x14ac:dyDescent="0.2">
      <c r="A16" s="87"/>
      <c r="B16" s="28" t="s">
        <v>497</v>
      </c>
      <c r="C16" s="28" t="s">
        <v>496</v>
      </c>
      <c r="D16" s="27" t="s">
        <v>498</v>
      </c>
    </row>
    <row r="17" spans="1:4" ht="42.75" x14ac:dyDescent="0.2">
      <c r="A17" s="85"/>
      <c r="B17" s="30" t="s">
        <v>499</v>
      </c>
      <c r="C17" s="30" t="s">
        <v>497</v>
      </c>
      <c r="D17" s="27" t="s">
        <v>650</v>
      </c>
    </row>
    <row r="18" spans="1:4" ht="28.5" x14ac:dyDescent="0.2">
      <c r="A18" s="84" t="s">
        <v>518</v>
      </c>
      <c r="B18" s="30" t="s">
        <v>500</v>
      </c>
      <c r="C18" s="30" t="s">
        <v>499</v>
      </c>
      <c r="D18" s="27" t="s">
        <v>508</v>
      </c>
    </row>
    <row r="19" spans="1:4" x14ac:dyDescent="0.2">
      <c r="A19" s="87"/>
      <c r="B19" s="30" t="s">
        <v>503</v>
      </c>
      <c r="C19" s="30" t="s">
        <v>504</v>
      </c>
      <c r="D19" s="27" t="s">
        <v>505</v>
      </c>
    </row>
    <row r="20" spans="1:4" ht="28.5" x14ac:dyDescent="0.2">
      <c r="A20" s="87"/>
      <c r="B20" s="30" t="s">
        <v>501</v>
      </c>
      <c r="C20" s="30" t="s">
        <v>500</v>
      </c>
      <c r="D20" s="27" t="s">
        <v>509</v>
      </c>
    </row>
    <row r="21" spans="1:4" ht="28.5" x14ac:dyDescent="0.2">
      <c r="A21" s="87"/>
      <c r="B21" s="30" t="s">
        <v>506</v>
      </c>
      <c r="C21" s="30" t="s">
        <v>500</v>
      </c>
      <c r="D21" s="27" t="s">
        <v>665</v>
      </c>
    </row>
    <row r="22" spans="1:4" ht="42.75" x14ac:dyDescent="0.2">
      <c r="A22" s="87"/>
      <c r="B22" s="30" t="s">
        <v>507</v>
      </c>
      <c r="C22" s="30" t="s">
        <v>500</v>
      </c>
      <c r="D22" s="27" t="s">
        <v>510</v>
      </c>
    </row>
    <row r="23" spans="1:4" ht="57" x14ac:dyDescent="0.2">
      <c r="A23" s="87"/>
      <c r="B23" s="30" t="s">
        <v>511</v>
      </c>
      <c r="C23" s="30" t="s">
        <v>512</v>
      </c>
      <c r="D23" s="27" t="s">
        <v>666</v>
      </c>
    </row>
    <row r="24" spans="1:4" ht="42.75" x14ac:dyDescent="0.2">
      <c r="A24" s="85"/>
      <c r="B24" s="27" t="s">
        <v>658</v>
      </c>
      <c r="C24" s="27" t="s">
        <v>512</v>
      </c>
      <c r="D24" s="27" t="s">
        <v>797</v>
      </c>
    </row>
    <row r="25" spans="1:4" x14ac:dyDescent="0.2">
      <c r="A25" s="40" t="s">
        <v>516</v>
      </c>
      <c r="B25" s="39"/>
      <c r="C25" s="39"/>
      <c r="D25" s="39"/>
    </row>
    <row r="26" spans="1:4" x14ac:dyDescent="0.2">
      <c r="A26" s="84" t="s">
        <v>457</v>
      </c>
      <c r="B26" s="27" t="s">
        <v>798</v>
      </c>
      <c r="C26" s="27" t="s">
        <v>514</v>
      </c>
      <c r="D26" s="27" t="s">
        <v>883</v>
      </c>
    </row>
    <row r="27" spans="1:4" ht="28.5" x14ac:dyDescent="0.2">
      <c r="A27" s="85"/>
      <c r="B27" s="27" t="s">
        <v>515</v>
      </c>
      <c r="C27" s="27" t="s">
        <v>513</v>
      </c>
      <c r="D27" s="27" t="s">
        <v>884</v>
      </c>
    </row>
  </sheetData>
  <mergeCells count="6">
    <mergeCell ref="A26:A27"/>
    <mergeCell ref="A2:A3"/>
    <mergeCell ref="A5:A10"/>
    <mergeCell ref="A16:A17"/>
    <mergeCell ref="A11:A15"/>
    <mergeCell ref="A18:A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7"/>
  <sheetViews>
    <sheetView showGridLines="0" zoomScaleNormal="100" zoomScaleSheetLayoutView="100" workbookViewId="0">
      <selection activeCell="F6" sqref="F6"/>
    </sheetView>
  </sheetViews>
  <sheetFormatPr defaultRowHeight="14.25" x14ac:dyDescent="0.2"/>
  <cols>
    <col min="1" max="1" width="5.25" customWidth="1"/>
    <col min="2" max="2" width="5.125" customWidth="1"/>
    <col min="3" max="3" width="16.625" customWidth="1"/>
    <col min="4" max="4" width="24.25" customWidth="1"/>
    <col min="5" max="5" width="16.625" customWidth="1"/>
    <col min="6" max="6" width="24.25" customWidth="1"/>
    <col min="7" max="7" width="16.625" customWidth="1"/>
    <col min="8" max="8" width="24.25" customWidth="1"/>
    <col min="9" max="9" width="16.625" customWidth="1"/>
  </cols>
  <sheetData>
    <row r="1" spans="2:9" ht="15" thickBot="1" x14ac:dyDescent="0.25"/>
    <row r="2" spans="2:9" ht="25.5" customHeight="1" x14ac:dyDescent="0.2">
      <c r="B2" s="36"/>
      <c r="C2" s="41">
        <v>43534</v>
      </c>
      <c r="D2" s="41">
        <v>43535</v>
      </c>
      <c r="E2" s="41">
        <v>43536</v>
      </c>
      <c r="F2" s="41">
        <v>43537</v>
      </c>
      <c r="G2" s="41">
        <v>43538</v>
      </c>
      <c r="H2" s="41">
        <v>43539</v>
      </c>
      <c r="I2" s="42">
        <v>43540</v>
      </c>
    </row>
    <row r="3" spans="2:9" ht="120.75" customHeight="1" x14ac:dyDescent="0.2">
      <c r="B3" s="37" t="s">
        <v>651</v>
      </c>
      <c r="C3" s="33" t="s">
        <v>661</v>
      </c>
      <c r="D3" s="48" t="s">
        <v>663</v>
      </c>
      <c r="E3" s="35" t="s">
        <v>656</v>
      </c>
      <c r="F3" s="33"/>
      <c r="G3" s="33"/>
      <c r="H3" s="34" t="s">
        <v>657</v>
      </c>
      <c r="I3" s="38"/>
    </row>
    <row r="4" spans="2:9" ht="120.75" customHeight="1" x14ac:dyDescent="0.2">
      <c r="B4" s="37" t="s">
        <v>652</v>
      </c>
      <c r="C4" s="33"/>
      <c r="D4" s="34" t="s">
        <v>657</v>
      </c>
      <c r="E4" s="48" t="s">
        <v>664</v>
      </c>
      <c r="F4" s="33"/>
      <c r="G4" s="35" t="s">
        <v>656</v>
      </c>
      <c r="H4" s="33"/>
      <c r="I4" s="38"/>
    </row>
    <row r="5" spans="2:9" ht="120.75" customHeight="1" x14ac:dyDescent="0.2">
      <c r="B5" s="37" t="s">
        <v>653</v>
      </c>
      <c r="C5" s="35" t="s">
        <v>656</v>
      </c>
      <c r="D5" s="33"/>
      <c r="E5" s="33"/>
      <c r="F5" s="34" t="s">
        <v>657</v>
      </c>
      <c r="G5" s="48" t="s">
        <v>664</v>
      </c>
      <c r="H5" s="33"/>
      <c r="I5" s="38"/>
    </row>
    <row r="6" spans="2:9" ht="68.25" customHeight="1" x14ac:dyDescent="0.2">
      <c r="B6" s="88" t="s">
        <v>1019</v>
      </c>
      <c r="C6" s="50" t="s">
        <v>667</v>
      </c>
      <c r="D6" s="43" t="s">
        <v>759</v>
      </c>
      <c r="E6" s="43" t="s">
        <v>758</v>
      </c>
      <c r="F6" s="43" t="s">
        <v>759</v>
      </c>
      <c r="G6" s="43" t="s">
        <v>847</v>
      </c>
      <c r="H6" s="43" t="s">
        <v>759</v>
      </c>
      <c r="I6" s="44"/>
    </row>
    <row r="7" spans="2:9" ht="68.25" customHeight="1" thickBot="1" x14ac:dyDescent="0.25">
      <c r="B7" s="89"/>
      <c r="C7" s="47" t="s">
        <v>660</v>
      </c>
      <c r="D7" s="45"/>
      <c r="E7" s="49"/>
      <c r="F7" s="45"/>
      <c r="G7" s="45"/>
      <c r="H7" s="45"/>
      <c r="I7" s="46"/>
    </row>
  </sheetData>
  <mergeCells count="1">
    <mergeCell ref="B6:B7"/>
  </mergeCells>
  <phoneticPr fontId="2" type="noConversion"/>
  <conditionalFormatting sqref="C2:I2">
    <cfRule type="expression" dxfId="46" priority="1">
      <formula>WEEKDAY(C2,1)=WEEKDAY(TODAY(),1)</formula>
    </cfRule>
  </conditionalFormatting>
  <pageMargins left="0.25" right="0.25" top="0.75" bottom="0.75" header="0.3" footer="0.3"/>
  <pageSetup paperSize="9" orientation="landscape" r:id="rId1"/>
  <rowBreaks count="1" manualBreakCount="1">
    <brk id="1" max="16383" man="1"/>
  </rowBreaks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3399-66B8-449B-BAD1-30834B1CA805}">
  <dimension ref="A1:AC12"/>
  <sheetViews>
    <sheetView showGridLines="0" zoomScaleNormal="100" workbookViewId="0">
      <selection activeCell="I16" sqref="I16"/>
    </sheetView>
  </sheetViews>
  <sheetFormatPr defaultRowHeight="14.25" x14ac:dyDescent="0.2"/>
  <cols>
    <col min="1" max="1" width="6.125" customWidth="1"/>
    <col min="2" max="2" width="10.625" bestFit="1" customWidth="1"/>
    <col min="3" max="3" width="12.25" customWidth="1"/>
    <col min="4" max="28" width="3.625" customWidth="1"/>
    <col min="29" max="29" width="20.125" customWidth="1"/>
  </cols>
  <sheetData>
    <row r="1" spans="1:29" ht="58.5" x14ac:dyDescent="0.2">
      <c r="A1" s="63" t="s">
        <v>761</v>
      </c>
      <c r="B1" s="64" t="s">
        <v>760</v>
      </c>
      <c r="C1" s="64" t="s">
        <v>762</v>
      </c>
      <c r="D1" s="71" t="s">
        <v>773</v>
      </c>
      <c r="E1" s="72" t="s">
        <v>764</v>
      </c>
      <c r="F1" s="73" t="s">
        <v>774</v>
      </c>
      <c r="G1" s="73" t="s">
        <v>775</v>
      </c>
      <c r="H1" s="73" t="s">
        <v>16</v>
      </c>
      <c r="I1" s="74" t="s">
        <v>776</v>
      </c>
      <c r="J1" s="75" t="s">
        <v>496</v>
      </c>
      <c r="K1" s="73" t="s">
        <v>490</v>
      </c>
      <c r="L1" s="73" t="s">
        <v>497</v>
      </c>
      <c r="M1" s="73" t="s">
        <v>499</v>
      </c>
      <c r="N1" s="71" t="s">
        <v>777</v>
      </c>
      <c r="O1" s="73" t="s">
        <v>778</v>
      </c>
      <c r="P1" s="73" t="s">
        <v>491</v>
      </c>
      <c r="Q1" s="73" t="s">
        <v>785</v>
      </c>
      <c r="R1" s="73" t="s">
        <v>500</v>
      </c>
      <c r="S1" s="73" t="s">
        <v>779</v>
      </c>
      <c r="T1" s="76" t="s">
        <v>780</v>
      </c>
      <c r="U1" s="76" t="s">
        <v>770</v>
      </c>
      <c r="V1" s="76" t="s">
        <v>781</v>
      </c>
      <c r="W1" s="73" t="s">
        <v>782</v>
      </c>
      <c r="X1" s="76" t="s">
        <v>783</v>
      </c>
      <c r="Y1" s="71" t="s">
        <v>784</v>
      </c>
      <c r="Z1" s="72" t="s">
        <v>767</v>
      </c>
      <c r="AA1" s="76" t="s">
        <v>768</v>
      </c>
      <c r="AB1" s="73" t="s">
        <v>457</v>
      </c>
      <c r="AC1" s="80" t="s">
        <v>769</v>
      </c>
    </row>
    <row r="2" spans="1:29" ht="42.75" customHeight="1" x14ac:dyDescent="0.2">
      <c r="A2" s="67" t="s">
        <v>792</v>
      </c>
      <c r="B2" s="62"/>
      <c r="C2" s="62"/>
      <c r="D2" s="55"/>
      <c r="E2" s="65"/>
      <c r="F2" s="54"/>
      <c r="G2" s="54"/>
      <c r="H2" s="54"/>
      <c r="I2" s="68"/>
      <c r="J2" s="56"/>
      <c r="K2" s="54"/>
      <c r="L2" s="54"/>
      <c r="M2" s="54"/>
      <c r="N2" s="55"/>
      <c r="O2" s="52"/>
      <c r="P2" s="52"/>
      <c r="Q2" s="52"/>
      <c r="R2" s="52"/>
      <c r="S2" s="52"/>
      <c r="T2" s="52"/>
      <c r="U2" s="52"/>
      <c r="V2" s="52"/>
      <c r="W2" s="52"/>
      <c r="X2" s="52"/>
      <c r="Y2" s="53"/>
      <c r="Z2" s="77"/>
      <c r="AA2" s="52"/>
      <c r="AB2" s="52"/>
      <c r="AC2" s="53"/>
    </row>
    <row r="3" spans="1:29" ht="42.75" customHeight="1" x14ac:dyDescent="0.2">
      <c r="A3" s="78" t="s">
        <v>791</v>
      </c>
      <c r="B3" s="60"/>
      <c r="C3" s="60"/>
      <c r="D3" s="55"/>
      <c r="E3" s="65"/>
      <c r="F3" s="54"/>
      <c r="G3" s="54"/>
      <c r="H3" s="54"/>
      <c r="I3" s="68"/>
      <c r="J3" s="56"/>
      <c r="K3" s="54"/>
      <c r="L3" s="54"/>
      <c r="M3" s="54"/>
      <c r="N3" s="55"/>
      <c r="O3" s="54"/>
      <c r="P3" s="54"/>
      <c r="Q3" s="54"/>
      <c r="R3" s="54"/>
      <c r="S3" s="54"/>
      <c r="T3" s="54"/>
      <c r="U3" s="54"/>
      <c r="V3" s="54"/>
      <c r="W3" s="54"/>
      <c r="X3" s="54"/>
      <c r="Y3" s="55"/>
      <c r="Z3" s="65"/>
      <c r="AA3" s="54"/>
      <c r="AB3" s="54"/>
      <c r="AC3" s="55"/>
    </row>
    <row r="4" spans="1:29" ht="42.75" customHeight="1" x14ac:dyDescent="0.2">
      <c r="A4" s="70" t="s">
        <v>790</v>
      </c>
      <c r="B4" s="60"/>
      <c r="C4" s="60"/>
      <c r="D4" s="55"/>
      <c r="E4" s="65"/>
      <c r="F4" s="54"/>
      <c r="G4" s="54"/>
      <c r="H4" s="54"/>
      <c r="I4" s="68"/>
      <c r="J4" s="56"/>
      <c r="K4" s="54"/>
      <c r="L4" s="54"/>
      <c r="M4" s="54"/>
      <c r="N4" s="55"/>
      <c r="O4" s="54"/>
      <c r="P4" s="54"/>
      <c r="Q4" s="54"/>
      <c r="R4" s="54"/>
      <c r="S4" s="54"/>
      <c r="T4" s="54"/>
      <c r="U4" s="54"/>
      <c r="V4" s="54"/>
      <c r="W4" s="54"/>
      <c r="X4" s="54"/>
      <c r="Y4" s="55"/>
      <c r="Z4" s="65"/>
      <c r="AA4" s="54"/>
      <c r="AB4" s="54"/>
      <c r="AC4" s="55"/>
    </row>
    <row r="5" spans="1:29" ht="42.75" customHeight="1" x14ac:dyDescent="0.2">
      <c r="A5" s="70" t="s">
        <v>789</v>
      </c>
      <c r="B5" s="60"/>
      <c r="C5" s="60"/>
      <c r="D5" s="55"/>
      <c r="E5" s="65"/>
      <c r="F5" s="54"/>
      <c r="G5" s="54"/>
      <c r="H5" s="54"/>
      <c r="I5" s="68"/>
      <c r="J5" s="56"/>
      <c r="K5" s="54"/>
      <c r="L5" s="54"/>
      <c r="M5" s="54"/>
      <c r="N5" s="55"/>
      <c r="O5" s="54"/>
      <c r="P5" s="54"/>
      <c r="Q5" s="54"/>
      <c r="R5" s="54"/>
      <c r="S5" s="54"/>
      <c r="T5" s="54"/>
      <c r="U5" s="54"/>
      <c r="V5" s="54"/>
      <c r="W5" s="54"/>
      <c r="X5" s="54"/>
      <c r="Y5" s="55"/>
      <c r="Z5" s="65"/>
      <c r="AA5" s="54"/>
      <c r="AB5" s="54"/>
      <c r="AC5" s="55"/>
    </row>
    <row r="6" spans="1:29" ht="42.75" customHeight="1" x14ac:dyDescent="0.2">
      <c r="A6" s="70" t="s">
        <v>788</v>
      </c>
      <c r="B6" s="60"/>
      <c r="C6" s="60"/>
      <c r="D6" s="55"/>
      <c r="E6" s="65"/>
      <c r="F6" s="54"/>
      <c r="G6" s="54"/>
      <c r="H6" s="54"/>
      <c r="I6" s="68"/>
      <c r="J6" s="56"/>
      <c r="K6" s="54"/>
      <c r="L6" s="54"/>
      <c r="M6" s="54"/>
      <c r="N6" s="55"/>
      <c r="O6" s="54"/>
      <c r="P6" s="54"/>
      <c r="Q6" s="54"/>
      <c r="R6" s="54"/>
      <c r="S6" s="54"/>
      <c r="T6" s="54"/>
      <c r="U6" s="54"/>
      <c r="V6" s="54"/>
      <c r="W6" s="54"/>
      <c r="X6" s="54"/>
      <c r="Y6" s="55"/>
      <c r="Z6" s="65"/>
      <c r="AA6" s="54"/>
      <c r="AB6" s="54"/>
      <c r="AC6" s="55"/>
    </row>
    <row r="7" spans="1:29" ht="42.75" customHeight="1" x14ac:dyDescent="0.2">
      <c r="A7" s="70" t="s">
        <v>786</v>
      </c>
      <c r="B7" s="60" t="s">
        <v>763</v>
      </c>
      <c r="C7" s="60" t="s">
        <v>766</v>
      </c>
      <c r="D7" s="59"/>
      <c r="E7" s="66"/>
      <c r="F7" s="58"/>
      <c r="G7" s="58"/>
      <c r="H7" s="58"/>
      <c r="I7" s="69"/>
      <c r="J7" s="57"/>
      <c r="K7" s="58"/>
      <c r="L7" s="58"/>
      <c r="M7" s="58"/>
      <c r="N7" s="59"/>
      <c r="O7" s="58"/>
      <c r="P7" s="58"/>
      <c r="Q7" s="58"/>
      <c r="R7" s="58"/>
      <c r="S7" s="58"/>
      <c r="T7" s="58"/>
      <c r="U7" s="58"/>
      <c r="V7" s="58"/>
      <c r="W7" s="58"/>
      <c r="X7" s="58"/>
      <c r="Y7" s="59"/>
      <c r="Z7" s="66"/>
      <c r="AA7" s="58"/>
      <c r="AB7" s="58"/>
      <c r="AC7" s="59"/>
    </row>
    <row r="8" spans="1:29" ht="42.75" customHeight="1" x14ac:dyDescent="0.2">
      <c r="A8" s="70" t="s">
        <v>787</v>
      </c>
      <c r="B8" s="60" t="s">
        <v>771</v>
      </c>
      <c r="C8" s="60" t="s">
        <v>772</v>
      </c>
      <c r="D8" s="54"/>
      <c r="E8" s="65"/>
      <c r="F8" s="54"/>
      <c r="G8" s="54"/>
      <c r="H8" s="54"/>
      <c r="I8" s="68"/>
      <c r="J8" s="54"/>
      <c r="K8" s="54"/>
      <c r="L8" s="54"/>
      <c r="M8" s="54"/>
      <c r="N8" s="55"/>
      <c r="O8" s="54"/>
      <c r="P8" s="54"/>
      <c r="Q8" s="54"/>
      <c r="R8" s="54"/>
      <c r="S8" s="54"/>
      <c r="T8" s="54"/>
      <c r="U8" s="54"/>
      <c r="V8" s="54"/>
      <c r="W8" s="54"/>
      <c r="X8" s="54"/>
      <c r="Y8" s="55"/>
      <c r="Z8" s="65"/>
      <c r="AA8" s="54"/>
      <c r="AB8" s="54"/>
      <c r="AC8" s="55"/>
    </row>
    <row r="9" spans="1:29" ht="42.75" customHeight="1" x14ac:dyDescent="0.2">
      <c r="A9" s="78" t="s">
        <v>793</v>
      </c>
      <c r="B9" s="60"/>
      <c r="C9" s="60"/>
      <c r="D9" s="54"/>
      <c r="E9" s="65"/>
      <c r="F9" s="54"/>
      <c r="G9" s="54"/>
      <c r="H9" s="54"/>
      <c r="I9" s="68"/>
      <c r="J9" s="54"/>
      <c r="K9" s="54"/>
      <c r="L9" s="54"/>
      <c r="M9" s="54"/>
      <c r="N9" s="55"/>
      <c r="O9" s="54"/>
      <c r="P9" s="54"/>
      <c r="Q9" s="54"/>
      <c r="R9" s="54"/>
      <c r="S9" s="54"/>
      <c r="T9" s="54"/>
      <c r="U9" s="54"/>
      <c r="V9" s="54"/>
      <c r="W9" s="54"/>
      <c r="X9" s="54"/>
      <c r="Y9" s="55"/>
      <c r="Z9" s="65"/>
      <c r="AA9" s="54"/>
      <c r="AB9" s="54"/>
      <c r="AC9" s="55"/>
    </row>
    <row r="10" spans="1:29" ht="42.75" customHeight="1" x14ac:dyDescent="0.2">
      <c r="A10" s="78" t="s">
        <v>794</v>
      </c>
      <c r="B10" s="60"/>
      <c r="C10" s="60"/>
      <c r="D10" s="54"/>
      <c r="E10" s="65"/>
      <c r="F10" s="54"/>
      <c r="G10" s="54"/>
      <c r="H10" s="54"/>
      <c r="I10" s="68"/>
      <c r="J10" s="54"/>
      <c r="K10" s="54"/>
      <c r="L10" s="54"/>
      <c r="M10" s="54"/>
      <c r="N10" s="55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5"/>
      <c r="Z10" s="65"/>
      <c r="AA10" s="54"/>
      <c r="AB10" s="54"/>
      <c r="AC10" s="55"/>
    </row>
    <row r="11" spans="1:29" ht="42.75" customHeight="1" x14ac:dyDescent="0.2">
      <c r="A11" s="78" t="s">
        <v>795</v>
      </c>
      <c r="B11" s="60"/>
      <c r="C11" s="60"/>
      <c r="D11" s="54"/>
      <c r="E11" s="65"/>
      <c r="F11" s="54"/>
      <c r="G11" s="54"/>
      <c r="H11" s="54"/>
      <c r="I11" s="68"/>
      <c r="J11" s="54"/>
      <c r="K11" s="54"/>
      <c r="L11" s="54"/>
      <c r="M11" s="54"/>
      <c r="N11" s="55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65"/>
      <c r="AA11" s="54"/>
      <c r="AB11" s="54"/>
      <c r="AC11" s="55"/>
    </row>
    <row r="12" spans="1:29" ht="42.75" customHeight="1" x14ac:dyDescent="0.2">
      <c r="A12" s="79" t="s">
        <v>796</v>
      </c>
      <c r="B12" s="61"/>
      <c r="C12" s="61"/>
      <c r="D12" s="58"/>
      <c r="E12" s="66"/>
      <c r="F12" s="58"/>
      <c r="G12" s="58"/>
      <c r="H12" s="58"/>
      <c r="I12" s="69"/>
      <c r="J12" s="58"/>
      <c r="K12" s="58"/>
      <c r="L12" s="58"/>
      <c r="M12" s="58"/>
      <c r="N12" s="59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9"/>
      <c r="Z12" s="66"/>
      <c r="AA12" s="58"/>
      <c r="AB12" s="58"/>
      <c r="AC12" s="59"/>
    </row>
  </sheetData>
  <phoneticPr fontId="2" type="noConversion"/>
  <printOptions horizontalCentered="1" verticalCentered="1"/>
  <pageMargins left="0.31496062992125984" right="3.937007874015748E-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C24" sqref="C24"/>
    </sheetView>
  </sheetViews>
  <sheetFormatPr defaultRowHeight="14.25" x14ac:dyDescent="0.2"/>
  <cols>
    <col min="1" max="1" width="16" bestFit="1" customWidth="1"/>
    <col min="2" max="2" width="7.25" bestFit="1" customWidth="1"/>
    <col min="3" max="3" width="77.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43539.375</v>
      </c>
      <c r="B2" s="2">
        <v>43538</v>
      </c>
      <c r="C2" s="3" t="s">
        <v>3</v>
      </c>
    </row>
    <row r="3" spans="1:3" x14ac:dyDescent="0.2">
      <c r="A3" s="1">
        <v>43539.525000000001</v>
      </c>
      <c r="B3" s="2">
        <v>43545</v>
      </c>
      <c r="C3" s="3" t="s">
        <v>6</v>
      </c>
    </row>
    <row r="4" spans="1:3" x14ac:dyDescent="0.2">
      <c r="A4" s="1">
        <v>43539.525000000001</v>
      </c>
      <c r="B4" s="2">
        <v>43545</v>
      </c>
      <c r="C4" s="3" t="s">
        <v>4</v>
      </c>
    </row>
    <row r="5" spans="1:3" x14ac:dyDescent="0.2">
      <c r="A5" s="1">
        <v>43539.683333333334</v>
      </c>
      <c r="B5" s="2">
        <v>43543</v>
      </c>
      <c r="C5" s="3" t="s">
        <v>5</v>
      </c>
    </row>
    <row r="6" spans="1:3" ht="28.5" x14ac:dyDescent="0.2">
      <c r="A6" s="1">
        <v>43542.364583333336</v>
      </c>
      <c r="B6" s="2">
        <v>43543</v>
      </c>
      <c r="C6" s="3" t="s">
        <v>8</v>
      </c>
    </row>
    <row r="7" spans="1:3" x14ac:dyDescent="0.2">
      <c r="A7" s="1">
        <v>43542.390972222223</v>
      </c>
      <c r="B7" s="2"/>
      <c r="C7" s="3" t="s">
        <v>9</v>
      </c>
    </row>
    <row r="8" spans="1:3" x14ac:dyDescent="0.2">
      <c r="A8" s="1">
        <v>43542.402777777781</v>
      </c>
      <c r="B8" s="2">
        <v>43551</v>
      </c>
      <c r="C8" s="3" t="s">
        <v>10</v>
      </c>
    </row>
    <row r="9" spans="1:3" x14ac:dyDescent="0.2">
      <c r="A9" s="1">
        <v>43542.40347222222</v>
      </c>
      <c r="B9" s="2">
        <v>43546</v>
      </c>
      <c r="C9" s="3" t="s">
        <v>11</v>
      </c>
    </row>
    <row r="10" spans="1:3" x14ac:dyDescent="0.2">
      <c r="A10" s="1">
        <v>43542.461111111108</v>
      </c>
      <c r="B10" s="2"/>
      <c r="C10" s="3" t="s">
        <v>12</v>
      </c>
    </row>
    <row r="11" spans="1:3" x14ac:dyDescent="0.2">
      <c r="A11" s="1">
        <v>43542.535416666666</v>
      </c>
      <c r="B11" s="2"/>
      <c r="C11" s="3" t="s">
        <v>13</v>
      </c>
    </row>
    <row r="12" spans="1:3" x14ac:dyDescent="0.2">
      <c r="A12" s="1">
        <v>43542.554166666669</v>
      </c>
      <c r="B12" s="2">
        <v>43543</v>
      </c>
      <c r="C12" s="3" t="s">
        <v>14</v>
      </c>
    </row>
    <row r="13" spans="1:3" x14ac:dyDescent="0.2">
      <c r="A13" s="1">
        <v>43542.56527777778</v>
      </c>
      <c r="B13" s="2">
        <v>43545</v>
      </c>
      <c r="C13" s="3" t="s">
        <v>15</v>
      </c>
    </row>
    <row r="14" spans="1:3" x14ac:dyDescent="0.2">
      <c r="A14" s="1">
        <v>43542.664583333331</v>
      </c>
      <c r="B14" s="2">
        <v>43545</v>
      </c>
      <c r="C14" s="3" t="s">
        <v>17</v>
      </c>
    </row>
    <row r="15" spans="1:3" x14ac:dyDescent="0.2">
      <c r="A15" s="1">
        <v>43543.369444444441</v>
      </c>
      <c r="B15" s="2">
        <v>43545</v>
      </c>
      <c r="C15" s="3" t="s">
        <v>16</v>
      </c>
    </row>
    <row r="16" spans="1:3" x14ac:dyDescent="0.2">
      <c r="A16" s="1">
        <v>43543.541666666664</v>
      </c>
      <c r="B16" s="2">
        <v>43545</v>
      </c>
      <c r="C16" s="3" t="s">
        <v>18</v>
      </c>
    </row>
    <row r="17" spans="1:3" x14ac:dyDescent="0.2">
      <c r="A17" s="1">
        <v>43543.666666666664</v>
      </c>
      <c r="B17" s="2">
        <v>43548</v>
      </c>
      <c r="C17" s="3" t="s">
        <v>19</v>
      </c>
    </row>
    <row r="18" spans="1:3" x14ac:dyDescent="0.2">
      <c r="A18" s="1">
        <v>43545.632638888892</v>
      </c>
      <c r="B18" s="2"/>
      <c r="C18" s="3" t="s">
        <v>376</v>
      </c>
    </row>
    <row r="19" spans="1:3" x14ac:dyDescent="0.2">
      <c r="A19" s="1"/>
      <c r="B19" s="2"/>
      <c r="C19" s="3"/>
    </row>
    <row r="20" spans="1:3" x14ac:dyDescent="0.2">
      <c r="A20" s="1"/>
      <c r="B20" s="2"/>
      <c r="C20" s="3"/>
    </row>
    <row r="21" spans="1:3" x14ac:dyDescent="0.2">
      <c r="A21" s="1"/>
      <c r="B21" s="2"/>
      <c r="C21" s="3"/>
    </row>
    <row r="22" spans="1:3" x14ac:dyDescent="0.2">
      <c r="A22" s="1"/>
      <c r="B22" s="2"/>
      <c r="C22" s="3"/>
    </row>
    <row r="23" spans="1:3" x14ac:dyDescent="0.2">
      <c r="A23" s="1"/>
      <c r="B23" s="2"/>
      <c r="C23" s="3"/>
    </row>
    <row r="24" spans="1:3" x14ac:dyDescent="0.2">
      <c r="A24" s="1"/>
      <c r="B24" s="2"/>
      <c r="C24" s="3"/>
    </row>
    <row r="25" spans="1:3" x14ac:dyDescent="0.2">
      <c r="A25" s="1"/>
      <c r="B25" s="2"/>
      <c r="C25" s="3"/>
    </row>
    <row r="26" spans="1:3" x14ac:dyDescent="0.2">
      <c r="A26" s="1"/>
      <c r="B26" s="2"/>
      <c r="C26" s="3"/>
    </row>
    <row r="27" spans="1:3" x14ac:dyDescent="0.2">
      <c r="A27" s="1"/>
      <c r="B27" s="2"/>
      <c r="C27" s="3"/>
    </row>
    <row r="28" spans="1:3" x14ac:dyDescent="0.2">
      <c r="A28" s="1"/>
      <c r="B28" s="2"/>
      <c r="C28" s="3"/>
    </row>
    <row r="29" spans="1:3" x14ac:dyDescent="0.2">
      <c r="A29" s="1"/>
      <c r="B29" s="2"/>
      <c r="C29" s="3"/>
    </row>
    <row r="30" spans="1:3" x14ac:dyDescent="0.2">
      <c r="A30" s="1"/>
      <c r="B30" s="2"/>
      <c r="C30" s="3"/>
    </row>
    <row r="31" spans="1:3" x14ac:dyDescent="0.2">
      <c r="A31" s="1"/>
      <c r="B31" s="2"/>
      <c r="C31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47D8-AE1C-488F-B4CB-0904A2F7146C}">
  <dimension ref="B1:AL184"/>
  <sheetViews>
    <sheetView tabSelected="1" zoomScaleNormal="100" workbookViewId="0">
      <pane ySplit="1" topLeftCell="A2" activePane="bottomLeft" state="frozen"/>
      <selection activeCell="D1" sqref="D1"/>
      <selection pane="bottomLeft" activeCell="L195" sqref="L195"/>
    </sheetView>
  </sheetViews>
  <sheetFormatPr defaultRowHeight="14.25" x14ac:dyDescent="0.2"/>
  <cols>
    <col min="1" max="1" width="2.375" style="21" customWidth="1"/>
    <col min="2" max="2" width="5.625" style="21" customWidth="1"/>
    <col min="3" max="3" width="4" style="21" customWidth="1"/>
    <col min="4" max="4" width="13" style="21" customWidth="1"/>
    <col min="5" max="5" width="7.25" style="21" customWidth="1"/>
    <col min="6" max="7" width="18.125" style="21" customWidth="1"/>
    <col min="8" max="8" width="20.25" style="21" customWidth="1"/>
    <col min="9" max="9" width="5.625" style="21" customWidth="1"/>
    <col min="10" max="10" width="8.5" style="21" customWidth="1"/>
    <col min="11" max="11" width="6.5" style="21" customWidth="1"/>
    <col min="12" max="12" width="7.25" style="21" customWidth="1"/>
    <col min="13" max="13" width="8.5" style="21" customWidth="1"/>
    <col min="14" max="14" width="7.25" style="21" customWidth="1"/>
    <col min="15" max="15" width="40" style="21" customWidth="1"/>
    <col min="16" max="16" width="8.125" style="21" customWidth="1"/>
    <col min="17" max="17" width="13.5" style="21" customWidth="1"/>
    <col min="18" max="18" width="11.625" style="21" customWidth="1"/>
    <col min="19" max="19" width="9" style="21"/>
    <col min="20" max="20" width="19" style="21" bestFit="1" customWidth="1"/>
    <col min="21" max="21" width="20.25" style="21" bestFit="1" customWidth="1"/>
    <col min="22" max="22" width="5.375" style="21" customWidth="1"/>
    <col min="23" max="23" width="8.5" style="21" customWidth="1"/>
    <col min="24" max="24" width="6.5" style="21" customWidth="1"/>
    <col min="25" max="25" width="40" style="21" customWidth="1"/>
    <col min="26" max="26" width="7.25" style="21" hidden="1" customWidth="1"/>
    <col min="27" max="27" width="13.75" style="21" bestFit="1" customWidth="1"/>
    <col min="28" max="28" width="11.625" style="21" bestFit="1" customWidth="1"/>
    <col min="29" max="29" width="6.375" style="21" bestFit="1" customWidth="1"/>
    <col min="30" max="30" width="8.5" style="21" bestFit="1" customWidth="1"/>
    <col min="31" max="31" width="6.5" style="21" bestFit="1" customWidth="1"/>
    <col min="32" max="32" width="9" style="21"/>
    <col min="33" max="33" width="18.125" style="21" customWidth="1"/>
    <col min="34" max="34" width="20.25" style="21" hidden="1" customWidth="1"/>
    <col min="35" max="35" width="11.5" style="21" customWidth="1"/>
    <col min="36" max="37" width="11.5" style="21" hidden="1" customWidth="1"/>
    <col min="38" max="38" width="9" style="21" hidden="1" customWidth="1"/>
    <col min="39" max="16384" width="9" style="21"/>
  </cols>
  <sheetData>
    <row r="1" spans="2:38" x14ac:dyDescent="0.2">
      <c r="B1" s="21" t="s">
        <v>193</v>
      </c>
      <c r="C1" s="21" t="s">
        <v>194</v>
      </c>
      <c r="D1" s="21" t="s">
        <v>360</v>
      </c>
      <c r="E1" s="21" t="s">
        <v>472</v>
      </c>
      <c r="F1" s="21" t="s">
        <v>857</v>
      </c>
      <c r="G1" s="21" t="s">
        <v>195</v>
      </c>
      <c r="H1" s="21" t="s">
        <v>196</v>
      </c>
      <c r="I1" s="21" t="s">
        <v>199</v>
      </c>
      <c r="J1" s="21" t="s">
        <v>200</v>
      </c>
      <c r="K1" s="21" t="s">
        <v>201</v>
      </c>
      <c r="L1" s="21" t="s">
        <v>714</v>
      </c>
      <c r="M1" s="21" t="s">
        <v>715</v>
      </c>
      <c r="N1" s="21" t="s">
        <v>716</v>
      </c>
      <c r="O1" s="21" t="s">
        <v>202</v>
      </c>
      <c r="P1" s="21" t="s">
        <v>436</v>
      </c>
      <c r="Q1" s="21" t="s">
        <v>197</v>
      </c>
      <c r="R1" s="21" t="s">
        <v>198</v>
      </c>
      <c r="T1" s="21" t="s">
        <v>644</v>
      </c>
      <c r="U1" s="21" t="s">
        <v>634</v>
      </c>
      <c r="V1" s="21" t="s">
        <v>635</v>
      </c>
      <c r="W1" s="21" t="s">
        <v>636</v>
      </c>
      <c r="X1" s="21" t="s">
        <v>637</v>
      </c>
      <c r="Y1" s="21" t="s">
        <v>638</v>
      </c>
      <c r="Z1" s="21" t="s">
        <v>1018</v>
      </c>
      <c r="AA1" s="21" t="s">
        <v>639</v>
      </c>
      <c r="AB1" s="21" t="s">
        <v>640</v>
      </c>
      <c r="AC1" s="21" t="s">
        <v>641</v>
      </c>
      <c r="AD1" s="21" t="s">
        <v>642</v>
      </c>
      <c r="AE1" s="21" t="s">
        <v>643</v>
      </c>
      <c r="AG1" s="21" t="s">
        <v>1020</v>
      </c>
      <c r="AH1" s="21" t="s">
        <v>1025</v>
      </c>
      <c r="AI1" s="21" t="s">
        <v>1021</v>
      </c>
      <c r="AJ1" s="21" t="s">
        <v>1022</v>
      </c>
      <c r="AK1" s="21" t="s">
        <v>1023</v>
      </c>
      <c r="AL1" s="21" t="s">
        <v>1024</v>
      </c>
    </row>
    <row r="2" spans="2:38" ht="24" hidden="1" x14ac:dyDescent="0.2">
      <c r="B2" s="22">
        <v>43545</v>
      </c>
      <c r="C2" s="23">
        <v>1</v>
      </c>
      <c r="D2" s="23" t="s">
        <v>361</v>
      </c>
      <c r="E2" s="23"/>
      <c r="F2" s="24"/>
      <c r="G2" s="24" t="s">
        <v>203</v>
      </c>
      <c r="H2" s="24" t="s">
        <v>204</v>
      </c>
      <c r="I2" s="23">
        <v>1</v>
      </c>
      <c r="J2" s="23">
        <v>354.5</v>
      </c>
      <c r="K2" s="23">
        <v>0.9</v>
      </c>
      <c r="L2" s="51">
        <v>1</v>
      </c>
      <c r="M2" s="51">
        <v>354.5</v>
      </c>
      <c r="N2" s="51">
        <v>0.9</v>
      </c>
      <c r="O2" s="31" t="s">
        <v>206</v>
      </c>
      <c r="P2" s="24"/>
      <c r="Q2" s="23" t="s">
        <v>205</v>
      </c>
      <c r="R2" s="25" t="s">
        <v>350</v>
      </c>
      <c r="T2" s="23">
        <f>表1_8[[#This Row],[客户编号]]</f>
        <v>0</v>
      </c>
      <c r="U2" s="23" t="str">
        <f>表1_8[[#This Row],[MASTER B/L]]</f>
        <v>DJSCSHBMVE90644A</v>
      </c>
      <c r="V2" s="23">
        <f>表1_8[[#This Row],[件]]</f>
        <v>1</v>
      </c>
      <c r="W2" s="23">
        <f>表1_8[[#This Row],[毛]]</f>
        <v>354.5</v>
      </c>
      <c r="X2" s="23">
        <f>表1_8[[#This Row],[体]]</f>
        <v>0.9</v>
      </c>
      <c r="Y2" s="31" t="str">
        <f>表1_8[[#This Row],[品名]]</f>
        <v>BALL BEARING
WASHER-PLAIN</v>
      </c>
      <c r="Z2" s="31" t="str">
        <f>RIGHT(表1_8[[#This Row],[编]],4)</f>
        <v/>
      </c>
      <c r="AA2" s="23" t="str">
        <f>表1_8[[#This Row],[箱号]]</f>
        <v>BEAU4630480</v>
      </c>
      <c r="AB2" s="25" t="str">
        <f>表1_8[[#This Row],[封号]]</f>
        <v>720859</v>
      </c>
      <c r="AC2" s="23">
        <f>表2[[#This Row],[件]]</f>
        <v>1</v>
      </c>
      <c r="AD2" s="23">
        <f>表2[[#This Row],[毛]]</f>
        <v>354.5</v>
      </c>
      <c r="AE2" s="23">
        <f>表2[[#This Row],[体]]</f>
        <v>0.9</v>
      </c>
      <c r="AG2" s="23" t="str">
        <f>表1_8[[#This Row],[HOUSE B/L]]</f>
        <v>YJCSHAN1902789</v>
      </c>
      <c r="AH2" s="23" t="str">
        <f>表1_8[[#This Row],[MASTER B/L]]</f>
        <v>DJSCSHBMVE90644A</v>
      </c>
      <c r="AI2" s="23" t="str">
        <f>"ETD"&amp;TEXT(表1_8[[#This Row],[ETD]],"mmdd")&amp;" "&amp;表1_8[[#This Row],[HOUSE B/L]]&amp;" "&amp;表1_8[[#This Row],[MASTER B/L]]&amp;" CHECK BL"</f>
        <v>ETD0321 YJCSHAN1902789 DJSCSHBMVE90644A CHECK BL</v>
      </c>
      <c r="AJ2" s="23" t="str">
        <f>"ETD"&amp;TEXT(表1_8[[#This Row],[ETD]],"mmdd")&amp;" "&amp;表1_8[[#This Row],[HOUSE B/L]]&amp;" "&amp;表1_8[[#This Row],[MASTER B/L]]&amp;" 报关单"</f>
        <v>ETD0321 YJCSHAN1902789 DJSCSHBMVE90644A 报关单</v>
      </c>
      <c r="AK2" s="23" t="str">
        <f>"ETD"&amp;TEXT(表1_8[[#This Row],[ETD]],"mmdd")&amp;" "&amp;表1_8[[#This Row],[HOUSE B/L]]&amp;" "&amp;表1_8[[#This Row],[MASTER B/L]]&amp;" 放行单"</f>
        <v>ETD0321 YJCSHAN1902789 DJSCSHBMVE90644A 放行单</v>
      </c>
      <c r="AL2" s="23" t="str">
        <f>"ETD"&amp;TEXT(表1_8[[#This Row],[ETD]],"mmdd")&amp;" "&amp;表1_8[[#This Row],[HOUSE B/L]]&amp;" "&amp;表1_8[[#This Row],[MASTER B/L]]&amp;" SURRENDERED BL"</f>
        <v>ETD0321 YJCSHAN1902789 DJSCSHBMVE90644A SURRENDERED BL</v>
      </c>
    </row>
    <row r="3" spans="2:38" ht="24" hidden="1" x14ac:dyDescent="0.2">
      <c r="B3" s="22">
        <v>43545</v>
      </c>
      <c r="C3" s="23">
        <v>2</v>
      </c>
      <c r="D3" s="23" t="s">
        <v>362</v>
      </c>
      <c r="E3" s="23">
        <v>3881</v>
      </c>
      <c r="F3" s="24"/>
      <c r="G3" s="24" t="s">
        <v>207</v>
      </c>
      <c r="H3" s="24" t="s">
        <v>208</v>
      </c>
      <c r="I3" s="23">
        <v>9</v>
      </c>
      <c r="J3" s="23">
        <v>2500</v>
      </c>
      <c r="K3" s="23">
        <v>12.2</v>
      </c>
      <c r="L3" s="51">
        <v>9</v>
      </c>
      <c r="M3" s="51">
        <v>2500</v>
      </c>
      <c r="N3" s="51">
        <v>12.2</v>
      </c>
      <c r="O3" s="31" t="s">
        <v>210</v>
      </c>
      <c r="P3" s="24"/>
      <c r="Q3" s="23" t="s">
        <v>209</v>
      </c>
      <c r="R3" s="25" t="s">
        <v>351</v>
      </c>
      <c r="T3" s="23">
        <f>表1_8[[#This Row],[客户编号]]</f>
        <v>0</v>
      </c>
      <c r="U3" s="23" t="str">
        <f>表1_8[[#This Row],[MASTER B/L]]</f>
        <v>DJSCSHBMVE90644B</v>
      </c>
      <c r="V3" s="23">
        <f>表1_8[[#This Row],[件]]</f>
        <v>9</v>
      </c>
      <c r="W3" s="23">
        <f>表1_8[[#This Row],[毛]]</f>
        <v>2500</v>
      </c>
      <c r="X3" s="23">
        <f>表1_8[[#This Row],[体]]</f>
        <v>12.2</v>
      </c>
      <c r="Y3" s="31" t="str">
        <f>表1_8[[#This Row],[品名]]</f>
        <v>SHIFT PARTS
SPRING</v>
      </c>
      <c r="Z3" s="31" t="str">
        <f>RIGHT(表1_8[[#This Row],[编]],4)</f>
        <v/>
      </c>
      <c r="AA3" s="23" t="str">
        <f>表1_8[[#This Row],[箱号]]</f>
        <v>DRYU9061289</v>
      </c>
      <c r="AB3" s="25" t="str">
        <f>表1_8[[#This Row],[封号]]</f>
        <v>720909</v>
      </c>
      <c r="AC3" s="23">
        <f>表2[[#This Row],[件]]</f>
        <v>9</v>
      </c>
      <c r="AD3" s="23">
        <f>表2[[#This Row],[毛]]</f>
        <v>2500</v>
      </c>
      <c r="AE3" s="23">
        <f>表2[[#This Row],[体]]</f>
        <v>12.2</v>
      </c>
      <c r="AG3" s="23" t="str">
        <f>表1_8[[#This Row],[HOUSE B/L]]</f>
        <v>YJCSHAN1903881</v>
      </c>
      <c r="AH3" s="23" t="str">
        <f>表1_8[[#This Row],[MASTER B/L]]</f>
        <v>DJSCSHBMVE90644B</v>
      </c>
      <c r="AI3" s="23" t="str">
        <f>"ETD"&amp;TEXT(表1_8[[#This Row],[ETD]],"mmdd")&amp;" "&amp;表1_8[[#This Row],[HOUSE B/L]]&amp;" "&amp;表1_8[[#This Row],[MASTER B/L]]&amp;" CHECK BL"</f>
        <v>ETD0321 YJCSHAN1903881 DJSCSHBMVE90644B CHECK BL</v>
      </c>
      <c r="AJ3" s="23" t="str">
        <f>"ETD"&amp;TEXT(表1_8[[#This Row],[ETD]],"mmdd")&amp;" "&amp;表1_8[[#This Row],[HOUSE B/L]]&amp;" "&amp;表1_8[[#This Row],[MASTER B/L]]&amp;" 报关单"</f>
        <v>ETD0321 YJCSHAN1903881 DJSCSHBMVE90644B 报关单</v>
      </c>
      <c r="AK3" s="23" t="str">
        <f>"ETD"&amp;TEXT(表1_8[[#This Row],[ETD]],"mmdd")&amp;" "&amp;表1_8[[#This Row],[HOUSE B/L]]&amp;" "&amp;表1_8[[#This Row],[MASTER B/L]]&amp;" 放行单"</f>
        <v>ETD0321 YJCSHAN1903881 DJSCSHBMVE90644B 放行单</v>
      </c>
      <c r="AL3" s="23" t="str">
        <f>"ETD"&amp;TEXT(表1_8[[#This Row],[ETD]],"mmdd")&amp;" "&amp;表1_8[[#This Row],[HOUSE B/L]]&amp;" "&amp;表1_8[[#This Row],[MASTER B/L]]&amp;" SURRENDERED BL"</f>
        <v>ETD0321 YJCSHAN1903881 DJSCSHBMVE90644B SURRENDERED BL</v>
      </c>
    </row>
    <row r="4" spans="2:38" ht="36" hidden="1" x14ac:dyDescent="0.2">
      <c r="B4" s="22">
        <v>43545</v>
      </c>
      <c r="C4" s="23">
        <v>3</v>
      </c>
      <c r="D4" s="23" t="s">
        <v>362</v>
      </c>
      <c r="E4" s="23">
        <v>3881</v>
      </c>
      <c r="F4" s="24"/>
      <c r="G4" s="24" t="s">
        <v>214</v>
      </c>
      <c r="H4" s="24" t="s">
        <v>215</v>
      </c>
      <c r="I4" s="23">
        <v>5</v>
      </c>
      <c r="J4" s="23">
        <v>450</v>
      </c>
      <c r="K4" s="23">
        <v>5.4</v>
      </c>
      <c r="L4" s="51">
        <v>5</v>
      </c>
      <c r="M4" s="51">
        <v>450</v>
      </c>
      <c r="N4" s="51">
        <v>5.4</v>
      </c>
      <c r="O4" s="31" t="s">
        <v>216</v>
      </c>
      <c r="P4" s="24"/>
      <c r="Q4" s="23" t="s">
        <v>209</v>
      </c>
      <c r="R4" s="25" t="s">
        <v>351</v>
      </c>
      <c r="T4" s="23">
        <f>表1_8[[#This Row],[客户编号]]</f>
        <v>0</v>
      </c>
      <c r="U4" s="23" t="str">
        <f>表1_8[[#This Row],[MASTER B/L]]</f>
        <v>DJSCSHBMVE90644D</v>
      </c>
      <c r="V4" s="23">
        <f>表1_8[[#This Row],[件]]</f>
        <v>5</v>
      </c>
      <c r="W4" s="23">
        <f>表1_8[[#This Row],[毛]]</f>
        <v>450</v>
      </c>
      <c r="X4" s="23">
        <f>表1_8[[#This Row],[体]]</f>
        <v>5.4</v>
      </c>
      <c r="Y4" s="31" t="str">
        <f>表1_8[[#This Row],[品名]]</f>
        <v>BEZEL WITHOUT EPB
HOUSING-SWITCH, GM E2SC A/T
BEZEL WITH EPB</v>
      </c>
      <c r="Z4" s="31" t="str">
        <f>RIGHT(表1_8[[#This Row],[编]],4)</f>
        <v/>
      </c>
      <c r="AA4" s="23" t="str">
        <f>表1_8[[#This Row],[箱号]]</f>
        <v>DRYU9061289</v>
      </c>
      <c r="AB4" s="25" t="str">
        <f>表1_8[[#This Row],[封号]]</f>
        <v>720909</v>
      </c>
      <c r="AC4" s="23">
        <f>表2[[#This Row],[件]]</f>
        <v>5</v>
      </c>
      <c r="AD4" s="23">
        <f>表2[[#This Row],[毛]]</f>
        <v>450</v>
      </c>
      <c r="AE4" s="23">
        <f>表2[[#This Row],[体]]</f>
        <v>5.4</v>
      </c>
      <c r="AG4" s="23" t="str">
        <f>表1_8[[#This Row],[HOUSE B/L]]</f>
        <v>YJCSHAN1903996</v>
      </c>
      <c r="AH4" s="23" t="str">
        <f>表1_8[[#This Row],[MASTER B/L]]</f>
        <v>DJSCSHBMVE90644D</v>
      </c>
      <c r="AI4" s="23" t="str">
        <f>"ETD"&amp;TEXT(表1_8[[#This Row],[ETD]],"mmdd")&amp;" "&amp;表1_8[[#This Row],[HOUSE B/L]]&amp;" "&amp;表1_8[[#This Row],[MASTER B/L]]&amp;" CHECK BL"</f>
        <v>ETD0321 YJCSHAN1903996 DJSCSHBMVE90644D CHECK BL</v>
      </c>
      <c r="AJ4" s="23" t="str">
        <f>"ETD"&amp;TEXT(表1_8[[#This Row],[ETD]],"mmdd")&amp;" "&amp;表1_8[[#This Row],[HOUSE B/L]]&amp;" "&amp;表1_8[[#This Row],[MASTER B/L]]&amp;" 报关单"</f>
        <v>ETD0321 YJCSHAN1903996 DJSCSHBMVE90644D 报关单</v>
      </c>
      <c r="AK4" s="23" t="str">
        <f>"ETD"&amp;TEXT(表1_8[[#This Row],[ETD]],"mmdd")&amp;" "&amp;表1_8[[#This Row],[HOUSE B/L]]&amp;" "&amp;表1_8[[#This Row],[MASTER B/L]]&amp;" 放行单"</f>
        <v>ETD0321 YJCSHAN1903996 DJSCSHBMVE90644D 放行单</v>
      </c>
      <c r="AL4" s="23" t="str">
        <f>"ETD"&amp;TEXT(表1_8[[#This Row],[ETD]],"mmdd")&amp;" "&amp;表1_8[[#This Row],[HOUSE B/L]]&amp;" "&amp;表1_8[[#This Row],[MASTER B/L]]&amp;" SURRENDERED BL"</f>
        <v>ETD0321 YJCSHAN1903996 DJSCSHBMVE90644D SURRENDERED BL</v>
      </c>
    </row>
    <row r="5" spans="2:38" hidden="1" x14ac:dyDescent="0.2">
      <c r="B5" s="22">
        <v>43545</v>
      </c>
      <c r="C5" s="23">
        <v>4</v>
      </c>
      <c r="D5" s="23" t="s">
        <v>363</v>
      </c>
      <c r="E5" s="23"/>
      <c r="F5" s="24"/>
      <c r="G5" s="24" t="s">
        <v>217</v>
      </c>
      <c r="H5" s="24" t="s">
        <v>218</v>
      </c>
      <c r="I5" s="23">
        <v>1</v>
      </c>
      <c r="J5" s="23">
        <v>336</v>
      </c>
      <c r="K5" s="23">
        <v>0.33</v>
      </c>
      <c r="L5" s="51">
        <v>1</v>
      </c>
      <c r="M5" s="51">
        <v>336</v>
      </c>
      <c r="N5" s="51">
        <v>0.33</v>
      </c>
      <c r="O5" s="31" t="s">
        <v>219</v>
      </c>
      <c r="P5" s="24"/>
      <c r="Q5" s="23" t="s">
        <v>205</v>
      </c>
      <c r="R5" s="25" t="s">
        <v>350</v>
      </c>
      <c r="T5" s="23">
        <f>表1_8[[#This Row],[客户编号]]</f>
        <v>0</v>
      </c>
      <c r="U5" s="23" t="str">
        <f>表1_8[[#This Row],[MASTER B/L]]</f>
        <v>DJSCSHBMVE90644E</v>
      </c>
      <c r="V5" s="23">
        <f>表1_8[[#This Row],[件]]</f>
        <v>1</v>
      </c>
      <c r="W5" s="23">
        <f>表1_8[[#This Row],[毛]]</f>
        <v>336</v>
      </c>
      <c r="X5" s="23">
        <f>表1_8[[#This Row],[体]]</f>
        <v>0.33</v>
      </c>
      <c r="Y5" s="31" t="str">
        <f>表1_8[[#This Row],[品名]]</f>
        <v>BEARING</v>
      </c>
      <c r="Z5" s="31" t="str">
        <f>RIGHT(表1_8[[#This Row],[编]],4)</f>
        <v/>
      </c>
      <c r="AA5" s="23" t="str">
        <f>表1_8[[#This Row],[箱号]]</f>
        <v>BEAU4630480</v>
      </c>
      <c r="AB5" s="25" t="str">
        <f>表1_8[[#This Row],[封号]]</f>
        <v>720859</v>
      </c>
      <c r="AC5" s="23">
        <f>表2[[#This Row],[件]]</f>
        <v>1</v>
      </c>
      <c r="AD5" s="23">
        <f>表2[[#This Row],[毛]]</f>
        <v>336</v>
      </c>
      <c r="AE5" s="23">
        <f>表2[[#This Row],[体]]</f>
        <v>0.33</v>
      </c>
      <c r="AG5" s="23" t="str">
        <f>表1_8[[#This Row],[HOUSE B/L]]</f>
        <v>YJCSHAN1904001</v>
      </c>
      <c r="AH5" s="23" t="str">
        <f>表1_8[[#This Row],[MASTER B/L]]</f>
        <v>DJSCSHBMVE90644E</v>
      </c>
      <c r="AI5" s="23" t="str">
        <f>"ETD"&amp;TEXT(表1_8[[#This Row],[ETD]],"mmdd")&amp;" "&amp;表1_8[[#This Row],[HOUSE B/L]]&amp;" "&amp;表1_8[[#This Row],[MASTER B/L]]&amp;" CHECK BL"</f>
        <v>ETD0321 YJCSHAN1904001 DJSCSHBMVE90644E CHECK BL</v>
      </c>
      <c r="AJ5" s="23" t="str">
        <f>"ETD"&amp;TEXT(表1_8[[#This Row],[ETD]],"mmdd")&amp;" "&amp;表1_8[[#This Row],[HOUSE B/L]]&amp;" "&amp;表1_8[[#This Row],[MASTER B/L]]&amp;" 报关单"</f>
        <v>ETD0321 YJCSHAN1904001 DJSCSHBMVE90644E 报关单</v>
      </c>
      <c r="AK5" s="23" t="str">
        <f>"ETD"&amp;TEXT(表1_8[[#This Row],[ETD]],"mmdd")&amp;" "&amp;表1_8[[#This Row],[HOUSE B/L]]&amp;" "&amp;表1_8[[#This Row],[MASTER B/L]]&amp;" 放行单"</f>
        <v>ETD0321 YJCSHAN1904001 DJSCSHBMVE90644E 放行单</v>
      </c>
      <c r="AL5" s="23" t="str">
        <f>"ETD"&amp;TEXT(表1_8[[#This Row],[ETD]],"mmdd")&amp;" "&amp;表1_8[[#This Row],[HOUSE B/L]]&amp;" "&amp;表1_8[[#This Row],[MASTER B/L]]&amp;" SURRENDERED BL"</f>
        <v>ETD0321 YJCSHAN1904001 DJSCSHBMVE90644E SURRENDERED BL</v>
      </c>
    </row>
    <row r="6" spans="2:38" hidden="1" x14ac:dyDescent="0.2">
      <c r="B6" s="22">
        <v>43545</v>
      </c>
      <c r="C6" s="23">
        <v>5</v>
      </c>
      <c r="D6" s="23" t="s">
        <v>364</v>
      </c>
      <c r="E6" s="23"/>
      <c r="F6" s="24"/>
      <c r="G6" s="24" t="s">
        <v>220</v>
      </c>
      <c r="H6" s="24" t="s">
        <v>221</v>
      </c>
      <c r="I6" s="23">
        <v>2</v>
      </c>
      <c r="J6" s="23">
        <v>581.20000000000005</v>
      </c>
      <c r="K6" s="23">
        <v>3.44</v>
      </c>
      <c r="L6" s="51">
        <v>2</v>
      </c>
      <c r="M6" s="51">
        <v>581.20000000000005</v>
      </c>
      <c r="N6" s="51">
        <v>3.44</v>
      </c>
      <c r="O6" s="31" t="s">
        <v>222</v>
      </c>
      <c r="P6" s="24"/>
      <c r="Q6" s="23" t="s">
        <v>205</v>
      </c>
      <c r="R6" s="25" t="s">
        <v>350</v>
      </c>
      <c r="T6" s="23">
        <f>表1_8[[#This Row],[客户编号]]</f>
        <v>0</v>
      </c>
      <c r="U6" s="23" t="str">
        <f>表1_8[[#This Row],[MASTER B/L]]</f>
        <v>DJSCSHBMVE90644C</v>
      </c>
      <c r="V6" s="23">
        <f>表1_8[[#This Row],[件]]</f>
        <v>2</v>
      </c>
      <c r="W6" s="23">
        <f>表1_8[[#This Row],[毛]]</f>
        <v>581.20000000000005</v>
      </c>
      <c r="X6" s="23">
        <f>表1_8[[#This Row],[体]]</f>
        <v>3.44</v>
      </c>
      <c r="Y6" s="31" t="str">
        <f>表1_8[[#This Row],[品名]]</f>
        <v>TONNEAU COVER</v>
      </c>
      <c r="Z6" s="31" t="str">
        <f>RIGHT(表1_8[[#This Row],[编]],4)</f>
        <v/>
      </c>
      <c r="AA6" s="23" t="str">
        <f>表1_8[[#This Row],[箱号]]</f>
        <v>BEAU4630480</v>
      </c>
      <c r="AB6" s="25" t="str">
        <f>表1_8[[#This Row],[封号]]</f>
        <v>720859</v>
      </c>
      <c r="AC6" s="23">
        <f>表2[[#This Row],[件]]</f>
        <v>2</v>
      </c>
      <c r="AD6" s="23">
        <f>表2[[#This Row],[毛]]</f>
        <v>581.20000000000005</v>
      </c>
      <c r="AE6" s="23">
        <f>表2[[#This Row],[体]]</f>
        <v>3.44</v>
      </c>
      <c r="AG6" s="23" t="str">
        <f>表1_8[[#This Row],[HOUSE B/L]]</f>
        <v>YJCSHAN1904076</v>
      </c>
      <c r="AH6" s="23" t="str">
        <f>表1_8[[#This Row],[MASTER B/L]]</f>
        <v>DJSCSHBMVE90644C</v>
      </c>
      <c r="AI6" s="23" t="str">
        <f>"ETD"&amp;TEXT(表1_8[[#This Row],[ETD]],"mmdd")&amp;" "&amp;表1_8[[#This Row],[HOUSE B/L]]&amp;" "&amp;表1_8[[#This Row],[MASTER B/L]]&amp;" CHECK BL"</f>
        <v>ETD0321 YJCSHAN1904076 DJSCSHBMVE90644C CHECK BL</v>
      </c>
      <c r="AJ6" s="23" t="str">
        <f>"ETD"&amp;TEXT(表1_8[[#This Row],[ETD]],"mmdd")&amp;" "&amp;表1_8[[#This Row],[HOUSE B/L]]&amp;" "&amp;表1_8[[#This Row],[MASTER B/L]]&amp;" 报关单"</f>
        <v>ETD0321 YJCSHAN1904076 DJSCSHBMVE90644C 报关单</v>
      </c>
      <c r="AK6" s="23" t="str">
        <f>"ETD"&amp;TEXT(表1_8[[#This Row],[ETD]],"mmdd")&amp;" "&amp;表1_8[[#This Row],[HOUSE B/L]]&amp;" "&amp;表1_8[[#This Row],[MASTER B/L]]&amp;" 放行单"</f>
        <v>ETD0321 YJCSHAN1904076 DJSCSHBMVE90644C 放行单</v>
      </c>
      <c r="AL6" s="23" t="str">
        <f>"ETD"&amp;TEXT(表1_8[[#This Row],[ETD]],"mmdd")&amp;" "&amp;表1_8[[#This Row],[HOUSE B/L]]&amp;" "&amp;表1_8[[#This Row],[MASTER B/L]]&amp;" SURRENDERED BL"</f>
        <v>ETD0321 YJCSHAN1904076 DJSCSHBMVE90644C SURRENDERED BL</v>
      </c>
    </row>
    <row r="7" spans="2:38" hidden="1" x14ac:dyDescent="0.2">
      <c r="B7" s="22">
        <v>43545</v>
      </c>
      <c r="C7" s="23">
        <v>6</v>
      </c>
      <c r="D7" s="23" t="s">
        <v>365</v>
      </c>
      <c r="E7" s="23"/>
      <c r="F7" s="24"/>
      <c r="G7" s="24" t="s">
        <v>223</v>
      </c>
      <c r="H7" s="24" t="s">
        <v>224</v>
      </c>
      <c r="I7" s="23">
        <v>5</v>
      </c>
      <c r="J7" s="23">
        <v>2202</v>
      </c>
      <c r="K7" s="23">
        <v>4.7869999999999999</v>
      </c>
      <c r="L7" s="51">
        <v>5</v>
      </c>
      <c r="M7" s="51">
        <v>2202</v>
      </c>
      <c r="N7" s="51">
        <v>4.7869999999999999</v>
      </c>
      <c r="O7" s="31" t="s">
        <v>225</v>
      </c>
      <c r="P7" s="24"/>
      <c r="Q7" s="23" t="s">
        <v>205</v>
      </c>
      <c r="R7" s="25" t="s">
        <v>350</v>
      </c>
      <c r="T7" s="23">
        <f>表1_8[[#This Row],[客户编号]]</f>
        <v>0</v>
      </c>
      <c r="U7" s="23" t="str">
        <f>表1_8[[#This Row],[MASTER B/L]]</f>
        <v>DJSCSHBMVE90644F</v>
      </c>
      <c r="V7" s="23">
        <f>表1_8[[#This Row],[件]]</f>
        <v>5</v>
      </c>
      <c r="W7" s="23">
        <f>表1_8[[#This Row],[毛]]</f>
        <v>2202</v>
      </c>
      <c r="X7" s="23">
        <f>表1_8[[#This Row],[体]]</f>
        <v>4.7869999999999999</v>
      </c>
      <c r="Y7" s="31" t="str">
        <f>表1_8[[#This Row],[品名]]</f>
        <v>HEATING ELEMENT</v>
      </c>
      <c r="Z7" s="31" t="str">
        <f>RIGHT(表1_8[[#This Row],[编]],4)</f>
        <v/>
      </c>
      <c r="AA7" s="23" t="str">
        <f>表1_8[[#This Row],[箱号]]</f>
        <v>BEAU4630480</v>
      </c>
      <c r="AB7" s="25" t="str">
        <f>表1_8[[#This Row],[封号]]</f>
        <v>720859</v>
      </c>
      <c r="AC7" s="23">
        <f>表2[[#This Row],[件]]</f>
        <v>5</v>
      </c>
      <c r="AD7" s="23">
        <f>表2[[#This Row],[毛]]</f>
        <v>2202</v>
      </c>
      <c r="AE7" s="23">
        <f>表2[[#This Row],[体]]</f>
        <v>4.7869999999999999</v>
      </c>
      <c r="AG7" s="23" t="str">
        <f>表1_8[[#This Row],[HOUSE B/L]]</f>
        <v>YJCSHAN1904104</v>
      </c>
      <c r="AH7" s="23" t="str">
        <f>表1_8[[#This Row],[MASTER B/L]]</f>
        <v>DJSCSHBMVE90644F</v>
      </c>
      <c r="AI7" s="23" t="str">
        <f>"ETD"&amp;TEXT(表1_8[[#This Row],[ETD]],"mmdd")&amp;" "&amp;表1_8[[#This Row],[HOUSE B/L]]&amp;" "&amp;表1_8[[#This Row],[MASTER B/L]]&amp;" CHECK BL"</f>
        <v>ETD0321 YJCSHAN1904104 DJSCSHBMVE90644F CHECK BL</v>
      </c>
      <c r="AJ7" s="23" t="str">
        <f>"ETD"&amp;TEXT(表1_8[[#This Row],[ETD]],"mmdd")&amp;" "&amp;表1_8[[#This Row],[HOUSE B/L]]&amp;" "&amp;表1_8[[#This Row],[MASTER B/L]]&amp;" 报关单"</f>
        <v>ETD0321 YJCSHAN1904104 DJSCSHBMVE90644F 报关单</v>
      </c>
      <c r="AK7" s="23" t="str">
        <f>"ETD"&amp;TEXT(表1_8[[#This Row],[ETD]],"mmdd")&amp;" "&amp;表1_8[[#This Row],[HOUSE B/L]]&amp;" "&amp;表1_8[[#This Row],[MASTER B/L]]&amp;" 放行单"</f>
        <v>ETD0321 YJCSHAN1904104 DJSCSHBMVE90644F 放行单</v>
      </c>
      <c r="AL7" s="23" t="str">
        <f>"ETD"&amp;TEXT(表1_8[[#This Row],[ETD]],"mmdd")&amp;" "&amp;表1_8[[#This Row],[HOUSE B/L]]&amp;" "&amp;表1_8[[#This Row],[MASTER B/L]]&amp;" SURRENDERED BL"</f>
        <v>ETD0321 YJCSHAN1904104 DJSCSHBMVE90644F SURRENDERED BL</v>
      </c>
    </row>
    <row r="8" spans="2:38" hidden="1" x14ac:dyDescent="0.2">
      <c r="B8" s="22">
        <v>43545</v>
      </c>
      <c r="C8" s="23">
        <v>7</v>
      </c>
      <c r="D8" s="23" t="s">
        <v>362</v>
      </c>
      <c r="E8" s="23">
        <v>3881</v>
      </c>
      <c r="F8" s="24"/>
      <c r="G8" s="24" t="s">
        <v>226</v>
      </c>
      <c r="H8" s="24" t="s">
        <v>227</v>
      </c>
      <c r="I8" s="23">
        <v>12</v>
      </c>
      <c r="J8" s="23">
        <v>660</v>
      </c>
      <c r="K8" s="23">
        <v>16.239999999999998</v>
      </c>
      <c r="L8" s="51">
        <v>12</v>
      </c>
      <c r="M8" s="51">
        <v>660</v>
      </c>
      <c r="N8" s="51">
        <v>16.239999999999998</v>
      </c>
      <c r="O8" s="31" t="s">
        <v>228</v>
      </c>
      <c r="P8" s="24"/>
      <c r="Q8" s="23" t="s">
        <v>209</v>
      </c>
      <c r="R8" s="25" t="s">
        <v>351</v>
      </c>
      <c r="T8" s="23">
        <f>表1_8[[#This Row],[客户编号]]</f>
        <v>0</v>
      </c>
      <c r="U8" s="23" t="str">
        <f>表1_8[[#This Row],[MASTER B/L]]</f>
        <v>DJSCSHBMVE90644G</v>
      </c>
      <c r="V8" s="23">
        <f>表1_8[[#This Row],[件]]</f>
        <v>12</v>
      </c>
      <c r="W8" s="23">
        <f>表1_8[[#This Row],[毛]]</f>
        <v>660</v>
      </c>
      <c r="X8" s="23">
        <f>表1_8[[#This Row],[体]]</f>
        <v>16.239999999999998</v>
      </c>
      <c r="Y8" s="31" t="str">
        <f>表1_8[[#This Row],[品名]]</f>
        <v>AUTOMOTIVE BOOT SHIFTER</v>
      </c>
      <c r="Z8" s="31" t="str">
        <f>RIGHT(表1_8[[#This Row],[编]],4)</f>
        <v/>
      </c>
      <c r="AA8" s="23" t="str">
        <f>表1_8[[#This Row],[箱号]]</f>
        <v>DRYU9061289</v>
      </c>
      <c r="AB8" s="25" t="str">
        <f>表1_8[[#This Row],[封号]]</f>
        <v>720909</v>
      </c>
      <c r="AC8" s="23">
        <f>表2[[#This Row],[件]]</f>
        <v>12</v>
      </c>
      <c r="AD8" s="23">
        <f>表2[[#This Row],[毛]]</f>
        <v>660</v>
      </c>
      <c r="AE8" s="23">
        <f>表2[[#This Row],[体]]</f>
        <v>16.239999999999998</v>
      </c>
      <c r="AG8" s="23" t="str">
        <f>表1_8[[#This Row],[HOUSE B/L]]</f>
        <v>YJCSHAN1904144</v>
      </c>
      <c r="AH8" s="23" t="str">
        <f>表1_8[[#This Row],[MASTER B/L]]</f>
        <v>DJSCSHBMVE90644G</v>
      </c>
      <c r="AI8" s="23" t="str">
        <f>"ETD"&amp;TEXT(表1_8[[#This Row],[ETD]],"mmdd")&amp;" "&amp;表1_8[[#This Row],[HOUSE B/L]]&amp;" "&amp;表1_8[[#This Row],[MASTER B/L]]&amp;" CHECK BL"</f>
        <v>ETD0321 YJCSHAN1904144 DJSCSHBMVE90644G CHECK BL</v>
      </c>
      <c r="AJ8" s="23" t="str">
        <f>"ETD"&amp;TEXT(表1_8[[#This Row],[ETD]],"mmdd")&amp;" "&amp;表1_8[[#This Row],[HOUSE B/L]]&amp;" "&amp;表1_8[[#This Row],[MASTER B/L]]&amp;" 报关单"</f>
        <v>ETD0321 YJCSHAN1904144 DJSCSHBMVE90644G 报关单</v>
      </c>
      <c r="AK8" s="23" t="str">
        <f>"ETD"&amp;TEXT(表1_8[[#This Row],[ETD]],"mmdd")&amp;" "&amp;表1_8[[#This Row],[HOUSE B/L]]&amp;" "&amp;表1_8[[#This Row],[MASTER B/L]]&amp;" 放行单"</f>
        <v>ETD0321 YJCSHAN1904144 DJSCSHBMVE90644G 放行单</v>
      </c>
      <c r="AL8" s="23" t="str">
        <f>"ETD"&amp;TEXT(表1_8[[#This Row],[ETD]],"mmdd")&amp;" "&amp;表1_8[[#This Row],[HOUSE B/L]]&amp;" "&amp;表1_8[[#This Row],[MASTER B/L]]&amp;" SURRENDERED BL"</f>
        <v>ETD0321 YJCSHAN1904144 DJSCSHBMVE90644G SURRENDERED BL</v>
      </c>
    </row>
    <row r="9" spans="2:38" hidden="1" x14ac:dyDescent="0.2">
      <c r="B9" s="22">
        <v>43545</v>
      </c>
      <c r="C9" s="23">
        <v>8</v>
      </c>
      <c r="D9" s="23" t="s">
        <v>362</v>
      </c>
      <c r="E9" s="23">
        <v>3881</v>
      </c>
      <c r="F9" s="24"/>
      <c r="G9" s="24" t="s">
        <v>226</v>
      </c>
      <c r="H9" s="24" t="s">
        <v>229</v>
      </c>
      <c r="I9" s="23">
        <v>3</v>
      </c>
      <c r="J9" s="23">
        <v>277.60000000000002</v>
      </c>
      <c r="K9" s="23">
        <v>3.28</v>
      </c>
      <c r="L9" s="51">
        <v>3</v>
      </c>
      <c r="M9" s="51">
        <v>277.60000000000002</v>
      </c>
      <c r="N9" s="51">
        <v>3.28</v>
      </c>
      <c r="O9" s="31" t="s">
        <v>228</v>
      </c>
      <c r="P9" s="24"/>
      <c r="Q9" s="23" t="s">
        <v>209</v>
      </c>
      <c r="R9" s="25" t="s">
        <v>351</v>
      </c>
      <c r="T9" s="23">
        <f>表1_8[[#This Row],[客户编号]]</f>
        <v>0</v>
      </c>
      <c r="U9" s="23" t="str">
        <f>表1_8[[#This Row],[MASTER B/L]]</f>
        <v>DJSCSHBMVE90644H</v>
      </c>
      <c r="V9" s="23">
        <f>表1_8[[#This Row],[件]]</f>
        <v>3</v>
      </c>
      <c r="W9" s="23">
        <f>表1_8[[#This Row],[毛]]</f>
        <v>277.60000000000002</v>
      </c>
      <c r="X9" s="23">
        <f>表1_8[[#This Row],[体]]</f>
        <v>3.28</v>
      </c>
      <c r="Y9" s="31" t="str">
        <f>表1_8[[#This Row],[品名]]</f>
        <v>AUTOMOTIVE BOOT SHIFTER</v>
      </c>
      <c r="Z9" s="31" t="str">
        <f>RIGHT(表1_8[[#This Row],[编]],4)</f>
        <v/>
      </c>
      <c r="AA9" s="23" t="str">
        <f>表1_8[[#This Row],[箱号]]</f>
        <v>DRYU9061289</v>
      </c>
      <c r="AB9" s="25" t="str">
        <f>表1_8[[#This Row],[封号]]</f>
        <v>720909</v>
      </c>
      <c r="AC9" s="23">
        <f>表2[[#This Row],[件]]</f>
        <v>3</v>
      </c>
      <c r="AD9" s="23">
        <f>表2[[#This Row],[毛]]</f>
        <v>277.60000000000002</v>
      </c>
      <c r="AE9" s="23">
        <f>表2[[#This Row],[体]]</f>
        <v>3.28</v>
      </c>
      <c r="AG9" s="23" t="str">
        <f>表1_8[[#This Row],[HOUSE B/L]]</f>
        <v>YJCSHAN1904144</v>
      </c>
      <c r="AH9" s="23" t="str">
        <f>表1_8[[#This Row],[MASTER B/L]]</f>
        <v>DJSCSHBMVE90644H</v>
      </c>
      <c r="AI9" s="23" t="str">
        <f>"ETD"&amp;TEXT(表1_8[[#This Row],[ETD]],"mmdd")&amp;" "&amp;表1_8[[#This Row],[HOUSE B/L]]&amp;" "&amp;表1_8[[#This Row],[MASTER B/L]]&amp;" CHECK BL"</f>
        <v>ETD0321 YJCSHAN1904144 DJSCSHBMVE90644H CHECK BL</v>
      </c>
      <c r="AJ9" s="23" t="str">
        <f>"ETD"&amp;TEXT(表1_8[[#This Row],[ETD]],"mmdd")&amp;" "&amp;表1_8[[#This Row],[HOUSE B/L]]&amp;" "&amp;表1_8[[#This Row],[MASTER B/L]]&amp;" 报关单"</f>
        <v>ETD0321 YJCSHAN1904144 DJSCSHBMVE90644H 报关单</v>
      </c>
      <c r="AK9" s="23" t="str">
        <f>"ETD"&amp;TEXT(表1_8[[#This Row],[ETD]],"mmdd")&amp;" "&amp;表1_8[[#This Row],[HOUSE B/L]]&amp;" "&amp;表1_8[[#This Row],[MASTER B/L]]&amp;" 放行单"</f>
        <v>ETD0321 YJCSHAN1904144 DJSCSHBMVE90644H 放行单</v>
      </c>
      <c r="AL9" s="23" t="str">
        <f>"ETD"&amp;TEXT(表1_8[[#This Row],[ETD]],"mmdd")&amp;" "&amp;表1_8[[#This Row],[HOUSE B/L]]&amp;" "&amp;表1_8[[#This Row],[MASTER B/L]]&amp;" SURRENDERED BL"</f>
        <v>ETD0321 YJCSHAN1904144 DJSCSHBMVE90644H SURRENDERED BL</v>
      </c>
    </row>
    <row r="10" spans="2:38" ht="24" hidden="1" x14ac:dyDescent="0.2">
      <c r="B10" s="22">
        <v>43545</v>
      </c>
      <c r="C10" s="23">
        <v>9</v>
      </c>
      <c r="D10" s="23" t="s">
        <v>272</v>
      </c>
      <c r="E10" s="23">
        <v>4200</v>
      </c>
      <c r="F10" s="24"/>
      <c r="G10" s="24" t="s">
        <v>230</v>
      </c>
      <c r="H10" s="24" t="s">
        <v>231</v>
      </c>
      <c r="I10" s="23">
        <v>11</v>
      </c>
      <c r="J10" s="23">
        <v>220</v>
      </c>
      <c r="K10" s="23">
        <v>1.1000000000000001</v>
      </c>
      <c r="L10" s="51">
        <v>11</v>
      </c>
      <c r="M10" s="51">
        <v>220</v>
      </c>
      <c r="N10" s="51">
        <v>1.1000000000000001</v>
      </c>
      <c r="O10" s="31" t="s">
        <v>232</v>
      </c>
      <c r="P10" s="24"/>
      <c r="Q10" s="23" t="s">
        <v>205</v>
      </c>
      <c r="R10" s="25" t="s">
        <v>350</v>
      </c>
      <c r="T10" s="23">
        <f>表1_8[[#This Row],[客户编号]]</f>
        <v>0</v>
      </c>
      <c r="U10" s="23" t="str">
        <f>表1_8[[#This Row],[MASTER B/L]]</f>
        <v>DJSCSHBMVE90644J</v>
      </c>
      <c r="V10" s="23">
        <f>表1_8[[#This Row],[件]]</f>
        <v>11</v>
      </c>
      <c r="W10" s="23">
        <f>表1_8[[#This Row],[毛]]</f>
        <v>220</v>
      </c>
      <c r="X10" s="23">
        <f>表1_8[[#This Row],[体]]</f>
        <v>1.1000000000000001</v>
      </c>
      <c r="Y10" s="31" t="str">
        <f>表1_8[[#This Row],[品名]]</f>
        <v>LADIES WOVEN ONE PIECE, 100%COTTON
LADIES WOVEN PANT, 53.7%COTTON 46.3%POLYESTER</v>
      </c>
      <c r="Z10" s="31" t="str">
        <f>RIGHT(表1_8[[#This Row],[编]],4)</f>
        <v/>
      </c>
      <c r="AA10" s="23" t="str">
        <f>表1_8[[#This Row],[箱号]]</f>
        <v>BEAU4630480</v>
      </c>
      <c r="AB10" s="25" t="str">
        <f>表1_8[[#This Row],[封号]]</f>
        <v>720859</v>
      </c>
      <c r="AC10" s="23">
        <f>表2[[#This Row],[件]]</f>
        <v>11</v>
      </c>
      <c r="AD10" s="23">
        <f>表2[[#This Row],[毛]]</f>
        <v>220</v>
      </c>
      <c r="AE10" s="23">
        <f>表2[[#This Row],[体]]</f>
        <v>1.1000000000000001</v>
      </c>
      <c r="AG10" s="23" t="str">
        <f>表1_8[[#This Row],[HOUSE B/L]]</f>
        <v>YJCSHAN1904200</v>
      </c>
      <c r="AH10" s="23" t="str">
        <f>表1_8[[#This Row],[MASTER B/L]]</f>
        <v>DJSCSHBMVE90644J</v>
      </c>
      <c r="AI10" s="23" t="str">
        <f>"ETD"&amp;TEXT(表1_8[[#This Row],[ETD]],"mmdd")&amp;" "&amp;表1_8[[#This Row],[HOUSE B/L]]&amp;" "&amp;表1_8[[#This Row],[MASTER B/L]]&amp;" CHECK BL"</f>
        <v>ETD0321 YJCSHAN1904200 DJSCSHBMVE90644J CHECK BL</v>
      </c>
      <c r="AJ10" s="23" t="str">
        <f>"ETD"&amp;TEXT(表1_8[[#This Row],[ETD]],"mmdd")&amp;" "&amp;表1_8[[#This Row],[HOUSE B/L]]&amp;" "&amp;表1_8[[#This Row],[MASTER B/L]]&amp;" 报关单"</f>
        <v>ETD0321 YJCSHAN1904200 DJSCSHBMVE90644J 报关单</v>
      </c>
      <c r="AK10" s="23" t="str">
        <f>"ETD"&amp;TEXT(表1_8[[#This Row],[ETD]],"mmdd")&amp;" "&amp;表1_8[[#This Row],[HOUSE B/L]]&amp;" "&amp;表1_8[[#This Row],[MASTER B/L]]&amp;" 放行单"</f>
        <v>ETD0321 YJCSHAN1904200 DJSCSHBMVE90644J 放行单</v>
      </c>
      <c r="AL10" s="23" t="str">
        <f>"ETD"&amp;TEXT(表1_8[[#This Row],[ETD]],"mmdd")&amp;" "&amp;表1_8[[#This Row],[HOUSE B/L]]&amp;" "&amp;表1_8[[#This Row],[MASTER B/L]]&amp;" SURRENDERED BL"</f>
        <v>ETD0321 YJCSHAN1904200 DJSCSHBMVE90644J SURRENDERED BL</v>
      </c>
    </row>
    <row r="11" spans="2:38" hidden="1" x14ac:dyDescent="0.2">
      <c r="B11" s="22">
        <v>43545</v>
      </c>
      <c r="C11" s="23">
        <v>10</v>
      </c>
      <c r="D11" s="23" t="s">
        <v>366</v>
      </c>
      <c r="E11" s="23"/>
      <c r="F11" s="24"/>
      <c r="G11" s="24" t="s">
        <v>233</v>
      </c>
      <c r="H11" s="24" t="s">
        <v>234</v>
      </c>
      <c r="I11" s="23">
        <v>3</v>
      </c>
      <c r="J11" s="23">
        <v>670</v>
      </c>
      <c r="K11" s="23">
        <v>2.85</v>
      </c>
      <c r="L11" s="51">
        <v>3</v>
      </c>
      <c r="M11" s="51">
        <v>670</v>
      </c>
      <c r="N11" s="51">
        <v>2.85</v>
      </c>
      <c r="O11" s="31" t="s">
        <v>235</v>
      </c>
      <c r="P11" s="24"/>
      <c r="Q11" s="23" t="s">
        <v>209</v>
      </c>
      <c r="R11" s="25" t="s">
        <v>351</v>
      </c>
      <c r="T11" s="23">
        <f>表1_8[[#This Row],[客户编号]]</f>
        <v>0</v>
      </c>
      <c r="U11" s="23" t="str">
        <f>表1_8[[#This Row],[MASTER B/L]]</f>
        <v>DJSCSHBMVE90644K</v>
      </c>
      <c r="V11" s="23">
        <f>表1_8[[#This Row],[件]]</f>
        <v>3</v>
      </c>
      <c r="W11" s="23">
        <f>表1_8[[#This Row],[毛]]</f>
        <v>670</v>
      </c>
      <c r="X11" s="23">
        <f>表1_8[[#This Row],[体]]</f>
        <v>2.85</v>
      </c>
      <c r="Y11" s="31" t="str">
        <f>表1_8[[#This Row],[品名]]</f>
        <v>ESCL SYSTEM CLAMP</v>
      </c>
      <c r="Z11" s="31" t="str">
        <f>RIGHT(表1_8[[#This Row],[编]],4)</f>
        <v/>
      </c>
      <c r="AA11" s="23" t="str">
        <f>表1_8[[#This Row],[箱号]]</f>
        <v>DRYU9061289</v>
      </c>
      <c r="AB11" s="25" t="str">
        <f>表1_8[[#This Row],[封号]]</f>
        <v>720909</v>
      </c>
      <c r="AC11" s="23">
        <f>表2[[#This Row],[件]]</f>
        <v>3</v>
      </c>
      <c r="AD11" s="23">
        <f>表2[[#This Row],[毛]]</f>
        <v>670</v>
      </c>
      <c r="AE11" s="23">
        <f>表2[[#This Row],[体]]</f>
        <v>2.85</v>
      </c>
      <c r="AG11" s="23" t="str">
        <f>表1_8[[#This Row],[HOUSE B/L]]</f>
        <v>YJCSHAN1904236</v>
      </c>
      <c r="AH11" s="23" t="str">
        <f>表1_8[[#This Row],[MASTER B/L]]</f>
        <v>DJSCSHBMVE90644K</v>
      </c>
      <c r="AI11" s="23" t="str">
        <f>"ETD"&amp;TEXT(表1_8[[#This Row],[ETD]],"mmdd")&amp;" "&amp;表1_8[[#This Row],[HOUSE B/L]]&amp;" "&amp;表1_8[[#This Row],[MASTER B/L]]&amp;" CHECK BL"</f>
        <v>ETD0321 YJCSHAN1904236 DJSCSHBMVE90644K CHECK BL</v>
      </c>
      <c r="AJ11" s="23" t="str">
        <f>"ETD"&amp;TEXT(表1_8[[#This Row],[ETD]],"mmdd")&amp;" "&amp;表1_8[[#This Row],[HOUSE B/L]]&amp;" "&amp;表1_8[[#This Row],[MASTER B/L]]&amp;" 报关单"</f>
        <v>ETD0321 YJCSHAN1904236 DJSCSHBMVE90644K 报关单</v>
      </c>
      <c r="AK11" s="23" t="str">
        <f>"ETD"&amp;TEXT(表1_8[[#This Row],[ETD]],"mmdd")&amp;" "&amp;表1_8[[#This Row],[HOUSE B/L]]&amp;" "&amp;表1_8[[#This Row],[MASTER B/L]]&amp;" 放行单"</f>
        <v>ETD0321 YJCSHAN1904236 DJSCSHBMVE90644K 放行单</v>
      </c>
      <c r="AL11" s="23" t="str">
        <f>"ETD"&amp;TEXT(表1_8[[#This Row],[ETD]],"mmdd")&amp;" "&amp;表1_8[[#This Row],[HOUSE B/L]]&amp;" "&amp;表1_8[[#This Row],[MASTER B/L]]&amp;" SURRENDERED BL"</f>
        <v>ETD0321 YJCSHAN1904236 DJSCSHBMVE90644K SURRENDERED BL</v>
      </c>
    </row>
    <row r="12" spans="2:38" ht="24" hidden="1" x14ac:dyDescent="0.2">
      <c r="B12" s="22">
        <v>43545</v>
      </c>
      <c r="C12" s="23">
        <v>11</v>
      </c>
      <c r="D12" s="23" t="s">
        <v>367</v>
      </c>
      <c r="E12" s="23"/>
      <c r="F12" s="24"/>
      <c r="G12" s="24" t="s">
        <v>236</v>
      </c>
      <c r="H12" s="24" t="s">
        <v>237</v>
      </c>
      <c r="I12" s="23">
        <v>2</v>
      </c>
      <c r="J12" s="23">
        <v>147</v>
      </c>
      <c r="K12" s="23">
        <v>2.4</v>
      </c>
      <c r="L12" s="51">
        <v>2</v>
      </c>
      <c r="M12" s="51">
        <v>147</v>
      </c>
      <c r="N12" s="51">
        <v>2.4</v>
      </c>
      <c r="O12" s="31" t="s">
        <v>238</v>
      </c>
      <c r="P12" s="24"/>
      <c r="Q12" s="23" t="s">
        <v>205</v>
      </c>
      <c r="R12" s="25" t="s">
        <v>350</v>
      </c>
      <c r="T12" s="23">
        <f>表1_8[[#This Row],[客户编号]]</f>
        <v>0</v>
      </c>
      <c r="U12" s="23" t="str">
        <f>表1_8[[#This Row],[MASTER B/L]]</f>
        <v>DJSCSHBMVE90644L</v>
      </c>
      <c r="V12" s="23">
        <f>表1_8[[#This Row],[件]]</f>
        <v>2</v>
      </c>
      <c r="W12" s="23">
        <f>表1_8[[#This Row],[毛]]</f>
        <v>147</v>
      </c>
      <c r="X12" s="23">
        <f>表1_8[[#This Row],[体]]</f>
        <v>2.4</v>
      </c>
      <c r="Y12" s="31" t="str">
        <f>表1_8[[#This Row],[品名]]</f>
        <v>TUBE-RAD INLET
PIPE-RADIATOR</v>
      </c>
      <c r="Z12" s="31" t="str">
        <f>RIGHT(表1_8[[#This Row],[编]],4)</f>
        <v/>
      </c>
      <c r="AA12" s="23" t="str">
        <f>表1_8[[#This Row],[箱号]]</f>
        <v>BEAU4630480</v>
      </c>
      <c r="AB12" s="25" t="str">
        <f>表1_8[[#This Row],[封号]]</f>
        <v>720859</v>
      </c>
      <c r="AC12" s="23">
        <f>表2[[#This Row],[件]]</f>
        <v>2</v>
      </c>
      <c r="AD12" s="23">
        <f>表2[[#This Row],[毛]]</f>
        <v>147</v>
      </c>
      <c r="AE12" s="23">
        <f>表2[[#This Row],[体]]</f>
        <v>2.4</v>
      </c>
      <c r="AG12" s="23" t="str">
        <f>表1_8[[#This Row],[HOUSE B/L]]</f>
        <v>YJCSHAN1904239</v>
      </c>
      <c r="AH12" s="23" t="str">
        <f>表1_8[[#This Row],[MASTER B/L]]</f>
        <v>DJSCSHBMVE90644L</v>
      </c>
      <c r="AI12" s="23" t="str">
        <f>"ETD"&amp;TEXT(表1_8[[#This Row],[ETD]],"mmdd")&amp;" "&amp;表1_8[[#This Row],[HOUSE B/L]]&amp;" "&amp;表1_8[[#This Row],[MASTER B/L]]&amp;" CHECK BL"</f>
        <v>ETD0321 YJCSHAN1904239 DJSCSHBMVE90644L CHECK BL</v>
      </c>
      <c r="AJ12" s="23" t="str">
        <f>"ETD"&amp;TEXT(表1_8[[#This Row],[ETD]],"mmdd")&amp;" "&amp;表1_8[[#This Row],[HOUSE B/L]]&amp;" "&amp;表1_8[[#This Row],[MASTER B/L]]&amp;" 报关单"</f>
        <v>ETD0321 YJCSHAN1904239 DJSCSHBMVE90644L 报关单</v>
      </c>
      <c r="AK12" s="23" t="str">
        <f>"ETD"&amp;TEXT(表1_8[[#This Row],[ETD]],"mmdd")&amp;" "&amp;表1_8[[#This Row],[HOUSE B/L]]&amp;" "&amp;表1_8[[#This Row],[MASTER B/L]]&amp;" 放行单"</f>
        <v>ETD0321 YJCSHAN1904239 DJSCSHBMVE90644L 放行单</v>
      </c>
      <c r="AL12" s="23" t="str">
        <f>"ETD"&amp;TEXT(表1_8[[#This Row],[ETD]],"mmdd")&amp;" "&amp;表1_8[[#This Row],[HOUSE B/L]]&amp;" "&amp;表1_8[[#This Row],[MASTER B/L]]&amp;" SURRENDERED BL"</f>
        <v>ETD0321 YJCSHAN1904239 DJSCSHBMVE90644L SURRENDERED BL</v>
      </c>
    </row>
    <row r="13" spans="2:38" hidden="1" x14ac:dyDescent="0.2">
      <c r="B13" s="22">
        <v>43545</v>
      </c>
      <c r="C13" s="23">
        <v>12</v>
      </c>
      <c r="D13" s="23" t="s">
        <v>368</v>
      </c>
      <c r="E13" s="23"/>
      <c r="F13" s="24"/>
      <c r="G13" s="24" t="s">
        <v>239</v>
      </c>
      <c r="H13" s="24" t="s">
        <v>240</v>
      </c>
      <c r="I13" s="23">
        <v>3</v>
      </c>
      <c r="J13" s="23">
        <v>20</v>
      </c>
      <c r="K13" s="23">
        <v>0.19</v>
      </c>
      <c r="L13" s="51">
        <v>3</v>
      </c>
      <c r="M13" s="51">
        <v>20</v>
      </c>
      <c r="N13" s="51">
        <v>0.19</v>
      </c>
      <c r="O13" s="31" t="s">
        <v>241</v>
      </c>
      <c r="P13" s="24"/>
      <c r="Q13" s="23" t="s">
        <v>209</v>
      </c>
      <c r="R13" s="25" t="s">
        <v>351</v>
      </c>
      <c r="T13" s="23">
        <f>表1_8[[#This Row],[客户编号]]</f>
        <v>0</v>
      </c>
      <c r="U13" s="23" t="str">
        <f>表1_8[[#This Row],[MASTER B/L]]</f>
        <v>DJSCSHBMVE90644M</v>
      </c>
      <c r="V13" s="23">
        <f>表1_8[[#This Row],[件]]</f>
        <v>3</v>
      </c>
      <c r="W13" s="23">
        <f>表1_8[[#This Row],[毛]]</f>
        <v>20</v>
      </c>
      <c r="X13" s="23">
        <f>表1_8[[#This Row],[体]]</f>
        <v>0.19</v>
      </c>
      <c r="Y13" s="31" t="str">
        <f>表1_8[[#This Row],[品名]]</f>
        <v>DUCT-AIR, FLO(DUCT-TURBO)</v>
      </c>
      <c r="Z13" s="31" t="str">
        <f>RIGHT(表1_8[[#This Row],[编]],4)</f>
        <v/>
      </c>
      <c r="AA13" s="23" t="str">
        <f>表1_8[[#This Row],[箱号]]</f>
        <v>DRYU9061289</v>
      </c>
      <c r="AB13" s="25" t="str">
        <f>表1_8[[#This Row],[封号]]</f>
        <v>720909</v>
      </c>
      <c r="AC13" s="23">
        <f>表2[[#This Row],[件]]</f>
        <v>3</v>
      </c>
      <c r="AD13" s="23">
        <f>表2[[#This Row],[毛]]</f>
        <v>20</v>
      </c>
      <c r="AE13" s="23">
        <f>表2[[#This Row],[体]]</f>
        <v>0.19</v>
      </c>
      <c r="AG13" s="23" t="str">
        <f>表1_8[[#This Row],[HOUSE B/L]]</f>
        <v>YJCSHAN1904243</v>
      </c>
      <c r="AH13" s="23" t="str">
        <f>表1_8[[#This Row],[MASTER B/L]]</f>
        <v>DJSCSHBMVE90644M</v>
      </c>
      <c r="AI13" s="23" t="str">
        <f>"ETD"&amp;TEXT(表1_8[[#This Row],[ETD]],"mmdd")&amp;" "&amp;表1_8[[#This Row],[HOUSE B/L]]&amp;" "&amp;表1_8[[#This Row],[MASTER B/L]]&amp;" CHECK BL"</f>
        <v>ETD0321 YJCSHAN1904243 DJSCSHBMVE90644M CHECK BL</v>
      </c>
      <c r="AJ13" s="23" t="str">
        <f>"ETD"&amp;TEXT(表1_8[[#This Row],[ETD]],"mmdd")&amp;" "&amp;表1_8[[#This Row],[HOUSE B/L]]&amp;" "&amp;表1_8[[#This Row],[MASTER B/L]]&amp;" 报关单"</f>
        <v>ETD0321 YJCSHAN1904243 DJSCSHBMVE90644M 报关单</v>
      </c>
      <c r="AK13" s="23" t="str">
        <f>"ETD"&amp;TEXT(表1_8[[#This Row],[ETD]],"mmdd")&amp;" "&amp;表1_8[[#This Row],[HOUSE B/L]]&amp;" "&amp;表1_8[[#This Row],[MASTER B/L]]&amp;" 放行单"</f>
        <v>ETD0321 YJCSHAN1904243 DJSCSHBMVE90644M 放行单</v>
      </c>
      <c r="AL13" s="23" t="str">
        <f>"ETD"&amp;TEXT(表1_8[[#This Row],[ETD]],"mmdd")&amp;" "&amp;表1_8[[#This Row],[HOUSE B/L]]&amp;" "&amp;表1_8[[#This Row],[MASTER B/L]]&amp;" SURRENDERED BL"</f>
        <v>ETD0321 YJCSHAN1904243 DJSCSHBMVE90644M SURRENDERED BL</v>
      </c>
    </row>
    <row r="14" spans="2:38" hidden="1" x14ac:dyDescent="0.2">
      <c r="B14" s="22">
        <v>43545</v>
      </c>
      <c r="C14" s="23">
        <v>13</v>
      </c>
      <c r="D14" s="23" t="s">
        <v>369</v>
      </c>
      <c r="E14" s="23"/>
      <c r="F14" s="24"/>
      <c r="G14" s="24" t="s">
        <v>242</v>
      </c>
      <c r="H14" s="24" t="s">
        <v>243</v>
      </c>
      <c r="I14" s="23">
        <v>1</v>
      </c>
      <c r="J14" s="23">
        <v>108</v>
      </c>
      <c r="K14" s="23">
        <v>1.1100000000000001</v>
      </c>
      <c r="L14" s="51">
        <v>1</v>
      </c>
      <c r="M14" s="51">
        <v>108</v>
      </c>
      <c r="N14" s="51">
        <v>1.1100000000000001</v>
      </c>
      <c r="O14" s="31" t="s">
        <v>244</v>
      </c>
      <c r="P14" s="24"/>
      <c r="Q14" s="23" t="s">
        <v>209</v>
      </c>
      <c r="R14" s="25" t="s">
        <v>351</v>
      </c>
      <c r="T14" s="23">
        <f>表1_8[[#This Row],[客户编号]]</f>
        <v>0</v>
      </c>
      <c r="U14" s="23" t="str">
        <f>表1_8[[#This Row],[MASTER B/L]]</f>
        <v>DJSCSHBMVE90644N</v>
      </c>
      <c r="V14" s="23">
        <f>表1_8[[#This Row],[件]]</f>
        <v>1</v>
      </c>
      <c r="W14" s="23">
        <f>表1_8[[#This Row],[毛]]</f>
        <v>108</v>
      </c>
      <c r="X14" s="23">
        <f>表1_8[[#This Row],[体]]</f>
        <v>1.1100000000000001</v>
      </c>
      <c r="Y14" s="31" t="str">
        <f>表1_8[[#This Row],[品名]]</f>
        <v>MOTOR</v>
      </c>
      <c r="Z14" s="31" t="str">
        <f>RIGHT(表1_8[[#This Row],[编]],4)</f>
        <v/>
      </c>
      <c r="AA14" s="23" t="str">
        <f>表1_8[[#This Row],[箱号]]</f>
        <v>DRYU9061289</v>
      </c>
      <c r="AB14" s="25" t="str">
        <f>表1_8[[#This Row],[封号]]</f>
        <v>720909</v>
      </c>
      <c r="AC14" s="23">
        <f>表2[[#This Row],[件]]</f>
        <v>1</v>
      </c>
      <c r="AD14" s="23">
        <f>表2[[#This Row],[毛]]</f>
        <v>108</v>
      </c>
      <c r="AE14" s="23">
        <f>表2[[#This Row],[体]]</f>
        <v>1.1100000000000001</v>
      </c>
      <c r="AG14" s="23" t="str">
        <f>表1_8[[#This Row],[HOUSE B/L]]</f>
        <v>YJCSHAN1904251</v>
      </c>
      <c r="AH14" s="23" t="str">
        <f>表1_8[[#This Row],[MASTER B/L]]</f>
        <v>DJSCSHBMVE90644N</v>
      </c>
      <c r="AI14" s="23" t="str">
        <f>"ETD"&amp;TEXT(表1_8[[#This Row],[ETD]],"mmdd")&amp;" "&amp;表1_8[[#This Row],[HOUSE B/L]]&amp;" "&amp;表1_8[[#This Row],[MASTER B/L]]&amp;" CHECK BL"</f>
        <v>ETD0321 YJCSHAN1904251 DJSCSHBMVE90644N CHECK BL</v>
      </c>
      <c r="AJ14" s="23" t="str">
        <f>"ETD"&amp;TEXT(表1_8[[#This Row],[ETD]],"mmdd")&amp;" "&amp;表1_8[[#This Row],[HOUSE B/L]]&amp;" "&amp;表1_8[[#This Row],[MASTER B/L]]&amp;" 报关单"</f>
        <v>ETD0321 YJCSHAN1904251 DJSCSHBMVE90644N 报关单</v>
      </c>
      <c r="AK14" s="23" t="str">
        <f>"ETD"&amp;TEXT(表1_8[[#This Row],[ETD]],"mmdd")&amp;" "&amp;表1_8[[#This Row],[HOUSE B/L]]&amp;" "&amp;表1_8[[#This Row],[MASTER B/L]]&amp;" 放行单"</f>
        <v>ETD0321 YJCSHAN1904251 DJSCSHBMVE90644N 放行单</v>
      </c>
      <c r="AL14" s="23" t="str">
        <f>"ETD"&amp;TEXT(表1_8[[#This Row],[ETD]],"mmdd")&amp;" "&amp;表1_8[[#This Row],[HOUSE B/L]]&amp;" "&amp;表1_8[[#This Row],[MASTER B/L]]&amp;" SURRENDERED BL"</f>
        <v>ETD0321 YJCSHAN1904251 DJSCSHBMVE90644N SURRENDERED BL</v>
      </c>
    </row>
    <row r="15" spans="2:38" hidden="1" x14ac:dyDescent="0.2">
      <c r="B15" s="22">
        <v>43545</v>
      </c>
      <c r="C15" s="23">
        <v>14</v>
      </c>
      <c r="D15" s="23" t="s">
        <v>370</v>
      </c>
      <c r="E15" s="23"/>
      <c r="F15" s="24"/>
      <c r="G15" s="24" t="s">
        <v>245</v>
      </c>
      <c r="H15" s="24" t="s">
        <v>246</v>
      </c>
      <c r="I15" s="23">
        <v>11</v>
      </c>
      <c r="J15" s="23">
        <v>8569</v>
      </c>
      <c r="K15" s="23">
        <v>5.22</v>
      </c>
      <c r="L15" s="51">
        <v>11</v>
      </c>
      <c r="M15" s="51">
        <v>8569</v>
      </c>
      <c r="N15" s="51">
        <v>5.22</v>
      </c>
      <c r="O15" s="31" t="s">
        <v>247</v>
      </c>
      <c r="P15" s="24"/>
      <c r="Q15" s="23" t="s">
        <v>205</v>
      </c>
      <c r="R15" s="25" t="s">
        <v>350</v>
      </c>
      <c r="T15" s="23">
        <f>表1_8[[#This Row],[客户编号]]</f>
        <v>0</v>
      </c>
      <c r="U15" s="23" t="str">
        <f>表1_8[[#This Row],[MASTER B/L]]</f>
        <v>DJSCSHBMVE90644P</v>
      </c>
      <c r="V15" s="23">
        <f>表1_8[[#This Row],[件]]</f>
        <v>11</v>
      </c>
      <c r="W15" s="23">
        <f>表1_8[[#This Row],[毛]]</f>
        <v>8569</v>
      </c>
      <c r="X15" s="23">
        <f>表1_8[[#This Row],[体]]</f>
        <v>5.22</v>
      </c>
      <c r="Y15" s="31" t="str">
        <f>表1_8[[#This Row],[品名]]</f>
        <v>FERRITE MAGNET</v>
      </c>
      <c r="Z15" s="31" t="str">
        <f>RIGHT(表1_8[[#This Row],[编]],4)</f>
        <v/>
      </c>
      <c r="AA15" s="23" t="str">
        <f>表1_8[[#This Row],[箱号]]</f>
        <v>BEAU4630480</v>
      </c>
      <c r="AB15" s="25" t="str">
        <f>表1_8[[#This Row],[封号]]</f>
        <v>720859</v>
      </c>
      <c r="AC15" s="23">
        <f>表2[[#This Row],[件]]</f>
        <v>11</v>
      </c>
      <c r="AD15" s="23">
        <f>表2[[#This Row],[毛]]</f>
        <v>8569</v>
      </c>
      <c r="AE15" s="23">
        <f>表2[[#This Row],[体]]</f>
        <v>5.22</v>
      </c>
      <c r="AG15" s="23" t="str">
        <f>表1_8[[#This Row],[HOUSE B/L]]</f>
        <v>YJCSHAN1904259</v>
      </c>
      <c r="AH15" s="23" t="str">
        <f>表1_8[[#This Row],[MASTER B/L]]</f>
        <v>DJSCSHBMVE90644P</v>
      </c>
      <c r="AI15" s="23" t="str">
        <f>"ETD"&amp;TEXT(表1_8[[#This Row],[ETD]],"mmdd")&amp;" "&amp;表1_8[[#This Row],[HOUSE B/L]]&amp;" "&amp;表1_8[[#This Row],[MASTER B/L]]&amp;" CHECK BL"</f>
        <v>ETD0321 YJCSHAN1904259 DJSCSHBMVE90644P CHECK BL</v>
      </c>
      <c r="AJ15" s="23" t="str">
        <f>"ETD"&amp;TEXT(表1_8[[#This Row],[ETD]],"mmdd")&amp;" "&amp;表1_8[[#This Row],[HOUSE B/L]]&amp;" "&amp;表1_8[[#This Row],[MASTER B/L]]&amp;" 报关单"</f>
        <v>ETD0321 YJCSHAN1904259 DJSCSHBMVE90644P 报关单</v>
      </c>
      <c r="AK15" s="23" t="str">
        <f>"ETD"&amp;TEXT(表1_8[[#This Row],[ETD]],"mmdd")&amp;" "&amp;表1_8[[#This Row],[HOUSE B/L]]&amp;" "&amp;表1_8[[#This Row],[MASTER B/L]]&amp;" 放行单"</f>
        <v>ETD0321 YJCSHAN1904259 DJSCSHBMVE90644P 放行单</v>
      </c>
      <c r="AL15" s="23" t="str">
        <f>"ETD"&amp;TEXT(表1_8[[#This Row],[ETD]],"mmdd")&amp;" "&amp;表1_8[[#This Row],[HOUSE B/L]]&amp;" "&amp;表1_8[[#This Row],[MASTER B/L]]&amp;" SURRENDERED BL"</f>
        <v>ETD0321 YJCSHAN1904259 DJSCSHBMVE90644P SURRENDERED BL</v>
      </c>
    </row>
    <row r="16" spans="2:38" hidden="1" x14ac:dyDescent="0.2">
      <c r="B16" s="22">
        <v>43545</v>
      </c>
      <c r="C16" s="23">
        <v>15</v>
      </c>
      <c r="D16" s="23" t="s">
        <v>266</v>
      </c>
      <c r="E16" s="23"/>
      <c r="F16" s="24"/>
      <c r="G16" s="24" t="s">
        <v>248</v>
      </c>
      <c r="H16" s="24" t="s">
        <v>249</v>
      </c>
      <c r="I16" s="23">
        <v>70</v>
      </c>
      <c r="J16" s="23">
        <v>988.24</v>
      </c>
      <c r="K16" s="23">
        <v>2.78</v>
      </c>
      <c r="L16" s="51">
        <v>70</v>
      </c>
      <c r="M16" s="51">
        <v>988.24</v>
      </c>
      <c r="N16" s="51">
        <v>2.78</v>
      </c>
      <c r="O16" s="31" t="s">
        <v>250</v>
      </c>
      <c r="P16" s="24"/>
      <c r="Q16" s="23" t="s">
        <v>205</v>
      </c>
      <c r="R16" s="25" t="s">
        <v>350</v>
      </c>
      <c r="T16" s="23">
        <f>表1_8[[#This Row],[客户编号]]</f>
        <v>0</v>
      </c>
      <c r="U16" s="23" t="str">
        <f>表1_8[[#This Row],[MASTER B/L]]</f>
        <v>DJSCSHBMVE90644Q</v>
      </c>
      <c r="V16" s="23">
        <f>表1_8[[#This Row],[件]]</f>
        <v>70</v>
      </c>
      <c r="W16" s="23">
        <f>表1_8[[#This Row],[毛]]</f>
        <v>988.24</v>
      </c>
      <c r="X16" s="23">
        <f>表1_8[[#This Row],[体]]</f>
        <v>2.78</v>
      </c>
      <c r="Y16" s="31" t="str">
        <f>表1_8[[#This Row],[品名]]</f>
        <v>POWER SUPPLY CORD SETS</v>
      </c>
      <c r="Z16" s="31" t="str">
        <f>RIGHT(表1_8[[#This Row],[编]],4)</f>
        <v/>
      </c>
      <c r="AA16" s="23" t="str">
        <f>表1_8[[#This Row],[箱号]]</f>
        <v>BEAU4630480</v>
      </c>
      <c r="AB16" s="25" t="str">
        <f>表1_8[[#This Row],[封号]]</f>
        <v>720859</v>
      </c>
      <c r="AC16" s="23">
        <f>表2[[#This Row],[件]]</f>
        <v>70</v>
      </c>
      <c r="AD16" s="23">
        <f>表2[[#This Row],[毛]]</f>
        <v>988.24</v>
      </c>
      <c r="AE16" s="23">
        <f>表2[[#This Row],[体]]</f>
        <v>2.78</v>
      </c>
      <c r="AG16" s="23" t="str">
        <f>表1_8[[#This Row],[HOUSE B/L]]</f>
        <v>YJCSHAN1904284</v>
      </c>
      <c r="AH16" s="23" t="str">
        <f>表1_8[[#This Row],[MASTER B/L]]</f>
        <v>DJSCSHBMVE90644Q</v>
      </c>
      <c r="AI16" s="23" t="str">
        <f>"ETD"&amp;TEXT(表1_8[[#This Row],[ETD]],"mmdd")&amp;" "&amp;表1_8[[#This Row],[HOUSE B/L]]&amp;" "&amp;表1_8[[#This Row],[MASTER B/L]]&amp;" CHECK BL"</f>
        <v>ETD0321 YJCSHAN1904284 DJSCSHBMVE90644Q CHECK BL</v>
      </c>
      <c r="AJ16" s="23" t="str">
        <f>"ETD"&amp;TEXT(表1_8[[#This Row],[ETD]],"mmdd")&amp;" "&amp;表1_8[[#This Row],[HOUSE B/L]]&amp;" "&amp;表1_8[[#This Row],[MASTER B/L]]&amp;" 报关单"</f>
        <v>ETD0321 YJCSHAN1904284 DJSCSHBMVE90644Q 报关单</v>
      </c>
      <c r="AK16" s="23" t="str">
        <f>"ETD"&amp;TEXT(表1_8[[#This Row],[ETD]],"mmdd")&amp;" "&amp;表1_8[[#This Row],[HOUSE B/L]]&amp;" "&amp;表1_8[[#This Row],[MASTER B/L]]&amp;" 放行单"</f>
        <v>ETD0321 YJCSHAN1904284 DJSCSHBMVE90644Q 放行单</v>
      </c>
      <c r="AL16" s="23" t="str">
        <f>"ETD"&amp;TEXT(表1_8[[#This Row],[ETD]],"mmdd")&amp;" "&amp;表1_8[[#This Row],[HOUSE B/L]]&amp;" "&amp;表1_8[[#This Row],[MASTER B/L]]&amp;" SURRENDERED BL"</f>
        <v>ETD0321 YJCSHAN1904284 DJSCSHBMVE90644Q SURRENDERED BL</v>
      </c>
    </row>
    <row r="17" spans="2:38" ht="84" hidden="1" x14ac:dyDescent="0.2">
      <c r="B17" s="22">
        <v>43545</v>
      </c>
      <c r="C17" s="23">
        <v>16</v>
      </c>
      <c r="D17" s="23" t="s">
        <v>285</v>
      </c>
      <c r="E17" s="23"/>
      <c r="F17" s="24"/>
      <c r="G17" s="24" t="s">
        <v>251</v>
      </c>
      <c r="H17" s="24" t="s">
        <v>252</v>
      </c>
      <c r="I17" s="23">
        <v>91</v>
      </c>
      <c r="J17" s="23">
        <v>392</v>
      </c>
      <c r="K17" s="23">
        <v>3.47</v>
      </c>
      <c r="L17" s="51">
        <v>91</v>
      </c>
      <c r="M17" s="51">
        <v>392</v>
      </c>
      <c r="N17" s="51">
        <v>3.47</v>
      </c>
      <c r="O17" s="31" t="s">
        <v>253</v>
      </c>
      <c r="P17" s="24"/>
      <c r="Q17" s="23" t="s">
        <v>205</v>
      </c>
      <c r="R17" s="25" t="s">
        <v>350</v>
      </c>
      <c r="T17" s="23">
        <f>表1_8[[#This Row],[客户编号]]</f>
        <v>0</v>
      </c>
      <c r="U17" s="23" t="str">
        <f>表1_8[[#This Row],[MASTER B/L]]</f>
        <v>DJSCSHBMVE90644R</v>
      </c>
      <c r="V17" s="23">
        <f>表1_8[[#This Row],[件]]</f>
        <v>91</v>
      </c>
      <c r="W17" s="23">
        <f>表1_8[[#This Row],[毛]]</f>
        <v>392</v>
      </c>
      <c r="X17" s="23">
        <f>表1_8[[#This Row],[体]]</f>
        <v>3.47</v>
      </c>
      <c r="Y17" s="31" t="str">
        <f>表1_8[[#This Row],[品名]]</f>
        <v>PUSH TO CLOSE LATCH
SWELL LATCH, BLACK
CABLE ASSEMBLY
ASSEMBLY, SQUEEZE HANDLE
ACTUATOR ASSEMBLY
PUSH TO CLOSE LATCH, MEDIUM SS
BATCH(ES)</v>
      </c>
      <c r="Z17" s="31" t="str">
        <f>RIGHT(表1_8[[#This Row],[编]],4)</f>
        <v/>
      </c>
      <c r="AA17" s="23" t="str">
        <f>表1_8[[#This Row],[箱号]]</f>
        <v>BEAU4630480</v>
      </c>
      <c r="AB17" s="25" t="str">
        <f>表1_8[[#This Row],[封号]]</f>
        <v>720859</v>
      </c>
      <c r="AC17" s="23">
        <f>表2[[#This Row],[件]]</f>
        <v>91</v>
      </c>
      <c r="AD17" s="23">
        <f>表2[[#This Row],[毛]]</f>
        <v>392</v>
      </c>
      <c r="AE17" s="23">
        <f>表2[[#This Row],[体]]</f>
        <v>3.47</v>
      </c>
      <c r="AG17" s="23" t="str">
        <f>表1_8[[#This Row],[HOUSE B/L]]</f>
        <v>YJCSHAN1904312</v>
      </c>
      <c r="AH17" s="23" t="str">
        <f>表1_8[[#This Row],[MASTER B/L]]</f>
        <v>DJSCSHBMVE90644R</v>
      </c>
      <c r="AI17" s="23" t="str">
        <f>"ETD"&amp;TEXT(表1_8[[#This Row],[ETD]],"mmdd")&amp;" "&amp;表1_8[[#This Row],[HOUSE B/L]]&amp;" "&amp;表1_8[[#This Row],[MASTER B/L]]&amp;" CHECK BL"</f>
        <v>ETD0321 YJCSHAN1904312 DJSCSHBMVE90644R CHECK BL</v>
      </c>
      <c r="AJ17" s="23" t="str">
        <f>"ETD"&amp;TEXT(表1_8[[#This Row],[ETD]],"mmdd")&amp;" "&amp;表1_8[[#This Row],[HOUSE B/L]]&amp;" "&amp;表1_8[[#This Row],[MASTER B/L]]&amp;" 报关单"</f>
        <v>ETD0321 YJCSHAN1904312 DJSCSHBMVE90644R 报关单</v>
      </c>
      <c r="AK17" s="23" t="str">
        <f>"ETD"&amp;TEXT(表1_8[[#This Row],[ETD]],"mmdd")&amp;" "&amp;表1_8[[#This Row],[HOUSE B/L]]&amp;" "&amp;表1_8[[#This Row],[MASTER B/L]]&amp;" 放行单"</f>
        <v>ETD0321 YJCSHAN1904312 DJSCSHBMVE90644R 放行单</v>
      </c>
      <c r="AL17" s="23" t="str">
        <f>"ETD"&amp;TEXT(表1_8[[#This Row],[ETD]],"mmdd")&amp;" "&amp;表1_8[[#This Row],[HOUSE B/L]]&amp;" "&amp;表1_8[[#This Row],[MASTER B/L]]&amp;" SURRENDERED BL"</f>
        <v>ETD0321 YJCSHAN1904312 DJSCSHBMVE90644R SURRENDERED BL</v>
      </c>
    </row>
    <row r="18" spans="2:38" hidden="1" x14ac:dyDescent="0.2">
      <c r="B18" s="22">
        <v>43545</v>
      </c>
      <c r="C18" s="23">
        <v>17</v>
      </c>
      <c r="D18" s="23" t="s">
        <v>371</v>
      </c>
      <c r="E18" s="23"/>
      <c r="F18" s="24"/>
      <c r="G18" s="24" t="s">
        <v>254</v>
      </c>
      <c r="H18" s="24" t="s">
        <v>255</v>
      </c>
      <c r="I18" s="23">
        <v>31</v>
      </c>
      <c r="J18" s="23">
        <v>693</v>
      </c>
      <c r="K18" s="23">
        <v>0.32</v>
      </c>
      <c r="L18" s="51">
        <v>31</v>
      </c>
      <c r="M18" s="51">
        <v>693</v>
      </c>
      <c r="N18" s="51">
        <v>0.32</v>
      </c>
      <c r="O18" s="31" t="s">
        <v>256</v>
      </c>
      <c r="P18" s="24"/>
      <c r="Q18" s="23" t="s">
        <v>209</v>
      </c>
      <c r="R18" s="25" t="s">
        <v>351</v>
      </c>
      <c r="T18" s="23">
        <f>表1_8[[#This Row],[客户编号]]</f>
        <v>0</v>
      </c>
      <c r="U18" s="23" t="str">
        <f>表1_8[[#This Row],[MASTER B/L]]</f>
        <v>DJSCSHBMVE90644S</v>
      </c>
      <c r="V18" s="23">
        <f>表1_8[[#This Row],[件]]</f>
        <v>31</v>
      </c>
      <c r="W18" s="23">
        <f>表1_8[[#This Row],[毛]]</f>
        <v>693</v>
      </c>
      <c r="X18" s="23">
        <f>表1_8[[#This Row],[体]]</f>
        <v>0.32</v>
      </c>
      <c r="Y18" s="31" t="str">
        <f>表1_8[[#This Row],[品名]]</f>
        <v>FISHING SWIVEL</v>
      </c>
      <c r="Z18" s="31" t="str">
        <f>RIGHT(表1_8[[#This Row],[编]],4)</f>
        <v/>
      </c>
      <c r="AA18" s="23" t="str">
        <f>表1_8[[#This Row],[箱号]]</f>
        <v>DRYU9061289</v>
      </c>
      <c r="AB18" s="25" t="str">
        <f>表1_8[[#This Row],[封号]]</f>
        <v>720909</v>
      </c>
      <c r="AC18" s="23">
        <f>表2[[#This Row],[件]]</f>
        <v>31</v>
      </c>
      <c r="AD18" s="23">
        <f>表2[[#This Row],[毛]]</f>
        <v>693</v>
      </c>
      <c r="AE18" s="23">
        <f>表2[[#This Row],[体]]</f>
        <v>0.32</v>
      </c>
      <c r="AG18" s="23" t="str">
        <f>表1_8[[#This Row],[HOUSE B/L]]</f>
        <v>YJCSHAN1904319</v>
      </c>
      <c r="AH18" s="23" t="str">
        <f>表1_8[[#This Row],[MASTER B/L]]</f>
        <v>DJSCSHBMVE90644S</v>
      </c>
      <c r="AI18" s="23" t="str">
        <f>"ETD"&amp;TEXT(表1_8[[#This Row],[ETD]],"mmdd")&amp;" "&amp;表1_8[[#This Row],[HOUSE B/L]]&amp;" "&amp;表1_8[[#This Row],[MASTER B/L]]&amp;" CHECK BL"</f>
        <v>ETD0321 YJCSHAN1904319 DJSCSHBMVE90644S CHECK BL</v>
      </c>
      <c r="AJ18" s="23" t="str">
        <f>"ETD"&amp;TEXT(表1_8[[#This Row],[ETD]],"mmdd")&amp;" "&amp;表1_8[[#This Row],[HOUSE B/L]]&amp;" "&amp;表1_8[[#This Row],[MASTER B/L]]&amp;" 报关单"</f>
        <v>ETD0321 YJCSHAN1904319 DJSCSHBMVE90644S 报关单</v>
      </c>
      <c r="AK18" s="23" t="str">
        <f>"ETD"&amp;TEXT(表1_8[[#This Row],[ETD]],"mmdd")&amp;" "&amp;表1_8[[#This Row],[HOUSE B/L]]&amp;" "&amp;表1_8[[#This Row],[MASTER B/L]]&amp;" 放行单"</f>
        <v>ETD0321 YJCSHAN1904319 DJSCSHBMVE90644S 放行单</v>
      </c>
      <c r="AL18" s="23" t="str">
        <f>"ETD"&amp;TEXT(表1_8[[#This Row],[ETD]],"mmdd")&amp;" "&amp;表1_8[[#This Row],[HOUSE B/L]]&amp;" "&amp;表1_8[[#This Row],[MASTER B/L]]&amp;" SURRENDERED BL"</f>
        <v>ETD0321 YJCSHAN1904319 DJSCSHBMVE90644S SURRENDERED BL</v>
      </c>
    </row>
    <row r="19" spans="2:38" hidden="1" x14ac:dyDescent="0.2">
      <c r="B19" s="22">
        <v>43545</v>
      </c>
      <c r="C19" s="23">
        <v>18</v>
      </c>
      <c r="D19" s="23" t="s">
        <v>372</v>
      </c>
      <c r="E19" s="23"/>
      <c r="F19" s="24"/>
      <c r="G19" s="24" t="s">
        <v>211</v>
      </c>
      <c r="H19" s="24" t="s">
        <v>212</v>
      </c>
      <c r="I19" s="23">
        <v>1</v>
      </c>
      <c r="J19" s="23">
        <v>4.4000000000000004</v>
      </c>
      <c r="K19" s="23">
        <v>1</v>
      </c>
      <c r="L19" s="51">
        <v>1</v>
      </c>
      <c r="M19" s="51">
        <v>4.4000000000000004</v>
      </c>
      <c r="N19" s="51">
        <v>1</v>
      </c>
      <c r="O19" s="31" t="s">
        <v>213</v>
      </c>
      <c r="P19" s="24"/>
      <c r="Q19" s="23" t="s">
        <v>205</v>
      </c>
      <c r="R19" s="25" t="s">
        <v>350</v>
      </c>
      <c r="T19" s="23">
        <f>表1_8[[#This Row],[客户编号]]</f>
        <v>0</v>
      </c>
      <c r="U19" s="23" t="str">
        <f>表1_8[[#This Row],[MASTER B/L]]</f>
        <v>DJSCSHBMVE90644T</v>
      </c>
      <c r="V19" s="23">
        <f>表1_8[[#This Row],[件]]</f>
        <v>1</v>
      </c>
      <c r="W19" s="23">
        <f>表1_8[[#This Row],[毛]]</f>
        <v>4.4000000000000004</v>
      </c>
      <c r="X19" s="23">
        <f>表1_8[[#This Row],[体]]</f>
        <v>1</v>
      </c>
      <c r="Y19" s="31" t="str">
        <f>表1_8[[#This Row],[品名]]</f>
        <v>LIFTER-ROLLER,FUEL PUMP DRIVE</v>
      </c>
      <c r="Z19" s="31" t="str">
        <f>RIGHT(表1_8[[#This Row],[编]],4)</f>
        <v/>
      </c>
      <c r="AA19" s="23" t="str">
        <f>表1_8[[#This Row],[箱号]]</f>
        <v>BEAU4630480</v>
      </c>
      <c r="AB19" s="25" t="str">
        <f>表1_8[[#This Row],[封号]]</f>
        <v>720859</v>
      </c>
      <c r="AC19" s="23">
        <f>表2[[#This Row],[件]]</f>
        <v>1</v>
      </c>
      <c r="AD19" s="23">
        <f>表2[[#This Row],[毛]]</f>
        <v>4.4000000000000004</v>
      </c>
      <c r="AE19" s="23">
        <f>表2[[#This Row],[体]]</f>
        <v>1</v>
      </c>
      <c r="AG19" s="23" t="str">
        <f>表1_8[[#This Row],[HOUSE B/L]]</f>
        <v>YJCSHAN1903898</v>
      </c>
      <c r="AH19" s="23" t="str">
        <f>表1_8[[#This Row],[MASTER B/L]]</f>
        <v>DJSCSHBMVE90644T</v>
      </c>
      <c r="AI19" s="23" t="str">
        <f>"ETD"&amp;TEXT(表1_8[[#This Row],[ETD]],"mmdd")&amp;" "&amp;表1_8[[#This Row],[HOUSE B/L]]&amp;" "&amp;表1_8[[#This Row],[MASTER B/L]]&amp;" CHECK BL"</f>
        <v>ETD0321 YJCSHAN1903898 DJSCSHBMVE90644T CHECK BL</v>
      </c>
      <c r="AJ19" s="23" t="str">
        <f>"ETD"&amp;TEXT(表1_8[[#This Row],[ETD]],"mmdd")&amp;" "&amp;表1_8[[#This Row],[HOUSE B/L]]&amp;" "&amp;表1_8[[#This Row],[MASTER B/L]]&amp;" 报关单"</f>
        <v>ETD0321 YJCSHAN1903898 DJSCSHBMVE90644T 报关单</v>
      </c>
      <c r="AK19" s="23" t="str">
        <f>"ETD"&amp;TEXT(表1_8[[#This Row],[ETD]],"mmdd")&amp;" "&amp;表1_8[[#This Row],[HOUSE B/L]]&amp;" "&amp;表1_8[[#This Row],[MASTER B/L]]&amp;" 放行单"</f>
        <v>ETD0321 YJCSHAN1903898 DJSCSHBMVE90644T 放行单</v>
      </c>
      <c r="AL19" s="23" t="str">
        <f>"ETD"&amp;TEXT(表1_8[[#This Row],[ETD]],"mmdd")&amp;" "&amp;表1_8[[#This Row],[HOUSE B/L]]&amp;" "&amp;表1_8[[#This Row],[MASTER B/L]]&amp;" SURRENDERED BL"</f>
        <v>ETD0321 YJCSHAN1903898 DJSCSHBMVE90644T SURRENDERED BL</v>
      </c>
    </row>
    <row r="20" spans="2:38" hidden="1" x14ac:dyDescent="0.2">
      <c r="B20" s="22">
        <v>43545</v>
      </c>
      <c r="C20" s="23">
        <v>19</v>
      </c>
      <c r="D20" s="23" t="s">
        <v>373</v>
      </c>
      <c r="E20" s="23"/>
      <c r="F20" s="24"/>
      <c r="G20" s="24" t="s">
        <v>257</v>
      </c>
      <c r="H20" s="24" t="s">
        <v>258</v>
      </c>
      <c r="I20" s="23">
        <v>1</v>
      </c>
      <c r="J20" s="23">
        <v>330.7</v>
      </c>
      <c r="K20" s="23">
        <v>0.8</v>
      </c>
      <c r="L20" s="51">
        <v>1</v>
      </c>
      <c r="M20" s="51">
        <v>330.7</v>
      </c>
      <c r="N20" s="51">
        <v>0.8</v>
      </c>
      <c r="O20" s="31" t="s">
        <v>259</v>
      </c>
      <c r="P20" s="24"/>
      <c r="Q20" s="23" t="s">
        <v>209</v>
      </c>
      <c r="R20" s="25" t="s">
        <v>351</v>
      </c>
      <c r="T20" s="23">
        <f>表1_8[[#This Row],[客户编号]]</f>
        <v>0</v>
      </c>
      <c r="U20" s="23" t="str">
        <f>表1_8[[#This Row],[MASTER B/L]]</f>
        <v>DJSCSHBMVE90644U</v>
      </c>
      <c r="V20" s="23">
        <f>表1_8[[#This Row],[件]]</f>
        <v>1</v>
      </c>
      <c r="W20" s="23">
        <f>表1_8[[#This Row],[毛]]</f>
        <v>330.7</v>
      </c>
      <c r="X20" s="23">
        <f>表1_8[[#This Row],[体]]</f>
        <v>0.8</v>
      </c>
      <c r="Y20" s="31" t="str">
        <f>表1_8[[#This Row],[品名]]</f>
        <v>ASSY CAP SHAFT</v>
      </c>
      <c r="Z20" s="31" t="str">
        <f>RIGHT(表1_8[[#This Row],[编]],4)</f>
        <v/>
      </c>
      <c r="AA20" s="23" t="str">
        <f>表1_8[[#This Row],[箱号]]</f>
        <v>DRYU9061289</v>
      </c>
      <c r="AB20" s="25" t="str">
        <f>表1_8[[#This Row],[封号]]</f>
        <v>720909</v>
      </c>
      <c r="AC20" s="23">
        <f>表2[[#This Row],[件]]</f>
        <v>1</v>
      </c>
      <c r="AD20" s="23">
        <f>表2[[#This Row],[毛]]</f>
        <v>330.7</v>
      </c>
      <c r="AE20" s="23">
        <f>表2[[#This Row],[体]]</f>
        <v>0.8</v>
      </c>
      <c r="AG20" s="23" t="str">
        <f>表1_8[[#This Row],[HOUSE B/L]]</f>
        <v>YJCSHAN1904345</v>
      </c>
      <c r="AH20" s="23" t="str">
        <f>表1_8[[#This Row],[MASTER B/L]]</f>
        <v>DJSCSHBMVE90644U</v>
      </c>
      <c r="AI20" s="23" t="str">
        <f>"ETD"&amp;TEXT(表1_8[[#This Row],[ETD]],"mmdd")&amp;" "&amp;表1_8[[#This Row],[HOUSE B/L]]&amp;" "&amp;表1_8[[#This Row],[MASTER B/L]]&amp;" CHECK BL"</f>
        <v>ETD0321 YJCSHAN1904345 DJSCSHBMVE90644U CHECK BL</v>
      </c>
      <c r="AJ20" s="23" t="str">
        <f>"ETD"&amp;TEXT(表1_8[[#This Row],[ETD]],"mmdd")&amp;" "&amp;表1_8[[#This Row],[HOUSE B/L]]&amp;" "&amp;表1_8[[#This Row],[MASTER B/L]]&amp;" 报关单"</f>
        <v>ETD0321 YJCSHAN1904345 DJSCSHBMVE90644U 报关单</v>
      </c>
      <c r="AK20" s="23" t="str">
        <f>"ETD"&amp;TEXT(表1_8[[#This Row],[ETD]],"mmdd")&amp;" "&amp;表1_8[[#This Row],[HOUSE B/L]]&amp;" "&amp;表1_8[[#This Row],[MASTER B/L]]&amp;" 放行单"</f>
        <v>ETD0321 YJCSHAN1904345 DJSCSHBMVE90644U 放行单</v>
      </c>
      <c r="AL20" s="23" t="str">
        <f>"ETD"&amp;TEXT(表1_8[[#This Row],[ETD]],"mmdd")&amp;" "&amp;表1_8[[#This Row],[HOUSE B/L]]&amp;" "&amp;表1_8[[#This Row],[MASTER B/L]]&amp;" SURRENDERED BL"</f>
        <v>ETD0321 YJCSHAN1904345 DJSCSHBMVE90644U SURRENDERED BL</v>
      </c>
    </row>
    <row r="21" spans="2:38" hidden="1" x14ac:dyDescent="0.2">
      <c r="B21" s="22">
        <v>43545</v>
      </c>
      <c r="C21" s="23">
        <v>20</v>
      </c>
      <c r="D21" s="23" t="s">
        <v>272</v>
      </c>
      <c r="E21" s="23">
        <v>4200</v>
      </c>
      <c r="F21" s="24"/>
      <c r="G21" s="24" t="s">
        <v>260</v>
      </c>
      <c r="H21" s="24" t="s">
        <v>261</v>
      </c>
      <c r="I21" s="23">
        <v>6</v>
      </c>
      <c r="J21" s="23">
        <v>94</v>
      </c>
      <c r="K21" s="23">
        <v>0.52200000000000002</v>
      </c>
      <c r="L21" s="51">
        <v>6</v>
      </c>
      <c r="M21" s="51">
        <v>94</v>
      </c>
      <c r="N21" s="51">
        <v>0.52200000000000002</v>
      </c>
      <c r="O21" s="31" t="s">
        <v>262</v>
      </c>
      <c r="P21" s="24"/>
      <c r="Q21" s="23" t="s">
        <v>205</v>
      </c>
      <c r="R21" s="25" t="s">
        <v>350</v>
      </c>
      <c r="T21" s="23">
        <f>表1_8[[#This Row],[客户编号]]</f>
        <v>0</v>
      </c>
      <c r="U21" s="23" t="str">
        <f>表1_8[[#This Row],[MASTER B/L]]</f>
        <v>DJSCSHBMVE90644V</v>
      </c>
      <c r="V21" s="23">
        <f>表1_8[[#This Row],[件]]</f>
        <v>6</v>
      </c>
      <c r="W21" s="23">
        <f>表1_8[[#This Row],[毛]]</f>
        <v>94</v>
      </c>
      <c r="X21" s="23">
        <f>表1_8[[#This Row],[体]]</f>
        <v>0.52200000000000002</v>
      </c>
      <c r="Y21" s="31" t="str">
        <f>表1_8[[#This Row],[品名]]</f>
        <v>LCM</v>
      </c>
      <c r="Z21" s="31" t="str">
        <f>RIGHT(表1_8[[#This Row],[编]],4)</f>
        <v/>
      </c>
      <c r="AA21" s="23" t="str">
        <f>表1_8[[#This Row],[箱号]]</f>
        <v>BEAU4630480</v>
      </c>
      <c r="AB21" s="25" t="str">
        <f>表1_8[[#This Row],[封号]]</f>
        <v>720859</v>
      </c>
      <c r="AC21" s="23">
        <f>表2[[#This Row],[件]]</f>
        <v>6</v>
      </c>
      <c r="AD21" s="23">
        <f>表2[[#This Row],[毛]]</f>
        <v>94</v>
      </c>
      <c r="AE21" s="23">
        <f>表2[[#This Row],[体]]</f>
        <v>0.52200000000000002</v>
      </c>
      <c r="AG21" s="23" t="str">
        <f>表1_8[[#This Row],[HOUSE B/L]]</f>
        <v>YJCSHAN1904368</v>
      </c>
      <c r="AH21" s="23" t="str">
        <f>表1_8[[#This Row],[MASTER B/L]]</f>
        <v>DJSCSHBMVE90644V</v>
      </c>
      <c r="AI21" s="23" t="str">
        <f>"ETD"&amp;TEXT(表1_8[[#This Row],[ETD]],"mmdd")&amp;" "&amp;表1_8[[#This Row],[HOUSE B/L]]&amp;" "&amp;表1_8[[#This Row],[MASTER B/L]]&amp;" CHECK BL"</f>
        <v>ETD0321 YJCSHAN1904368 DJSCSHBMVE90644V CHECK BL</v>
      </c>
      <c r="AJ21" s="23" t="str">
        <f>"ETD"&amp;TEXT(表1_8[[#This Row],[ETD]],"mmdd")&amp;" "&amp;表1_8[[#This Row],[HOUSE B/L]]&amp;" "&amp;表1_8[[#This Row],[MASTER B/L]]&amp;" 报关单"</f>
        <v>ETD0321 YJCSHAN1904368 DJSCSHBMVE90644V 报关单</v>
      </c>
      <c r="AK21" s="23" t="str">
        <f>"ETD"&amp;TEXT(表1_8[[#This Row],[ETD]],"mmdd")&amp;" "&amp;表1_8[[#This Row],[HOUSE B/L]]&amp;" "&amp;表1_8[[#This Row],[MASTER B/L]]&amp;" 放行单"</f>
        <v>ETD0321 YJCSHAN1904368 DJSCSHBMVE90644V 放行单</v>
      </c>
      <c r="AL21" s="23" t="str">
        <f>"ETD"&amp;TEXT(表1_8[[#This Row],[ETD]],"mmdd")&amp;" "&amp;表1_8[[#This Row],[HOUSE B/L]]&amp;" "&amp;表1_8[[#This Row],[MASTER B/L]]&amp;" SURRENDERED BL"</f>
        <v>ETD0321 YJCSHAN1904368 DJSCSHBMVE90644V SURRENDERED BL</v>
      </c>
    </row>
    <row r="22" spans="2:38" hidden="1" x14ac:dyDescent="0.2">
      <c r="B22" s="22">
        <v>43545</v>
      </c>
      <c r="C22" s="23">
        <v>21</v>
      </c>
      <c r="D22" s="23" t="s">
        <v>374</v>
      </c>
      <c r="E22" s="23"/>
      <c r="F22" s="24"/>
      <c r="G22" s="24" t="s">
        <v>263</v>
      </c>
      <c r="H22" s="24" t="s">
        <v>264</v>
      </c>
      <c r="I22" s="23">
        <v>1</v>
      </c>
      <c r="J22" s="23">
        <v>230</v>
      </c>
      <c r="K22" s="23">
        <v>0.48</v>
      </c>
      <c r="L22" s="51">
        <v>1</v>
      </c>
      <c r="M22" s="51">
        <v>230</v>
      </c>
      <c r="N22" s="51">
        <v>0.48</v>
      </c>
      <c r="O22" s="31" t="s">
        <v>265</v>
      </c>
      <c r="P22" s="24"/>
      <c r="Q22" s="23" t="s">
        <v>209</v>
      </c>
      <c r="R22" s="25" t="s">
        <v>351</v>
      </c>
      <c r="T22" s="23">
        <f>表1_8[[#This Row],[客户编号]]</f>
        <v>0</v>
      </c>
      <c r="U22" s="23" t="str">
        <f>表1_8[[#This Row],[MASTER B/L]]</f>
        <v>DJSCSHBMVE90644W</v>
      </c>
      <c r="V22" s="23">
        <f>表1_8[[#This Row],[件]]</f>
        <v>1</v>
      </c>
      <c r="W22" s="23">
        <f>表1_8[[#This Row],[毛]]</f>
        <v>230</v>
      </c>
      <c r="X22" s="23">
        <f>表1_8[[#This Row],[体]]</f>
        <v>0.48</v>
      </c>
      <c r="Y22" s="31" t="str">
        <f>表1_8[[#This Row],[品名]]</f>
        <v>GRAPHITE</v>
      </c>
      <c r="Z22" s="31" t="str">
        <f>RIGHT(表1_8[[#This Row],[编]],4)</f>
        <v/>
      </c>
      <c r="AA22" s="23" t="str">
        <f>表1_8[[#This Row],[箱号]]</f>
        <v>DRYU9061289</v>
      </c>
      <c r="AB22" s="25" t="str">
        <f>表1_8[[#This Row],[封号]]</f>
        <v>720909</v>
      </c>
      <c r="AC22" s="23">
        <f>表2[[#This Row],[件]]</f>
        <v>1</v>
      </c>
      <c r="AD22" s="23">
        <f>表2[[#This Row],[毛]]</f>
        <v>230</v>
      </c>
      <c r="AE22" s="23">
        <f>表2[[#This Row],[体]]</f>
        <v>0.48</v>
      </c>
      <c r="AG22" s="23" t="str">
        <f>表1_8[[#This Row],[HOUSE B/L]]</f>
        <v>YJCSHAN1904408</v>
      </c>
      <c r="AH22" s="23" t="str">
        <f>表1_8[[#This Row],[MASTER B/L]]</f>
        <v>DJSCSHBMVE90644W</v>
      </c>
      <c r="AI22" s="23" t="str">
        <f>"ETD"&amp;TEXT(表1_8[[#This Row],[ETD]],"mmdd")&amp;" "&amp;表1_8[[#This Row],[HOUSE B/L]]&amp;" "&amp;表1_8[[#This Row],[MASTER B/L]]&amp;" CHECK BL"</f>
        <v>ETD0321 YJCSHAN1904408 DJSCSHBMVE90644W CHECK BL</v>
      </c>
      <c r="AJ22" s="23" t="str">
        <f>"ETD"&amp;TEXT(表1_8[[#This Row],[ETD]],"mmdd")&amp;" "&amp;表1_8[[#This Row],[HOUSE B/L]]&amp;" "&amp;表1_8[[#This Row],[MASTER B/L]]&amp;" 报关单"</f>
        <v>ETD0321 YJCSHAN1904408 DJSCSHBMVE90644W 报关单</v>
      </c>
      <c r="AK22" s="23" t="str">
        <f>"ETD"&amp;TEXT(表1_8[[#This Row],[ETD]],"mmdd")&amp;" "&amp;表1_8[[#This Row],[HOUSE B/L]]&amp;" "&amp;表1_8[[#This Row],[MASTER B/L]]&amp;" 放行单"</f>
        <v>ETD0321 YJCSHAN1904408 DJSCSHBMVE90644W 放行单</v>
      </c>
      <c r="AL22" s="23" t="str">
        <f>"ETD"&amp;TEXT(表1_8[[#This Row],[ETD]],"mmdd")&amp;" "&amp;表1_8[[#This Row],[HOUSE B/L]]&amp;" "&amp;表1_8[[#This Row],[MASTER B/L]]&amp;" SURRENDERED BL"</f>
        <v>ETD0321 YJCSHAN1904408 DJSCSHBMVE90644W SURRENDERED BL</v>
      </c>
    </row>
    <row r="23" spans="2:38" hidden="1" x14ac:dyDescent="0.2">
      <c r="B23" s="22">
        <v>43548</v>
      </c>
      <c r="C23" s="23">
        <v>1</v>
      </c>
      <c r="D23" s="23" t="s">
        <v>266</v>
      </c>
      <c r="E23" s="23"/>
      <c r="F23" s="24"/>
      <c r="G23" s="24" t="s">
        <v>267</v>
      </c>
      <c r="H23" s="24" t="s">
        <v>268</v>
      </c>
      <c r="I23" s="23">
        <v>56</v>
      </c>
      <c r="J23" s="23">
        <v>795.68</v>
      </c>
      <c r="K23" s="23">
        <v>2.2799999999999998</v>
      </c>
      <c r="L23" s="51">
        <v>56</v>
      </c>
      <c r="M23" s="51">
        <v>795.68</v>
      </c>
      <c r="N23" s="51">
        <v>2.2799999999999998</v>
      </c>
      <c r="O23" s="31" t="s">
        <v>250</v>
      </c>
      <c r="P23" s="24"/>
      <c r="Q23" s="23" t="s">
        <v>348</v>
      </c>
      <c r="R23" s="25" t="s">
        <v>349</v>
      </c>
      <c r="T23" s="23">
        <f>表1_8[[#This Row],[客户编号]]</f>
        <v>0</v>
      </c>
      <c r="U23" s="23" t="str">
        <f>表1_8[[#This Row],[MASTER B/L]]</f>
        <v>DJSCSHB2EE91344A</v>
      </c>
      <c r="V23" s="23">
        <f>表1_8[[#This Row],[件]]</f>
        <v>56</v>
      </c>
      <c r="W23" s="23">
        <f>表1_8[[#This Row],[毛]]</f>
        <v>795.68</v>
      </c>
      <c r="X23" s="23">
        <f>表1_8[[#This Row],[体]]</f>
        <v>2.2799999999999998</v>
      </c>
      <c r="Y23" s="31" t="str">
        <f>表1_8[[#This Row],[品名]]</f>
        <v>POWER SUPPLY CORD SETS</v>
      </c>
      <c r="Z23" s="31" t="str">
        <f>RIGHT(表1_8[[#This Row],[编]],4)</f>
        <v/>
      </c>
      <c r="AA23" s="23" t="str">
        <f>表1_8[[#This Row],[箱号]]</f>
        <v>PHRU8609853</v>
      </c>
      <c r="AB23" s="25" t="str">
        <f>表1_8[[#This Row],[封号]]</f>
        <v>DJSC720237</v>
      </c>
      <c r="AC23" s="23">
        <f>表2[[#This Row],[件]]</f>
        <v>56</v>
      </c>
      <c r="AD23" s="23">
        <f>表2[[#This Row],[毛]]</f>
        <v>795.68</v>
      </c>
      <c r="AE23" s="23">
        <f>表2[[#This Row],[体]]</f>
        <v>2.2799999999999998</v>
      </c>
      <c r="AG23" s="23" t="str">
        <f>表1_8[[#This Row],[HOUSE B/L]]</f>
        <v>YJCSHAN1904468</v>
      </c>
      <c r="AH23" s="23" t="str">
        <f>表1_8[[#This Row],[MASTER B/L]]</f>
        <v>DJSCSHB2EE91344A</v>
      </c>
      <c r="AI23" s="23" t="str">
        <f>"ETD"&amp;TEXT(表1_8[[#This Row],[ETD]],"mmdd")&amp;" "&amp;表1_8[[#This Row],[HOUSE B/L]]&amp;" "&amp;表1_8[[#This Row],[MASTER B/L]]&amp;" CHECK BL"</f>
        <v>ETD0324 YJCSHAN1904468 DJSCSHB2EE91344A CHECK BL</v>
      </c>
      <c r="AJ23" s="23" t="str">
        <f>"ETD"&amp;TEXT(表1_8[[#This Row],[ETD]],"mmdd")&amp;" "&amp;表1_8[[#This Row],[HOUSE B/L]]&amp;" "&amp;表1_8[[#This Row],[MASTER B/L]]&amp;" 报关单"</f>
        <v>ETD0324 YJCSHAN1904468 DJSCSHB2EE91344A 报关单</v>
      </c>
      <c r="AK23" s="23" t="str">
        <f>"ETD"&amp;TEXT(表1_8[[#This Row],[ETD]],"mmdd")&amp;" "&amp;表1_8[[#This Row],[HOUSE B/L]]&amp;" "&amp;表1_8[[#This Row],[MASTER B/L]]&amp;" 放行单"</f>
        <v>ETD0324 YJCSHAN1904468 DJSCSHB2EE91344A 放行单</v>
      </c>
      <c r="AL23" s="23" t="str">
        <f>"ETD"&amp;TEXT(表1_8[[#This Row],[ETD]],"mmdd")&amp;" "&amp;表1_8[[#This Row],[HOUSE B/L]]&amp;" "&amp;表1_8[[#This Row],[MASTER B/L]]&amp;" SURRENDERED BL"</f>
        <v>ETD0324 YJCSHAN1904468 DJSCSHB2EE91344A SURRENDERED BL</v>
      </c>
    </row>
    <row r="24" spans="2:38" hidden="1" x14ac:dyDescent="0.2">
      <c r="B24" s="22">
        <v>43548</v>
      </c>
      <c r="C24" s="23">
        <v>3</v>
      </c>
      <c r="D24" s="23" t="s">
        <v>269</v>
      </c>
      <c r="E24" s="23"/>
      <c r="F24" s="24"/>
      <c r="G24" s="24" t="s">
        <v>270</v>
      </c>
      <c r="H24" s="24" t="s">
        <v>359</v>
      </c>
      <c r="I24" s="23">
        <v>6</v>
      </c>
      <c r="J24" s="23">
        <v>842</v>
      </c>
      <c r="K24" s="23">
        <v>8.57</v>
      </c>
      <c r="L24" s="51">
        <v>6</v>
      </c>
      <c r="M24" s="51">
        <v>842</v>
      </c>
      <c r="N24" s="51">
        <v>8.57</v>
      </c>
      <c r="O24" s="31" t="s">
        <v>271</v>
      </c>
      <c r="P24" s="24"/>
      <c r="Q24" s="23" t="s">
        <v>353</v>
      </c>
      <c r="R24" s="25" t="s">
        <v>354</v>
      </c>
      <c r="T24" s="23">
        <f>表1_8[[#This Row],[客户编号]]</f>
        <v>0</v>
      </c>
      <c r="U24" s="23" t="str">
        <f>表1_8[[#This Row],[MASTER B/L]]</f>
        <v>DJSCSHB2EE91344D</v>
      </c>
      <c r="V24" s="23">
        <f>表1_8[[#This Row],[件]]</f>
        <v>6</v>
      </c>
      <c r="W24" s="23">
        <f>表1_8[[#This Row],[毛]]</f>
        <v>842</v>
      </c>
      <c r="X24" s="23">
        <f>表1_8[[#This Row],[体]]</f>
        <v>8.57</v>
      </c>
      <c r="Y24" s="31" t="str">
        <f>表1_8[[#This Row],[品名]]</f>
        <v>HSG-STRG</v>
      </c>
      <c r="Z24" s="31" t="str">
        <f>RIGHT(表1_8[[#This Row],[编]],4)</f>
        <v/>
      </c>
      <c r="AA24" s="23" t="str">
        <f>表1_8[[#This Row],[箱号]]</f>
        <v>SEGU4825077</v>
      </c>
      <c r="AB24" s="25" t="str">
        <f>表1_8[[#This Row],[封号]]</f>
        <v>720195</v>
      </c>
      <c r="AC24" s="23">
        <f>表2[[#This Row],[件]]</f>
        <v>6</v>
      </c>
      <c r="AD24" s="23">
        <f>表2[[#This Row],[毛]]</f>
        <v>842</v>
      </c>
      <c r="AE24" s="23">
        <f>表2[[#This Row],[体]]</f>
        <v>8.57</v>
      </c>
      <c r="AG24" s="23" t="str">
        <f>表1_8[[#This Row],[HOUSE B/L]]</f>
        <v>YJCSHAN1904062</v>
      </c>
      <c r="AH24" s="23" t="str">
        <f>表1_8[[#This Row],[MASTER B/L]]</f>
        <v>DJSCSHB2EE91344D</v>
      </c>
      <c r="AI24" s="23" t="str">
        <f>"ETD"&amp;TEXT(表1_8[[#This Row],[ETD]],"mmdd")&amp;" "&amp;表1_8[[#This Row],[HOUSE B/L]]&amp;" "&amp;表1_8[[#This Row],[MASTER B/L]]&amp;" CHECK BL"</f>
        <v>ETD0324 YJCSHAN1904062 DJSCSHB2EE91344D CHECK BL</v>
      </c>
      <c r="AJ24" s="23" t="str">
        <f>"ETD"&amp;TEXT(表1_8[[#This Row],[ETD]],"mmdd")&amp;" "&amp;表1_8[[#This Row],[HOUSE B/L]]&amp;" "&amp;表1_8[[#This Row],[MASTER B/L]]&amp;" 报关单"</f>
        <v>ETD0324 YJCSHAN1904062 DJSCSHB2EE91344D 报关单</v>
      </c>
      <c r="AK24" s="23" t="str">
        <f>"ETD"&amp;TEXT(表1_8[[#This Row],[ETD]],"mmdd")&amp;" "&amp;表1_8[[#This Row],[HOUSE B/L]]&amp;" "&amp;表1_8[[#This Row],[MASTER B/L]]&amp;" 放行单"</f>
        <v>ETD0324 YJCSHAN1904062 DJSCSHB2EE91344D 放行单</v>
      </c>
      <c r="AL24" s="23" t="str">
        <f>"ETD"&amp;TEXT(表1_8[[#This Row],[ETD]],"mmdd")&amp;" "&amp;表1_8[[#This Row],[HOUSE B/L]]&amp;" "&amp;表1_8[[#This Row],[MASTER B/L]]&amp;" SURRENDERED BL"</f>
        <v>ETD0324 YJCSHAN1904062 DJSCSHB2EE91344D SURRENDERED BL</v>
      </c>
    </row>
    <row r="25" spans="2:38" hidden="1" x14ac:dyDescent="0.2">
      <c r="B25" s="22">
        <v>43548</v>
      </c>
      <c r="C25" s="23">
        <v>4</v>
      </c>
      <c r="D25" s="23" t="s">
        <v>272</v>
      </c>
      <c r="E25" s="23">
        <v>4165</v>
      </c>
      <c r="F25" s="24"/>
      <c r="G25" s="24" t="s">
        <v>273</v>
      </c>
      <c r="H25" s="24" t="s">
        <v>274</v>
      </c>
      <c r="I25" s="23">
        <v>16</v>
      </c>
      <c r="J25" s="23">
        <v>320</v>
      </c>
      <c r="K25" s="23">
        <v>1.6</v>
      </c>
      <c r="L25" s="51">
        <v>16</v>
      </c>
      <c r="M25" s="51">
        <v>320</v>
      </c>
      <c r="N25" s="51">
        <v>1.6</v>
      </c>
      <c r="O25" s="31" t="s">
        <v>358</v>
      </c>
      <c r="P25" s="24"/>
      <c r="Q25" s="23" t="s">
        <v>353</v>
      </c>
      <c r="R25" s="25" t="s">
        <v>354</v>
      </c>
      <c r="T25" s="23">
        <f>表1_8[[#This Row],[客户编号]]</f>
        <v>0</v>
      </c>
      <c r="U25" s="23" t="str">
        <f>表1_8[[#This Row],[MASTER B/L]]</f>
        <v>DJSCSHB2EE91344E</v>
      </c>
      <c r="V25" s="23">
        <f>表1_8[[#This Row],[件]]</f>
        <v>16</v>
      </c>
      <c r="W25" s="23">
        <f>表1_8[[#This Row],[毛]]</f>
        <v>320</v>
      </c>
      <c r="X25" s="23">
        <f>表1_8[[#This Row],[体]]</f>
        <v>1.6</v>
      </c>
      <c r="Y25" s="31" t="str">
        <f>表1_8[[#This Row],[品名]]</f>
        <v>GARMENTS</v>
      </c>
      <c r="Z25" s="31" t="str">
        <f>RIGHT(表1_8[[#This Row],[编]],4)</f>
        <v/>
      </c>
      <c r="AA25" s="23" t="str">
        <f>表1_8[[#This Row],[箱号]]</f>
        <v>SEGU4825077</v>
      </c>
      <c r="AB25" s="25" t="str">
        <f>表1_8[[#This Row],[封号]]</f>
        <v>720195</v>
      </c>
      <c r="AC25" s="23">
        <f>表2[[#This Row],[件]]</f>
        <v>16</v>
      </c>
      <c r="AD25" s="23">
        <f>表2[[#This Row],[毛]]</f>
        <v>320</v>
      </c>
      <c r="AE25" s="23">
        <f>表2[[#This Row],[体]]</f>
        <v>1.6</v>
      </c>
      <c r="AG25" s="23" t="str">
        <f>表1_8[[#This Row],[HOUSE B/L]]</f>
        <v>YJCSHAN1904165</v>
      </c>
      <c r="AH25" s="23" t="str">
        <f>表1_8[[#This Row],[MASTER B/L]]</f>
        <v>DJSCSHB2EE91344E</v>
      </c>
      <c r="AI25" s="23" t="str">
        <f>"ETD"&amp;TEXT(表1_8[[#This Row],[ETD]],"mmdd")&amp;" "&amp;表1_8[[#This Row],[HOUSE B/L]]&amp;" "&amp;表1_8[[#This Row],[MASTER B/L]]&amp;" CHECK BL"</f>
        <v>ETD0324 YJCSHAN1904165 DJSCSHB2EE91344E CHECK BL</v>
      </c>
      <c r="AJ25" s="23" t="str">
        <f>"ETD"&amp;TEXT(表1_8[[#This Row],[ETD]],"mmdd")&amp;" "&amp;表1_8[[#This Row],[HOUSE B/L]]&amp;" "&amp;表1_8[[#This Row],[MASTER B/L]]&amp;" 报关单"</f>
        <v>ETD0324 YJCSHAN1904165 DJSCSHB2EE91344E 报关单</v>
      </c>
      <c r="AK25" s="23" t="str">
        <f>"ETD"&amp;TEXT(表1_8[[#This Row],[ETD]],"mmdd")&amp;" "&amp;表1_8[[#This Row],[HOUSE B/L]]&amp;" "&amp;表1_8[[#This Row],[MASTER B/L]]&amp;" 放行单"</f>
        <v>ETD0324 YJCSHAN1904165 DJSCSHB2EE91344E 放行单</v>
      </c>
      <c r="AL25" s="23" t="str">
        <f>"ETD"&amp;TEXT(表1_8[[#This Row],[ETD]],"mmdd")&amp;" "&amp;表1_8[[#This Row],[HOUSE B/L]]&amp;" "&amp;表1_8[[#This Row],[MASTER B/L]]&amp;" SURRENDERED BL"</f>
        <v>ETD0324 YJCSHAN1904165 DJSCSHB2EE91344E SURRENDERED BL</v>
      </c>
    </row>
    <row r="26" spans="2:38" hidden="1" x14ac:dyDescent="0.2">
      <c r="B26" s="22">
        <v>43548</v>
      </c>
      <c r="C26" s="23">
        <v>5</v>
      </c>
      <c r="D26" s="23" t="s">
        <v>275</v>
      </c>
      <c r="E26" s="23"/>
      <c r="F26" s="24"/>
      <c r="G26" s="24" t="s">
        <v>276</v>
      </c>
      <c r="H26" s="24" t="s">
        <v>277</v>
      </c>
      <c r="I26" s="23">
        <v>6</v>
      </c>
      <c r="J26" s="23">
        <v>3543</v>
      </c>
      <c r="K26" s="23">
        <v>5.3</v>
      </c>
      <c r="L26" s="51">
        <v>6</v>
      </c>
      <c r="M26" s="51">
        <v>3543</v>
      </c>
      <c r="N26" s="51">
        <v>5.3</v>
      </c>
      <c r="O26" s="31" t="s">
        <v>278</v>
      </c>
      <c r="P26" s="24"/>
      <c r="Q26" s="23" t="s">
        <v>348</v>
      </c>
      <c r="R26" s="25" t="s">
        <v>349</v>
      </c>
      <c r="T26" s="23">
        <f>表1_8[[#This Row],[客户编号]]</f>
        <v>0</v>
      </c>
      <c r="U26" s="23" t="str">
        <f>表1_8[[#This Row],[MASTER B/L]]</f>
        <v>DJSCSHB2EE91344G</v>
      </c>
      <c r="V26" s="23">
        <f>表1_8[[#This Row],[件]]</f>
        <v>6</v>
      </c>
      <c r="W26" s="23">
        <f>表1_8[[#This Row],[毛]]</f>
        <v>3543</v>
      </c>
      <c r="X26" s="23">
        <f>表1_8[[#This Row],[体]]</f>
        <v>5.3</v>
      </c>
      <c r="Y26" s="31" t="str">
        <f>表1_8[[#This Row],[品名]]</f>
        <v>COMPRESSOR</v>
      </c>
      <c r="Z26" s="31" t="str">
        <f>RIGHT(表1_8[[#This Row],[编]],4)</f>
        <v/>
      </c>
      <c r="AA26" s="23" t="str">
        <f>表1_8[[#This Row],[箱号]]</f>
        <v>PHRU8609853</v>
      </c>
      <c r="AB26" s="25" t="str">
        <f>表1_8[[#This Row],[封号]]</f>
        <v>DJSC720237</v>
      </c>
      <c r="AC26" s="23">
        <f>表2[[#This Row],[件]]</f>
        <v>6</v>
      </c>
      <c r="AD26" s="23">
        <f>表2[[#This Row],[毛]]</f>
        <v>3543</v>
      </c>
      <c r="AE26" s="23">
        <f>表2[[#This Row],[体]]</f>
        <v>5.3</v>
      </c>
      <c r="AG26" s="23" t="str">
        <f>表1_8[[#This Row],[HOUSE B/L]]</f>
        <v>YJCSHAN1904268</v>
      </c>
      <c r="AH26" s="23" t="str">
        <f>表1_8[[#This Row],[MASTER B/L]]</f>
        <v>DJSCSHB2EE91344G</v>
      </c>
      <c r="AI26" s="23" t="str">
        <f>"ETD"&amp;TEXT(表1_8[[#This Row],[ETD]],"mmdd")&amp;" "&amp;表1_8[[#This Row],[HOUSE B/L]]&amp;" "&amp;表1_8[[#This Row],[MASTER B/L]]&amp;" CHECK BL"</f>
        <v>ETD0324 YJCSHAN1904268 DJSCSHB2EE91344G CHECK BL</v>
      </c>
      <c r="AJ26" s="23" t="str">
        <f>"ETD"&amp;TEXT(表1_8[[#This Row],[ETD]],"mmdd")&amp;" "&amp;表1_8[[#This Row],[HOUSE B/L]]&amp;" "&amp;表1_8[[#This Row],[MASTER B/L]]&amp;" 报关单"</f>
        <v>ETD0324 YJCSHAN1904268 DJSCSHB2EE91344G 报关单</v>
      </c>
      <c r="AK26" s="23" t="str">
        <f>"ETD"&amp;TEXT(表1_8[[#This Row],[ETD]],"mmdd")&amp;" "&amp;表1_8[[#This Row],[HOUSE B/L]]&amp;" "&amp;表1_8[[#This Row],[MASTER B/L]]&amp;" 放行单"</f>
        <v>ETD0324 YJCSHAN1904268 DJSCSHB2EE91344G 放行单</v>
      </c>
      <c r="AL26" s="23" t="str">
        <f>"ETD"&amp;TEXT(表1_8[[#This Row],[ETD]],"mmdd")&amp;" "&amp;表1_8[[#This Row],[HOUSE B/L]]&amp;" "&amp;表1_8[[#This Row],[MASTER B/L]]&amp;" SURRENDERED BL"</f>
        <v>ETD0324 YJCSHAN1904268 DJSCSHB2EE91344G SURRENDERED BL</v>
      </c>
    </row>
    <row r="27" spans="2:38" hidden="1" x14ac:dyDescent="0.2">
      <c r="B27" s="22">
        <v>43548</v>
      </c>
      <c r="C27" s="23">
        <v>6</v>
      </c>
      <c r="D27" s="23" t="s">
        <v>279</v>
      </c>
      <c r="E27" s="23"/>
      <c r="F27" s="24"/>
      <c r="G27" s="24" t="s">
        <v>280</v>
      </c>
      <c r="H27" s="24" t="s">
        <v>281</v>
      </c>
      <c r="I27" s="23">
        <v>2</v>
      </c>
      <c r="J27" s="23">
        <v>236.6</v>
      </c>
      <c r="K27" s="23">
        <v>2.2999999999999998</v>
      </c>
      <c r="L27" s="51">
        <v>2</v>
      </c>
      <c r="M27" s="51">
        <v>236.6</v>
      </c>
      <c r="N27" s="51">
        <v>2.2999999999999998</v>
      </c>
      <c r="O27" s="31" t="s">
        <v>284</v>
      </c>
      <c r="P27" s="24"/>
      <c r="Q27" s="23" t="s">
        <v>353</v>
      </c>
      <c r="R27" s="25" t="s">
        <v>354</v>
      </c>
      <c r="T27" s="23">
        <f>表1_8[[#This Row],[客户编号]]</f>
        <v>0</v>
      </c>
      <c r="U27" s="23" t="str">
        <f>表1_8[[#This Row],[MASTER B/L]]</f>
        <v>DJSCSHB2EE91344H</v>
      </c>
      <c r="V27" s="23">
        <f>表1_8[[#This Row],[件]]</f>
        <v>2</v>
      </c>
      <c r="W27" s="23">
        <f>表1_8[[#This Row],[毛]]</f>
        <v>236.6</v>
      </c>
      <c r="X27" s="23">
        <f>表1_8[[#This Row],[体]]</f>
        <v>2.2999999999999998</v>
      </c>
      <c r="Y27" s="31" t="str">
        <f>表1_8[[#This Row],[品名]]</f>
        <v>LOCK-HOOD</v>
      </c>
      <c r="Z27" s="31" t="str">
        <f>RIGHT(表1_8[[#This Row],[编]],4)</f>
        <v/>
      </c>
      <c r="AA27" s="23" t="str">
        <f>表1_8[[#This Row],[箱号]]</f>
        <v>SEGU4825077</v>
      </c>
      <c r="AB27" s="25" t="str">
        <f>表1_8[[#This Row],[封号]]</f>
        <v>720195</v>
      </c>
      <c r="AC27" s="23">
        <f>表2[[#This Row],[件]]</f>
        <v>2</v>
      </c>
      <c r="AD27" s="23">
        <f>表2[[#This Row],[毛]]</f>
        <v>236.6</v>
      </c>
      <c r="AE27" s="23">
        <f>表2[[#This Row],[体]]</f>
        <v>2.2999999999999998</v>
      </c>
      <c r="AG27" s="23" t="str">
        <f>表1_8[[#This Row],[HOUSE B/L]]</f>
        <v>YJCSHAN1904310</v>
      </c>
      <c r="AH27" s="23" t="str">
        <f>表1_8[[#This Row],[MASTER B/L]]</f>
        <v>DJSCSHB2EE91344H</v>
      </c>
      <c r="AI27" s="23" t="str">
        <f>"ETD"&amp;TEXT(表1_8[[#This Row],[ETD]],"mmdd")&amp;" "&amp;表1_8[[#This Row],[HOUSE B/L]]&amp;" "&amp;表1_8[[#This Row],[MASTER B/L]]&amp;" CHECK BL"</f>
        <v>ETD0324 YJCSHAN1904310 DJSCSHB2EE91344H CHECK BL</v>
      </c>
      <c r="AJ27" s="23" t="str">
        <f>"ETD"&amp;TEXT(表1_8[[#This Row],[ETD]],"mmdd")&amp;" "&amp;表1_8[[#This Row],[HOUSE B/L]]&amp;" "&amp;表1_8[[#This Row],[MASTER B/L]]&amp;" 报关单"</f>
        <v>ETD0324 YJCSHAN1904310 DJSCSHB2EE91344H 报关单</v>
      </c>
      <c r="AK27" s="23" t="str">
        <f>"ETD"&amp;TEXT(表1_8[[#This Row],[ETD]],"mmdd")&amp;" "&amp;表1_8[[#This Row],[HOUSE B/L]]&amp;" "&amp;表1_8[[#This Row],[MASTER B/L]]&amp;" 放行单"</f>
        <v>ETD0324 YJCSHAN1904310 DJSCSHB2EE91344H 放行单</v>
      </c>
      <c r="AL27" s="23" t="str">
        <f>"ETD"&amp;TEXT(表1_8[[#This Row],[ETD]],"mmdd")&amp;" "&amp;表1_8[[#This Row],[HOUSE B/L]]&amp;" "&amp;表1_8[[#This Row],[MASTER B/L]]&amp;" SURRENDERED BL"</f>
        <v>ETD0324 YJCSHAN1904310 DJSCSHB2EE91344H SURRENDERED BL</v>
      </c>
    </row>
    <row r="28" spans="2:38" hidden="1" x14ac:dyDescent="0.2">
      <c r="B28" s="22">
        <v>43548</v>
      </c>
      <c r="C28" s="23">
        <v>7</v>
      </c>
      <c r="D28" s="23" t="s">
        <v>279</v>
      </c>
      <c r="E28" s="23"/>
      <c r="F28" s="24"/>
      <c r="G28" s="24" t="s">
        <v>282</v>
      </c>
      <c r="H28" s="24" t="s">
        <v>283</v>
      </c>
      <c r="I28" s="23">
        <v>1</v>
      </c>
      <c r="J28" s="23">
        <v>61</v>
      </c>
      <c r="K28" s="23">
        <v>0.79</v>
      </c>
      <c r="L28" s="51">
        <v>1</v>
      </c>
      <c r="M28" s="51">
        <v>61</v>
      </c>
      <c r="N28" s="51">
        <v>0.79</v>
      </c>
      <c r="O28" s="31" t="s">
        <v>284</v>
      </c>
      <c r="P28" s="24"/>
      <c r="Q28" s="23" t="s">
        <v>353</v>
      </c>
      <c r="R28" s="25" t="s">
        <v>354</v>
      </c>
      <c r="T28" s="23">
        <f>表1_8[[#This Row],[客户编号]]</f>
        <v>0</v>
      </c>
      <c r="U28" s="23" t="str">
        <f>表1_8[[#This Row],[MASTER B/L]]</f>
        <v>DJSCSHB2EE91344J</v>
      </c>
      <c r="V28" s="23">
        <f>表1_8[[#This Row],[件]]</f>
        <v>1</v>
      </c>
      <c r="W28" s="23">
        <f>表1_8[[#This Row],[毛]]</f>
        <v>61</v>
      </c>
      <c r="X28" s="23">
        <f>表1_8[[#This Row],[体]]</f>
        <v>0.79</v>
      </c>
      <c r="Y28" s="31" t="str">
        <f>表1_8[[#This Row],[品名]]</f>
        <v>LOCK-HOOD</v>
      </c>
      <c r="Z28" s="31" t="str">
        <f>RIGHT(表1_8[[#This Row],[编]],4)</f>
        <v/>
      </c>
      <c r="AA28" s="23" t="str">
        <f>表1_8[[#This Row],[箱号]]</f>
        <v>SEGU4825077</v>
      </c>
      <c r="AB28" s="25" t="str">
        <f>表1_8[[#This Row],[封号]]</f>
        <v>720195</v>
      </c>
      <c r="AC28" s="23">
        <f>表2[[#This Row],[件]]</f>
        <v>1</v>
      </c>
      <c r="AD28" s="23">
        <f>表2[[#This Row],[毛]]</f>
        <v>61</v>
      </c>
      <c r="AE28" s="23">
        <f>表2[[#This Row],[体]]</f>
        <v>0.79</v>
      </c>
      <c r="AG28" s="23" t="str">
        <f>表1_8[[#This Row],[HOUSE B/L]]</f>
        <v>YJCSHAN1904311</v>
      </c>
      <c r="AH28" s="23" t="str">
        <f>表1_8[[#This Row],[MASTER B/L]]</f>
        <v>DJSCSHB2EE91344J</v>
      </c>
      <c r="AI28" s="23" t="str">
        <f>"ETD"&amp;TEXT(表1_8[[#This Row],[ETD]],"mmdd")&amp;" "&amp;表1_8[[#This Row],[HOUSE B/L]]&amp;" "&amp;表1_8[[#This Row],[MASTER B/L]]&amp;" CHECK BL"</f>
        <v>ETD0324 YJCSHAN1904311 DJSCSHB2EE91344J CHECK BL</v>
      </c>
      <c r="AJ28" s="23" t="str">
        <f>"ETD"&amp;TEXT(表1_8[[#This Row],[ETD]],"mmdd")&amp;" "&amp;表1_8[[#This Row],[HOUSE B/L]]&amp;" "&amp;表1_8[[#This Row],[MASTER B/L]]&amp;" 报关单"</f>
        <v>ETD0324 YJCSHAN1904311 DJSCSHB2EE91344J 报关单</v>
      </c>
      <c r="AK28" s="23" t="str">
        <f>"ETD"&amp;TEXT(表1_8[[#This Row],[ETD]],"mmdd")&amp;" "&amp;表1_8[[#This Row],[HOUSE B/L]]&amp;" "&amp;表1_8[[#This Row],[MASTER B/L]]&amp;" 放行单"</f>
        <v>ETD0324 YJCSHAN1904311 DJSCSHB2EE91344J 放行单</v>
      </c>
      <c r="AL28" s="23" t="str">
        <f>"ETD"&amp;TEXT(表1_8[[#This Row],[ETD]],"mmdd")&amp;" "&amp;表1_8[[#This Row],[HOUSE B/L]]&amp;" "&amp;表1_8[[#This Row],[MASTER B/L]]&amp;" SURRENDERED BL"</f>
        <v>ETD0324 YJCSHAN1904311 DJSCSHB2EE91344J SURRENDERED BL</v>
      </c>
    </row>
    <row r="29" spans="2:38" ht="84" hidden="1" x14ac:dyDescent="0.2">
      <c r="B29" s="22">
        <v>43548</v>
      </c>
      <c r="C29" s="23">
        <v>8</v>
      </c>
      <c r="D29" s="23" t="s">
        <v>285</v>
      </c>
      <c r="E29" s="23"/>
      <c r="F29" s="24"/>
      <c r="G29" s="24" t="s">
        <v>286</v>
      </c>
      <c r="H29" s="24" t="s">
        <v>287</v>
      </c>
      <c r="I29" s="23">
        <v>23</v>
      </c>
      <c r="J29" s="23">
        <v>98</v>
      </c>
      <c r="K29" s="23">
        <v>0.63</v>
      </c>
      <c r="L29" s="51">
        <v>23</v>
      </c>
      <c r="M29" s="51">
        <v>98</v>
      </c>
      <c r="N29" s="51">
        <v>0.63</v>
      </c>
      <c r="O29" s="31" t="s">
        <v>355</v>
      </c>
      <c r="P29" s="24"/>
      <c r="Q29" s="23" t="s">
        <v>353</v>
      </c>
      <c r="R29" s="25" t="s">
        <v>354</v>
      </c>
      <c r="T29" s="23">
        <f>表1_8[[#This Row],[客户编号]]</f>
        <v>0</v>
      </c>
      <c r="U29" s="23" t="str">
        <f>表1_8[[#This Row],[MASTER B/L]]</f>
        <v>DJSCSHB2EE91344K</v>
      </c>
      <c r="V29" s="23">
        <f>表1_8[[#This Row],[件]]</f>
        <v>23</v>
      </c>
      <c r="W29" s="23">
        <f>表1_8[[#This Row],[毛]]</f>
        <v>98</v>
      </c>
      <c r="X29" s="23">
        <f>表1_8[[#This Row],[体]]</f>
        <v>0.63</v>
      </c>
      <c r="Y29" s="31" t="str">
        <f>表1_8[[#This Row],[品名]]</f>
        <v>PUSH TO CLOSE LATCH
SWELL LATCH, BLACK
POINT COAT HOOK, ROUND SATIN
LINK RETAINER
COMPRESSION LATCH, MEDIUM SS POLISHED
COMPRESSION LATCH, MEDIUM SS POLISHED
BATCH(ES)</v>
      </c>
      <c r="Z29" s="31" t="str">
        <f>RIGHT(表1_8[[#This Row],[编]],4)</f>
        <v/>
      </c>
      <c r="AA29" s="23" t="str">
        <f>表1_8[[#This Row],[箱号]]</f>
        <v>SEGU4825077</v>
      </c>
      <c r="AB29" s="25" t="str">
        <f>表1_8[[#This Row],[封号]]</f>
        <v>720195</v>
      </c>
      <c r="AC29" s="23">
        <f>表2[[#This Row],[件]]</f>
        <v>23</v>
      </c>
      <c r="AD29" s="23">
        <f>表2[[#This Row],[毛]]</f>
        <v>98</v>
      </c>
      <c r="AE29" s="23">
        <f>表2[[#This Row],[体]]</f>
        <v>0.63</v>
      </c>
      <c r="AG29" s="23" t="str">
        <f>表1_8[[#This Row],[HOUSE B/L]]</f>
        <v>YJCSHAN1904313</v>
      </c>
      <c r="AH29" s="23" t="str">
        <f>表1_8[[#This Row],[MASTER B/L]]</f>
        <v>DJSCSHB2EE91344K</v>
      </c>
      <c r="AI29" s="23" t="str">
        <f>"ETD"&amp;TEXT(表1_8[[#This Row],[ETD]],"mmdd")&amp;" "&amp;表1_8[[#This Row],[HOUSE B/L]]&amp;" "&amp;表1_8[[#This Row],[MASTER B/L]]&amp;" CHECK BL"</f>
        <v>ETD0324 YJCSHAN1904313 DJSCSHB2EE91344K CHECK BL</v>
      </c>
      <c r="AJ29" s="23" t="str">
        <f>"ETD"&amp;TEXT(表1_8[[#This Row],[ETD]],"mmdd")&amp;" "&amp;表1_8[[#This Row],[HOUSE B/L]]&amp;" "&amp;表1_8[[#This Row],[MASTER B/L]]&amp;" 报关单"</f>
        <v>ETD0324 YJCSHAN1904313 DJSCSHB2EE91344K 报关单</v>
      </c>
      <c r="AK29" s="23" t="str">
        <f>"ETD"&amp;TEXT(表1_8[[#This Row],[ETD]],"mmdd")&amp;" "&amp;表1_8[[#This Row],[HOUSE B/L]]&amp;" "&amp;表1_8[[#This Row],[MASTER B/L]]&amp;" 放行单"</f>
        <v>ETD0324 YJCSHAN1904313 DJSCSHB2EE91344K 放行单</v>
      </c>
      <c r="AL29" s="23" t="str">
        <f>"ETD"&amp;TEXT(表1_8[[#This Row],[ETD]],"mmdd")&amp;" "&amp;表1_8[[#This Row],[HOUSE B/L]]&amp;" "&amp;表1_8[[#This Row],[MASTER B/L]]&amp;" SURRENDERED BL"</f>
        <v>ETD0324 YJCSHAN1904313 DJSCSHB2EE91344K SURRENDERED BL</v>
      </c>
    </row>
    <row r="30" spans="2:38" hidden="1" x14ac:dyDescent="0.2">
      <c r="B30" s="22">
        <v>43548</v>
      </c>
      <c r="C30" s="23">
        <v>9</v>
      </c>
      <c r="D30" s="23" t="s">
        <v>288</v>
      </c>
      <c r="E30" s="23"/>
      <c r="F30" s="24"/>
      <c r="G30" s="24" t="s">
        <v>289</v>
      </c>
      <c r="H30" s="24" t="s">
        <v>290</v>
      </c>
      <c r="I30" s="23">
        <v>7</v>
      </c>
      <c r="J30" s="23">
        <v>4968</v>
      </c>
      <c r="K30" s="23">
        <v>3.7309999999999999</v>
      </c>
      <c r="L30" s="51">
        <v>7</v>
      </c>
      <c r="M30" s="51">
        <v>4968</v>
      </c>
      <c r="N30" s="51">
        <v>3.7309999999999999</v>
      </c>
      <c r="O30" s="31" t="s">
        <v>291</v>
      </c>
      <c r="P30" s="24"/>
      <c r="Q30" s="23" t="s">
        <v>353</v>
      </c>
      <c r="R30" s="25" t="s">
        <v>354</v>
      </c>
      <c r="T30" s="23">
        <f>表1_8[[#This Row],[客户编号]]</f>
        <v>0</v>
      </c>
      <c r="U30" s="23" t="str">
        <f>表1_8[[#This Row],[MASTER B/L]]</f>
        <v>DJSCSHB2EE91344L</v>
      </c>
      <c r="V30" s="23">
        <f>表1_8[[#This Row],[件]]</f>
        <v>7</v>
      </c>
      <c r="W30" s="23">
        <f>表1_8[[#This Row],[毛]]</f>
        <v>4968</v>
      </c>
      <c r="X30" s="23">
        <f>表1_8[[#This Row],[体]]</f>
        <v>3.7309999999999999</v>
      </c>
      <c r="Y30" s="31" t="str">
        <f>表1_8[[#This Row],[品名]]</f>
        <v>BALL BEARING</v>
      </c>
      <c r="Z30" s="31" t="str">
        <f>RIGHT(表1_8[[#This Row],[编]],4)</f>
        <v/>
      </c>
      <c r="AA30" s="23" t="str">
        <f>表1_8[[#This Row],[箱号]]</f>
        <v>SEGU4825077</v>
      </c>
      <c r="AB30" s="25" t="str">
        <f>表1_8[[#This Row],[封号]]</f>
        <v>720195</v>
      </c>
      <c r="AC30" s="23">
        <f>表2[[#This Row],[件]]</f>
        <v>7</v>
      </c>
      <c r="AD30" s="23">
        <f>表2[[#This Row],[毛]]</f>
        <v>4968</v>
      </c>
      <c r="AE30" s="23">
        <f>表2[[#This Row],[体]]</f>
        <v>3.7309999999999999</v>
      </c>
      <c r="AG30" s="23" t="str">
        <f>表1_8[[#This Row],[HOUSE B/L]]</f>
        <v>YJCSHAN1904328</v>
      </c>
      <c r="AH30" s="23" t="str">
        <f>表1_8[[#This Row],[MASTER B/L]]</f>
        <v>DJSCSHB2EE91344L</v>
      </c>
      <c r="AI30" s="23" t="str">
        <f>"ETD"&amp;TEXT(表1_8[[#This Row],[ETD]],"mmdd")&amp;" "&amp;表1_8[[#This Row],[HOUSE B/L]]&amp;" "&amp;表1_8[[#This Row],[MASTER B/L]]&amp;" CHECK BL"</f>
        <v>ETD0324 YJCSHAN1904328 DJSCSHB2EE91344L CHECK BL</v>
      </c>
      <c r="AJ30" s="23" t="str">
        <f>"ETD"&amp;TEXT(表1_8[[#This Row],[ETD]],"mmdd")&amp;" "&amp;表1_8[[#This Row],[HOUSE B/L]]&amp;" "&amp;表1_8[[#This Row],[MASTER B/L]]&amp;" 报关单"</f>
        <v>ETD0324 YJCSHAN1904328 DJSCSHB2EE91344L 报关单</v>
      </c>
      <c r="AK30" s="23" t="str">
        <f>"ETD"&amp;TEXT(表1_8[[#This Row],[ETD]],"mmdd")&amp;" "&amp;表1_8[[#This Row],[HOUSE B/L]]&amp;" "&amp;表1_8[[#This Row],[MASTER B/L]]&amp;" 放行单"</f>
        <v>ETD0324 YJCSHAN1904328 DJSCSHB2EE91344L 放行单</v>
      </c>
      <c r="AL30" s="23" t="str">
        <f>"ETD"&amp;TEXT(表1_8[[#This Row],[ETD]],"mmdd")&amp;" "&amp;表1_8[[#This Row],[HOUSE B/L]]&amp;" "&amp;表1_8[[#This Row],[MASTER B/L]]&amp;" SURRENDERED BL"</f>
        <v>ETD0324 YJCSHAN1904328 DJSCSHB2EE91344L SURRENDERED BL</v>
      </c>
    </row>
    <row r="31" spans="2:38" ht="24" hidden="1" x14ac:dyDescent="0.2">
      <c r="B31" s="22">
        <v>43548</v>
      </c>
      <c r="C31" s="23">
        <v>10</v>
      </c>
      <c r="D31" s="23" t="s">
        <v>272</v>
      </c>
      <c r="E31" s="23">
        <v>4165</v>
      </c>
      <c r="F31" s="24"/>
      <c r="G31" s="24" t="s">
        <v>292</v>
      </c>
      <c r="H31" s="24" t="s">
        <v>293</v>
      </c>
      <c r="I31" s="23">
        <v>6</v>
      </c>
      <c r="J31" s="23">
        <v>120</v>
      </c>
      <c r="K31" s="23">
        <v>0.5</v>
      </c>
      <c r="L31" s="51">
        <v>6</v>
      </c>
      <c r="M31" s="51">
        <v>120</v>
      </c>
      <c r="N31" s="51">
        <v>0.5</v>
      </c>
      <c r="O31" s="31" t="s">
        <v>294</v>
      </c>
      <c r="P31" s="24"/>
      <c r="Q31" s="23" t="s">
        <v>353</v>
      </c>
      <c r="R31" s="25" t="s">
        <v>354</v>
      </c>
      <c r="T31" s="23">
        <f>表1_8[[#This Row],[客户编号]]</f>
        <v>0</v>
      </c>
      <c r="U31" s="23" t="str">
        <f>表1_8[[#This Row],[MASTER B/L]]</f>
        <v>DJSCSHB2EE91344M</v>
      </c>
      <c r="V31" s="23">
        <f>表1_8[[#This Row],[件]]</f>
        <v>6</v>
      </c>
      <c r="W31" s="23">
        <f>表1_8[[#This Row],[毛]]</f>
        <v>120</v>
      </c>
      <c r="X31" s="23">
        <f>表1_8[[#This Row],[体]]</f>
        <v>0.5</v>
      </c>
      <c r="Y31" s="31" t="str">
        <f>表1_8[[#This Row],[品名]]</f>
        <v>GARMENTS
LADIES LONG PANT</v>
      </c>
      <c r="Z31" s="31" t="str">
        <f>RIGHT(表1_8[[#This Row],[编]],4)</f>
        <v/>
      </c>
      <c r="AA31" s="23" t="str">
        <f>表1_8[[#This Row],[箱号]]</f>
        <v>SEGU4825077</v>
      </c>
      <c r="AB31" s="25" t="str">
        <f>表1_8[[#This Row],[封号]]</f>
        <v>720195</v>
      </c>
      <c r="AC31" s="23">
        <f>表2[[#This Row],[件]]</f>
        <v>6</v>
      </c>
      <c r="AD31" s="23">
        <f>表2[[#This Row],[毛]]</f>
        <v>120</v>
      </c>
      <c r="AE31" s="23">
        <f>表2[[#This Row],[体]]</f>
        <v>0.5</v>
      </c>
      <c r="AG31" s="23" t="str">
        <f>表1_8[[#This Row],[HOUSE B/L]]</f>
        <v>YJCSHAN1904332</v>
      </c>
      <c r="AH31" s="23" t="str">
        <f>表1_8[[#This Row],[MASTER B/L]]</f>
        <v>DJSCSHB2EE91344M</v>
      </c>
      <c r="AI31" s="23" t="str">
        <f>"ETD"&amp;TEXT(表1_8[[#This Row],[ETD]],"mmdd")&amp;" "&amp;表1_8[[#This Row],[HOUSE B/L]]&amp;" "&amp;表1_8[[#This Row],[MASTER B/L]]&amp;" CHECK BL"</f>
        <v>ETD0324 YJCSHAN1904332 DJSCSHB2EE91344M CHECK BL</v>
      </c>
      <c r="AJ31" s="23" t="str">
        <f>"ETD"&amp;TEXT(表1_8[[#This Row],[ETD]],"mmdd")&amp;" "&amp;表1_8[[#This Row],[HOUSE B/L]]&amp;" "&amp;表1_8[[#This Row],[MASTER B/L]]&amp;" 报关单"</f>
        <v>ETD0324 YJCSHAN1904332 DJSCSHB2EE91344M 报关单</v>
      </c>
      <c r="AK31" s="23" t="str">
        <f>"ETD"&amp;TEXT(表1_8[[#This Row],[ETD]],"mmdd")&amp;" "&amp;表1_8[[#This Row],[HOUSE B/L]]&amp;" "&amp;表1_8[[#This Row],[MASTER B/L]]&amp;" 放行单"</f>
        <v>ETD0324 YJCSHAN1904332 DJSCSHB2EE91344M 放行单</v>
      </c>
      <c r="AL31" s="23" t="str">
        <f>"ETD"&amp;TEXT(表1_8[[#This Row],[ETD]],"mmdd")&amp;" "&amp;表1_8[[#This Row],[HOUSE B/L]]&amp;" "&amp;表1_8[[#This Row],[MASTER B/L]]&amp;" SURRENDERED BL"</f>
        <v>ETD0324 YJCSHAN1904332 DJSCSHB2EE91344M SURRENDERED BL</v>
      </c>
    </row>
    <row r="32" spans="2:38" hidden="1" x14ac:dyDescent="0.2">
      <c r="B32" s="22">
        <v>43548</v>
      </c>
      <c r="C32" s="23">
        <v>11</v>
      </c>
      <c r="D32" s="23" t="s">
        <v>272</v>
      </c>
      <c r="E32" s="23">
        <v>4165</v>
      </c>
      <c r="F32" s="24"/>
      <c r="G32" s="24" t="s">
        <v>295</v>
      </c>
      <c r="H32" s="24" t="s">
        <v>296</v>
      </c>
      <c r="I32" s="23">
        <v>12</v>
      </c>
      <c r="J32" s="23">
        <v>159.22</v>
      </c>
      <c r="K32" s="23">
        <v>1.5</v>
      </c>
      <c r="L32" s="51">
        <v>12</v>
      </c>
      <c r="M32" s="51">
        <v>159.22</v>
      </c>
      <c r="N32" s="51">
        <v>1.5</v>
      </c>
      <c r="O32" s="31" t="s">
        <v>358</v>
      </c>
      <c r="P32" s="24"/>
      <c r="Q32" s="23" t="s">
        <v>353</v>
      </c>
      <c r="R32" s="25" t="s">
        <v>354</v>
      </c>
      <c r="T32" s="23">
        <f>表1_8[[#This Row],[客户编号]]</f>
        <v>0</v>
      </c>
      <c r="U32" s="23" t="str">
        <f>表1_8[[#This Row],[MASTER B/L]]</f>
        <v>DJSCSHB2EE91344N</v>
      </c>
      <c r="V32" s="23">
        <f>表1_8[[#This Row],[件]]</f>
        <v>12</v>
      </c>
      <c r="W32" s="23">
        <f>表1_8[[#This Row],[毛]]</f>
        <v>159.22</v>
      </c>
      <c r="X32" s="23">
        <f>表1_8[[#This Row],[体]]</f>
        <v>1.5</v>
      </c>
      <c r="Y32" s="31" t="str">
        <f>表1_8[[#This Row],[品名]]</f>
        <v>GARMENTS</v>
      </c>
      <c r="Z32" s="31" t="str">
        <f>RIGHT(表1_8[[#This Row],[编]],4)</f>
        <v/>
      </c>
      <c r="AA32" s="23" t="str">
        <f>表1_8[[#This Row],[箱号]]</f>
        <v>SEGU4825077</v>
      </c>
      <c r="AB32" s="25" t="str">
        <f>表1_8[[#This Row],[封号]]</f>
        <v>720195</v>
      </c>
      <c r="AC32" s="23">
        <f>表2[[#This Row],[件]]</f>
        <v>12</v>
      </c>
      <c r="AD32" s="23">
        <f>表2[[#This Row],[毛]]</f>
        <v>159.22</v>
      </c>
      <c r="AE32" s="23">
        <f>表2[[#This Row],[体]]</f>
        <v>1.5</v>
      </c>
      <c r="AG32" s="23" t="str">
        <f>表1_8[[#This Row],[HOUSE B/L]]</f>
        <v>YJCSHAN1904370</v>
      </c>
      <c r="AH32" s="23" t="str">
        <f>表1_8[[#This Row],[MASTER B/L]]</f>
        <v>DJSCSHB2EE91344N</v>
      </c>
      <c r="AI32" s="23" t="str">
        <f>"ETD"&amp;TEXT(表1_8[[#This Row],[ETD]],"mmdd")&amp;" "&amp;表1_8[[#This Row],[HOUSE B/L]]&amp;" "&amp;表1_8[[#This Row],[MASTER B/L]]&amp;" CHECK BL"</f>
        <v>ETD0324 YJCSHAN1904370 DJSCSHB2EE91344N CHECK BL</v>
      </c>
      <c r="AJ32" s="23" t="str">
        <f>"ETD"&amp;TEXT(表1_8[[#This Row],[ETD]],"mmdd")&amp;" "&amp;表1_8[[#This Row],[HOUSE B/L]]&amp;" "&amp;表1_8[[#This Row],[MASTER B/L]]&amp;" 报关单"</f>
        <v>ETD0324 YJCSHAN1904370 DJSCSHB2EE91344N 报关单</v>
      </c>
      <c r="AK32" s="23" t="str">
        <f>"ETD"&amp;TEXT(表1_8[[#This Row],[ETD]],"mmdd")&amp;" "&amp;表1_8[[#This Row],[HOUSE B/L]]&amp;" "&amp;表1_8[[#This Row],[MASTER B/L]]&amp;" 放行单"</f>
        <v>ETD0324 YJCSHAN1904370 DJSCSHB2EE91344N 放行单</v>
      </c>
      <c r="AL32" s="23" t="str">
        <f>"ETD"&amp;TEXT(表1_8[[#This Row],[ETD]],"mmdd")&amp;" "&amp;表1_8[[#This Row],[HOUSE B/L]]&amp;" "&amp;表1_8[[#This Row],[MASTER B/L]]&amp;" SURRENDERED BL"</f>
        <v>ETD0324 YJCSHAN1904370 DJSCSHB2EE91344N SURRENDERED BL</v>
      </c>
    </row>
    <row r="33" spans="2:38" hidden="1" x14ac:dyDescent="0.2">
      <c r="B33" s="22">
        <v>43548</v>
      </c>
      <c r="C33" s="23">
        <v>12</v>
      </c>
      <c r="D33" s="23" t="s">
        <v>297</v>
      </c>
      <c r="E33" s="23"/>
      <c r="F33" s="24"/>
      <c r="G33" s="24" t="s">
        <v>298</v>
      </c>
      <c r="H33" s="24" t="s">
        <v>299</v>
      </c>
      <c r="I33" s="23">
        <v>8</v>
      </c>
      <c r="J33" s="23">
        <v>988</v>
      </c>
      <c r="K33" s="23">
        <v>7.87</v>
      </c>
      <c r="L33" s="51">
        <v>8</v>
      </c>
      <c r="M33" s="51">
        <v>988</v>
      </c>
      <c r="N33" s="51">
        <v>7.87</v>
      </c>
      <c r="O33" s="31" t="s">
        <v>347</v>
      </c>
      <c r="P33" s="24"/>
      <c r="Q33" s="23" t="s">
        <v>348</v>
      </c>
      <c r="R33" s="25" t="s">
        <v>349</v>
      </c>
      <c r="T33" s="23">
        <f>表1_8[[#This Row],[客户编号]]</f>
        <v>0</v>
      </c>
      <c r="U33" s="23" t="str">
        <f>表1_8[[#This Row],[MASTER B/L]]</f>
        <v>DJSCSHB2EE91344P</v>
      </c>
      <c r="V33" s="23">
        <f>表1_8[[#This Row],[件]]</f>
        <v>8</v>
      </c>
      <c r="W33" s="23">
        <f>表1_8[[#This Row],[毛]]</f>
        <v>988</v>
      </c>
      <c r="X33" s="23">
        <f>表1_8[[#This Row],[体]]</f>
        <v>7.87</v>
      </c>
      <c r="Y33" s="31" t="str">
        <f>表1_8[[#This Row],[品名]]</f>
        <v>PMA SENSOR</v>
      </c>
      <c r="Z33" s="31" t="str">
        <f>RIGHT(表1_8[[#This Row],[编]],4)</f>
        <v/>
      </c>
      <c r="AA33" s="23" t="str">
        <f>表1_8[[#This Row],[箱号]]</f>
        <v>PHRU8609853</v>
      </c>
      <c r="AB33" s="25" t="str">
        <f>表1_8[[#This Row],[封号]]</f>
        <v>DJSC720237</v>
      </c>
      <c r="AC33" s="23">
        <f>表2[[#This Row],[件]]</f>
        <v>8</v>
      </c>
      <c r="AD33" s="23">
        <f>表2[[#This Row],[毛]]</f>
        <v>988</v>
      </c>
      <c r="AE33" s="23">
        <f>表2[[#This Row],[体]]</f>
        <v>7.87</v>
      </c>
      <c r="AG33" s="23" t="str">
        <f>表1_8[[#This Row],[HOUSE B/L]]</f>
        <v>YJCSHAN1904397</v>
      </c>
      <c r="AH33" s="23" t="str">
        <f>表1_8[[#This Row],[MASTER B/L]]</f>
        <v>DJSCSHB2EE91344P</v>
      </c>
      <c r="AI33" s="23" t="str">
        <f>"ETD"&amp;TEXT(表1_8[[#This Row],[ETD]],"mmdd")&amp;" "&amp;表1_8[[#This Row],[HOUSE B/L]]&amp;" "&amp;表1_8[[#This Row],[MASTER B/L]]&amp;" CHECK BL"</f>
        <v>ETD0324 YJCSHAN1904397 DJSCSHB2EE91344P CHECK BL</v>
      </c>
      <c r="AJ33" s="23" t="str">
        <f>"ETD"&amp;TEXT(表1_8[[#This Row],[ETD]],"mmdd")&amp;" "&amp;表1_8[[#This Row],[HOUSE B/L]]&amp;" "&amp;表1_8[[#This Row],[MASTER B/L]]&amp;" 报关单"</f>
        <v>ETD0324 YJCSHAN1904397 DJSCSHB2EE91344P 报关单</v>
      </c>
      <c r="AK33" s="23" t="str">
        <f>"ETD"&amp;TEXT(表1_8[[#This Row],[ETD]],"mmdd")&amp;" "&amp;表1_8[[#This Row],[HOUSE B/L]]&amp;" "&amp;表1_8[[#This Row],[MASTER B/L]]&amp;" 放行单"</f>
        <v>ETD0324 YJCSHAN1904397 DJSCSHB2EE91344P 放行单</v>
      </c>
      <c r="AL33" s="23" t="str">
        <f>"ETD"&amp;TEXT(表1_8[[#This Row],[ETD]],"mmdd")&amp;" "&amp;表1_8[[#This Row],[HOUSE B/L]]&amp;" "&amp;表1_8[[#This Row],[MASTER B/L]]&amp;" SURRENDERED BL"</f>
        <v>ETD0324 YJCSHAN1904397 DJSCSHB2EE91344P SURRENDERED BL</v>
      </c>
    </row>
    <row r="34" spans="2:38" hidden="1" x14ac:dyDescent="0.2">
      <c r="B34" s="22">
        <v>43548</v>
      </c>
      <c r="C34" s="23">
        <v>13</v>
      </c>
      <c r="D34" s="23" t="s">
        <v>300</v>
      </c>
      <c r="E34" s="23"/>
      <c r="F34" s="24"/>
      <c r="G34" s="24" t="s">
        <v>301</v>
      </c>
      <c r="H34" s="24" t="s">
        <v>302</v>
      </c>
      <c r="I34" s="23">
        <v>2</v>
      </c>
      <c r="J34" s="23">
        <v>118</v>
      </c>
      <c r="K34" s="23">
        <v>0.96</v>
      </c>
      <c r="L34" s="51">
        <v>2</v>
      </c>
      <c r="M34" s="51">
        <v>118</v>
      </c>
      <c r="N34" s="51">
        <v>0.96</v>
      </c>
      <c r="O34" s="31" t="s">
        <v>303</v>
      </c>
      <c r="P34" s="24"/>
      <c r="Q34" s="23" t="s">
        <v>353</v>
      </c>
      <c r="R34" s="25" t="s">
        <v>354</v>
      </c>
      <c r="T34" s="23">
        <f>表1_8[[#This Row],[客户编号]]</f>
        <v>0</v>
      </c>
      <c r="U34" s="23" t="str">
        <f>表1_8[[#This Row],[MASTER B/L]]</f>
        <v>DJSCSHB2EE91344Q</v>
      </c>
      <c r="V34" s="23">
        <f>表1_8[[#This Row],[件]]</f>
        <v>2</v>
      </c>
      <c r="W34" s="23">
        <f>表1_8[[#This Row],[毛]]</f>
        <v>118</v>
      </c>
      <c r="X34" s="23">
        <f>表1_8[[#This Row],[体]]</f>
        <v>0.96</v>
      </c>
      <c r="Y34" s="31" t="str">
        <f>表1_8[[#This Row],[品名]]</f>
        <v>REFRIGERATOR</v>
      </c>
      <c r="Z34" s="31" t="str">
        <f>RIGHT(表1_8[[#This Row],[编]],4)</f>
        <v/>
      </c>
      <c r="AA34" s="23" t="str">
        <f>表1_8[[#This Row],[箱号]]</f>
        <v>SEGU4825077</v>
      </c>
      <c r="AB34" s="25" t="str">
        <f>表1_8[[#This Row],[封号]]</f>
        <v>720195</v>
      </c>
      <c r="AC34" s="23">
        <f>表2[[#This Row],[件]]</f>
        <v>2</v>
      </c>
      <c r="AD34" s="23">
        <f>表2[[#This Row],[毛]]</f>
        <v>118</v>
      </c>
      <c r="AE34" s="23">
        <f>表2[[#This Row],[体]]</f>
        <v>0.96</v>
      </c>
      <c r="AG34" s="23" t="str">
        <f>表1_8[[#This Row],[HOUSE B/L]]</f>
        <v>YJCSHAN1904412</v>
      </c>
      <c r="AH34" s="23" t="str">
        <f>表1_8[[#This Row],[MASTER B/L]]</f>
        <v>DJSCSHB2EE91344Q</v>
      </c>
      <c r="AI34" s="23" t="str">
        <f>"ETD"&amp;TEXT(表1_8[[#This Row],[ETD]],"mmdd")&amp;" "&amp;表1_8[[#This Row],[HOUSE B/L]]&amp;" "&amp;表1_8[[#This Row],[MASTER B/L]]&amp;" CHECK BL"</f>
        <v>ETD0324 YJCSHAN1904412 DJSCSHB2EE91344Q CHECK BL</v>
      </c>
      <c r="AJ34" s="23" t="str">
        <f>"ETD"&amp;TEXT(表1_8[[#This Row],[ETD]],"mmdd")&amp;" "&amp;表1_8[[#This Row],[HOUSE B/L]]&amp;" "&amp;表1_8[[#This Row],[MASTER B/L]]&amp;" 报关单"</f>
        <v>ETD0324 YJCSHAN1904412 DJSCSHB2EE91344Q 报关单</v>
      </c>
      <c r="AK34" s="23" t="str">
        <f>"ETD"&amp;TEXT(表1_8[[#This Row],[ETD]],"mmdd")&amp;" "&amp;表1_8[[#This Row],[HOUSE B/L]]&amp;" "&amp;表1_8[[#This Row],[MASTER B/L]]&amp;" 放行单"</f>
        <v>ETD0324 YJCSHAN1904412 DJSCSHB2EE91344Q 放行单</v>
      </c>
      <c r="AL34" s="23" t="str">
        <f>"ETD"&amp;TEXT(表1_8[[#This Row],[ETD]],"mmdd")&amp;" "&amp;表1_8[[#This Row],[HOUSE B/L]]&amp;" "&amp;表1_8[[#This Row],[MASTER B/L]]&amp;" SURRENDERED BL"</f>
        <v>ETD0324 YJCSHAN1904412 DJSCSHB2EE91344Q SURRENDERED BL</v>
      </c>
    </row>
    <row r="35" spans="2:38" hidden="1" x14ac:dyDescent="0.2">
      <c r="B35" s="22">
        <v>43548</v>
      </c>
      <c r="C35" s="23">
        <v>14</v>
      </c>
      <c r="D35" s="23" t="s">
        <v>300</v>
      </c>
      <c r="E35" s="23"/>
      <c r="F35" s="24"/>
      <c r="G35" s="24" t="s">
        <v>301</v>
      </c>
      <c r="H35" s="24" t="s">
        <v>304</v>
      </c>
      <c r="I35" s="23">
        <v>1</v>
      </c>
      <c r="J35" s="23">
        <v>59</v>
      </c>
      <c r="K35" s="23">
        <v>0.48</v>
      </c>
      <c r="L35" s="51">
        <v>1</v>
      </c>
      <c r="M35" s="51">
        <v>59</v>
      </c>
      <c r="N35" s="51">
        <v>0.48</v>
      </c>
      <c r="O35" s="31" t="s">
        <v>303</v>
      </c>
      <c r="P35" s="24"/>
      <c r="Q35" s="23" t="s">
        <v>353</v>
      </c>
      <c r="R35" s="25" t="s">
        <v>354</v>
      </c>
      <c r="T35" s="23">
        <f>表1_8[[#This Row],[客户编号]]</f>
        <v>0</v>
      </c>
      <c r="U35" s="23" t="str">
        <f>表1_8[[#This Row],[MASTER B/L]]</f>
        <v>DJSCSHB2EE91344R</v>
      </c>
      <c r="V35" s="23">
        <f>表1_8[[#This Row],[件]]</f>
        <v>1</v>
      </c>
      <c r="W35" s="23">
        <f>表1_8[[#This Row],[毛]]</f>
        <v>59</v>
      </c>
      <c r="X35" s="23">
        <f>表1_8[[#This Row],[体]]</f>
        <v>0.48</v>
      </c>
      <c r="Y35" s="31" t="str">
        <f>表1_8[[#This Row],[品名]]</f>
        <v>REFRIGERATOR</v>
      </c>
      <c r="Z35" s="31" t="str">
        <f>RIGHT(表1_8[[#This Row],[编]],4)</f>
        <v/>
      </c>
      <c r="AA35" s="23" t="str">
        <f>表1_8[[#This Row],[箱号]]</f>
        <v>SEGU4825077</v>
      </c>
      <c r="AB35" s="25" t="str">
        <f>表1_8[[#This Row],[封号]]</f>
        <v>720195</v>
      </c>
      <c r="AC35" s="23">
        <f>表2[[#This Row],[件]]</f>
        <v>1</v>
      </c>
      <c r="AD35" s="23">
        <f>表2[[#This Row],[毛]]</f>
        <v>59</v>
      </c>
      <c r="AE35" s="23">
        <f>表2[[#This Row],[体]]</f>
        <v>0.48</v>
      </c>
      <c r="AG35" s="23" t="str">
        <f>表1_8[[#This Row],[HOUSE B/L]]</f>
        <v>YJCSHAN1904412</v>
      </c>
      <c r="AH35" s="23" t="str">
        <f>表1_8[[#This Row],[MASTER B/L]]</f>
        <v>DJSCSHB2EE91344R</v>
      </c>
      <c r="AI35" s="23" t="str">
        <f>"ETD"&amp;TEXT(表1_8[[#This Row],[ETD]],"mmdd")&amp;" "&amp;表1_8[[#This Row],[HOUSE B/L]]&amp;" "&amp;表1_8[[#This Row],[MASTER B/L]]&amp;" CHECK BL"</f>
        <v>ETD0324 YJCSHAN1904412 DJSCSHB2EE91344R CHECK BL</v>
      </c>
      <c r="AJ35" s="23" t="str">
        <f>"ETD"&amp;TEXT(表1_8[[#This Row],[ETD]],"mmdd")&amp;" "&amp;表1_8[[#This Row],[HOUSE B/L]]&amp;" "&amp;表1_8[[#This Row],[MASTER B/L]]&amp;" 报关单"</f>
        <v>ETD0324 YJCSHAN1904412 DJSCSHB2EE91344R 报关单</v>
      </c>
      <c r="AK35" s="23" t="str">
        <f>"ETD"&amp;TEXT(表1_8[[#This Row],[ETD]],"mmdd")&amp;" "&amp;表1_8[[#This Row],[HOUSE B/L]]&amp;" "&amp;表1_8[[#This Row],[MASTER B/L]]&amp;" 放行单"</f>
        <v>ETD0324 YJCSHAN1904412 DJSCSHB2EE91344R 放行单</v>
      </c>
      <c r="AL35" s="23" t="str">
        <f>"ETD"&amp;TEXT(表1_8[[#This Row],[ETD]],"mmdd")&amp;" "&amp;表1_8[[#This Row],[HOUSE B/L]]&amp;" "&amp;表1_8[[#This Row],[MASTER B/L]]&amp;" SURRENDERED BL"</f>
        <v>ETD0324 YJCSHAN1904412 DJSCSHB2EE91344R SURRENDERED BL</v>
      </c>
    </row>
    <row r="36" spans="2:38" hidden="1" x14ac:dyDescent="0.2">
      <c r="B36" s="22">
        <v>43548</v>
      </c>
      <c r="C36" s="23">
        <v>15</v>
      </c>
      <c r="D36" s="23" t="s">
        <v>305</v>
      </c>
      <c r="E36" s="23"/>
      <c r="F36" s="24"/>
      <c r="G36" s="24" t="s">
        <v>306</v>
      </c>
      <c r="H36" s="24" t="s">
        <v>307</v>
      </c>
      <c r="I36" s="23">
        <v>30</v>
      </c>
      <c r="J36" s="23">
        <v>360</v>
      </c>
      <c r="K36" s="23">
        <v>1.95</v>
      </c>
      <c r="L36" s="51">
        <v>30</v>
      </c>
      <c r="M36" s="51">
        <v>360</v>
      </c>
      <c r="N36" s="51">
        <v>1.95</v>
      </c>
      <c r="O36" s="31" t="s">
        <v>308</v>
      </c>
      <c r="P36" s="24"/>
      <c r="Q36" s="23" t="s">
        <v>353</v>
      </c>
      <c r="R36" s="25" t="s">
        <v>354</v>
      </c>
      <c r="T36" s="23">
        <f>表1_8[[#This Row],[客户编号]]</f>
        <v>0</v>
      </c>
      <c r="U36" s="23" t="str">
        <f>表1_8[[#This Row],[MASTER B/L]]</f>
        <v>DJSCSHB2EE91344S</v>
      </c>
      <c r="V36" s="23">
        <f>表1_8[[#This Row],[件]]</f>
        <v>30</v>
      </c>
      <c r="W36" s="23">
        <f>表1_8[[#This Row],[毛]]</f>
        <v>360</v>
      </c>
      <c r="X36" s="23">
        <f>表1_8[[#This Row],[体]]</f>
        <v>1.95</v>
      </c>
      <c r="Y36" s="31" t="str">
        <f>表1_8[[#This Row],[品名]]</f>
        <v>1.56 SP UV400 SEMI NC</v>
      </c>
      <c r="Z36" s="31" t="str">
        <f>RIGHT(表1_8[[#This Row],[编]],4)</f>
        <v/>
      </c>
      <c r="AA36" s="23" t="str">
        <f>表1_8[[#This Row],[箱号]]</f>
        <v>SEGU4825077</v>
      </c>
      <c r="AB36" s="25" t="str">
        <f>表1_8[[#This Row],[封号]]</f>
        <v>720195</v>
      </c>
      <c r="AC36" s="23">
        <f>表2[[#This Row],[件]]</f>
        <v>30</v>
      </c>
      <c r="AD36" s="23">
        <f>表2[[#This Row],[毛]]</f>
        <v>360</v>
      </c>
      <c r="AE36" s="23">
        <f>表2[[#This Row],[体]]</f>
        <v>1.95</v>
      </c>
      <c r="AG36" s="23" t="str">
        <f>表1_8[[#This Row],[HOUSE B/L]]</f>
        <v>YJCSHAN1904445</v>
      </c>
      <c r="AH36" s="23" t="str">
        <f>表1_8[[#This Row],[MASTER B/L]]</f>
        <v>DJSCSHB2EE91344S</v>
      </c>
      <c r="AI36" s="23" t="str">
        <f>"ETD"&amp;TEXT(表1_8[[#This Row],[ETD]],"mmdd")&amp;" "&amp;表1_8[[#This Row],[HOUSE B/L]]&amp;" "&amp;表1_8[[#This Row],[MASTER B/L]]&amp;" CHECK BL"</f>
        <v>ETD0324 YJCSHAN1904445 DJSCSHB2EE91344S CHECK BL</v>
      </c>
      <c r="AJ36" s="23" t="str">
        <f>"ETD"&amp;TEXT(表1_8[[#This Row],[ETD]],"mmdd")&amp;" "&amp;表1_8[[#This Row],[HOUSE B/L]]&amp;" "&amp;表1_8[[#This Row],[MASTER B/L]]&amp;" 报关单"</f>
        <v>ETD0324 YJCSHAN1904445 DJSCSHB2EE91344S 报关单</v>
      </c>
      <c r="AK36" s="23" t="str">
        <f>"ETD"&amp;TEXT(表1_8[[#This Row],[ETD]],"mmdd")&amp;" "&amp;表1_8[[#This Row],[HOUSE B/L]]&amp;" "&amp;表1_8[[#This Row],[MASTER B/L]]&amp;" 放行单"</f>
        <v>ETD0324 YJCSHAN1904445 DJSCSHB2EE91344S 放行单</v>
      </c>
      <c r="AL36" s="23" t="str">
        <f>"ETD"&amp;TEXT(表1_8[[#This Row],[ETD]],"mmdd")&amp;" "&amp;表1_8[[#This Row],[HOUSE B/L]]&amp;" "&amp;表1_8[[#This Row],[MASTER B/L]]&amp;" SURRENDERED BL"</f>
        <v>ETD0324 YJCSHAN1904445 DJSCSHB2EE91344S SURRENDERED BL</v>
      </c>
    </row>
    <row r="37" spans="2:38" hidden="1" x14ac:dyDescent="0.2">
      <c r="B37" s="22">
        <v>43548</v>
      </c>
      <c r="C37" s="23">
        <v>16</v>
      </c>
      <c r="D37" s="23" t="s">
        <v>309</v>
      </c>
      <c r="E37" s="23">
        <v>4447</v>
      </c>
      <c r="F37" s="24"/>
      <c r="G37" s="24" t="s">
        <v>375</v>
      </c>
      <c r="H37" s="24" t="s">
        <v>310</v>
      </c>
      <c r="I37" s="23">
        <v>4</v>
      </c>
      <c r="J37" s="23">
        <v>1317.44</v>
      </c>
      <c r="K37" s="23">
        <v>8.86</v>
      </c>
      <c r="L37" s="51">
        <v>4</v>
      </c>
      <c r="M37" s="51">
        <v>1317.44</v>
      </c>
      <c r="N37" s="51">
        <v>8.86</v>
      </c>
      <c r="O37" s="31" t="s">
        <v>311</v>
      </c>
      <c r="P37" s="24"/>
      <c r="Q37" s="23" t="s">
        <v>348</v>
      </c>
      <c r="R37" s="25" t="s">
        <v>349</v>
      </c>
      <c r="T37" s="23">
        <f>表1_8[[#This Row],[客户编号]]</f>
        <v>0</v>
      </c>
      <c r="U37" s="23" t="str">
        <f>表1_8[[#This Row],[MASTER B/L]]</f>
        <v>DJSCSHB2EE91344T</v>
      </c>
      <c r="V37" s="23">
        <f>表1_8[[#This Row],[件]]</f>
        <v>4</v>
      </c>
      <c r="W37" s="23">
        <f>表1_8[[#This Row],[毛]]</f>
        <v>1317.44</v>
      </c>
      <c r="X37" s="23">
        <f>表1_8[[#This Row],[体]]</f>
        <v>8.86</v>
      </c>
      <c r="Y37" s="31" t="str">
        <f>表1_8[[#This Row],[品名]]</f>
        <v>CAP ASSY FUEL FILLER</v>
      </c>
      <c r="Z37" s="31" t="str">
        <f>RIGHT(表1_8[[#This Row],[编]],4)</f>
        <v/>
      </c>
      <c r="AA37" s="23" t="str">
        <f>表1_8[[#This Row],[箱号]]</f>
        <v>PHRU8609853</v>
      </c>
      <c r="AB37" s="25" t="str">
        <f>表1_8[[#This Row],[封号]]</f>
        <v>DJSC720237</v>
      </c>
      <c r="AC37" s="23">
        <f>表2[[#This Row],[件]]</f>
        <v>4</v>
      </c>
      <c r="AD37" s="23">
        <f>表2[[#This Row],[毛]]</f>
        <v>1317.44</v>
      </c>
      <c r="AE37" s="23">
        <f>表2[[#This Row],[体]]</f>
        <v>8.86</v>
      </c>
      <c r="AG37" s="23" t="str">
        <f>表1_8[[#This Row],[HOUSE B/L]]</f>
        <v>YJCSHAN1904447</v>
      </c>
      <c r="AH37" s="23" t="str">
        <f>表1_8[[#This Row],[MASTER B/L]]</f>
        <v>DJSCSHB2EE91344T</v>
      </c>
      <c r="AI37" s="23" t="str">
        <f>"ETD"&amp;TEXT(表1_8[[#This Row],[ETD]],"mmdd")&amp;" "&amp;表1_8[[#This Row],[HOUSE B/L]]&amp;" "&amp;表1_8[[#This Row],[MASTER B/L]]&amp;" CHECK BL"</f>
        <v>ETD0324 YJCSHAN1904447 DJSCSHB2EE91344T CHECK BL</v>
      </c>
      <c r="AJ37" s="23" t="str">
        <f>"ETD"&amp;TEXT(表1_8[[#This Row],[ETD]],"mmdd")&amp;" "&amp;表1_8[[#This Row],[HOUSE B/L]]&amp;" "&amp;表1_8[[#This Row],[MASTER B/L]]&amp;" 报关单"</f>
        <v>ETD0324 YJCSHAN1904447 DJSCSHB2EE91344T 报关单</v>
      </c>
      <c r="AK37" s="23" t="str">
        <f>"ETD"&amp;TEXT(表1_8[[#This Row],[ETD]],"mmdd")&amp;" "&amp;表1_8[[#This Row],[HOUSE B/L]]&amp;" "&amp;表1_8[[#This Row],[MASTER B/L]]&amp;" 放行单"</f>
        <v>ETD0324 YJCSHAN1904447 DJSCSHB2EE91344T 放行单</v>
      </c>
      <c r="AL37" s="23" t="str">
        <f>"ETD"&amp;TEXT(表1_8[[#This Row],[ETD]],"mmdd")&amp;" "&amp;表1_8[[#This Row],[HOUSE B/L]]&amp;" "&amp;表1_8[[#This Row],[MASTER B/L]]&amp;" SURRENDERED BL"</f>
        <v>ETD0324 YJCSHAN1904447 DJSCSHB2EE91344T SURRENDERED BL</v>
      </c>
    </row>
    <row r="38" spans="2:38" hidden="1" x14ac:dyDescent="0.2">
      <c r="B38" s="22">
        <v>43548</v>
      </c>
      <c r="C38" s="23">
        <v>17</v>
      </c>
      <c r="D38" s="23" t="s">
        <v>312</v>
      </c>
      <c r="E38" s="23"/>
      <c r="F38" s="24"/>
      <c r="G38" s="24" t="s">
        <v>313</v>
      </c>
      <c r="H38" s="24" t="s">
        <v>314</v>
      </c>
      <c r="I38" s="23">
        <v>1</v>
      </c>
      <c r="J38" s="23">
        <v>320</v>
      </c>
      <c r="K38" s="23">
        <v>1.5</v>
      </c>
      <c r="L38" s="51">
        <v>1</v>
      </c>
      <c r="M38" s="51">
        <v>320</v>
      </c>
      <c r="N38" s="51">
        <v>1.5</v>
      </c>
      <c r="O38" s="31" t="s">
        <v>315</v>
      </c>
      <c r="P38" s="24"/>
      <c r="Q38" s="23" t="s">
        <v>348</v>
      </c>
      <c r="R38" s="25" t="s">
        <v>349</v>
      </c>
      <c r="T38" s="23">
        <f>表1_8[[#This Row],[客户编号]]</f>
        <v>0</v>
      </c>
      <c r="U38" s="23" t="str">
        <f>表1_8[[#This Row],[MASTER B/L]]</f>
        <v>DJSCSHB2EE91344U</v>
      </c>
      <c r="V38" s="23">
        <f>表1_8[[#This Row],[件]]</f>
        <v>1</v>
      </c>
      <c r="W38" s="23">
        <f>表1_8[[#This Row],[毛]]</f>
        <v>320</v>
      </c>
      <c r="X38" s="23">
        <f>表1_8[[#This Row],[体]]</f>
        <v>1.5</v>
      </c>
      <c r="Y38" s="31" t="str">
        <f>表1_8[[#This Row],[品名]]</f>
        <v>ASSY MUFFLER SUCTION</v>
      </c>
      <c r="Z38" s="31" t="str">
        <f>RIGHT(表1_8[[#This Row],[编]],4)</f>
        <v/>
      </c>
      <c r="AA38" s="23" t="str">
        <f>表1_8[[#This Row],[箱号]]</f>
        <v>PHRU8609853</v>
      </c>
      <c r="AB38" s="25" t="str">
        <f>表1_8[[#This Row],[封号]]</f>
        <v>DJSC720237</v>
      </c>
      <c r="AC38" s="23">
        <f>表2[[#This Row],[件]]</f>
        <v>1</v>
      </c>
      <c r="AD38" s="23">
        <f>表2[[#This Row],[毛]]</f>
        <v>320</v>
      </c>
      <c r="AE38" s="23">
        <f>表2[[#This Row],[体]]</f>
        <v>1.5</v>
      </c>
      <c r="AG38" s="23" t="str">
        <f>表1_8[[#This Row],[HOUSE B/L]]</f>
        <v>YJCSHAN1904455</v>
      </c>
      <c r="AH38" s="23" t="str">
        <f>表1_8[[#This Row],[MASTER B/L]]</f>
        <v>DJSCSHB2EE91344U</v>
      </c>
      <c r="AI38" s="23" t="str">
        <f>"ETD"&amp;TEXT(表1_8[[#This Row],[ETD]],"mmdd")&amp;" "&amp;表1_8[[#This Row],[HOUSE B/L]]&amp;" "&amp;表1_8[[#This Row],[MASTER B/L]]&amp;" CHECK BL"</f>
        <v>ETD0324 YJCSHAN1904455 DJSCSHB2EE91344U CHECK BL</v>
      </c>
      <c r="AJ38" s="23" t="str">
        <f>"ETD"&amp;TEXT(表1_8[[#This Row],[ETD]],"mmdd")&amp;" "&amp;表1_8[[#This Row],[HOUSE B/L]]&amp;" "&amp;表1_8[[#This Row],[MASTER B/L]]&amp;" 报关单"</f>
        <v>ETD0324 YJCSHAN1904455 DJSCSHB2EE91344U 报关单</v>
      </c>
      <c r="AK38" s="23" t="str">
        <f>"ETD"&amp;TEXT(表1_8[[#This Row],[ETD]],"mmdd")&amp;" "&amp;表1_8[[#This Row],[HOUSE B/L]]&amp;" "&amp;表1_8[[#This Row],[MASTER B/L]]&amp;" 放行单"</f>
        <v>ETD0324 YJCSHAN1904455 DJSCSHB2EE91344U 放行单</v>
      </c>
      <c r="AL38" s="23" t="str">
        <f>"ETD"&amp;TEXT(表1_8[[#This Row],[ETD]],"mmdd")&amp;" "&amp;表1_8[[#This Row],[HOUSE B/L]]&amp;" "&amp;表1_8[[#This Row],[MASTER B/L]]&amp;" SURRENDERED BL"</f>
        <v>ETD0324 YJCSHAN1904455 DJSCSHB2EE91344U SURRENDERED BL</v>
      </c>
    </row>
    <row r="39" spans="2:38" hidden="1" x14ac:dyDescent="0.2">
      <c r="B39" s="22">
        <v>43548</v>
      </c>
      <c r="C39" s="23">
        <v>18</v>
      </c>
      <c r="D39" s="23" t="s">
        <v>312</v>
      </c>
      <c r="E39" s="23"/>
      <c r="F39" s="24"/>
      <c r="G39" s="24" t="s">
        <v>316</v>
      </c>
      <c r="H39" s="24" t="s">
        <v>317</v>
      </c>
      <c r="I39" s="23">
        <v>1</v>
      </c>
      <c r="J39" s="23">
        <v>15</v>
      </c>
      <c r="K39" s="23">
        <v>0.1</v>
      </c>
      <c r="L39" s="51">
        <v>1</v>
      </c>
      <c r="M39" s="51">
        <v>15</v>
      </c>
      <c r="N39" s="51">
        <v>0.1</v>
      </c>
      <c r="O39" s="31" t="s">
        <v>318</v>
      </c>
      <c r="P39" s="24"/>
      <c r="Q39" s="23" t="s">
        <v>353</v>
      </c>
      <c r="R39" s="25" t="s">
        <v>354</v>
      </c>
      <c r="T39" s="23">
        <f>表1_8[[#This Row],[客户编号]]</f>
        <v>0</v>
      </c>
      <c r="U39" s="23" t="str">
        <f>表1_8[[#This Row],[MASTER B/L]]</f>
        <v>DJSCSHB2EE91344V</v>
      </c>
      <c r="V39" s="23">
        <f>表1_8[[#This Row],[件]]</f>
        <v>1</v>
      </c>
      <c r="W39" s="23">
        <f>表1_8[[#This Row],[毛]]</f>
        <v>15</v>
      </c>
      <c r="X39" s="23">
        <f>表1_8[[#This Row],[体]]</f>
        <v>0.1</v>
      </c>
      <c r="Y39" s="31" t="str">
        <f>表1_8[[#This Row],[品名]]</f>
        <v>SEAL WATER</v>
      </c>
      <c r="Z39" s="31" t="str">
        <f>RIGHT(表1_8[[#This Row],[编]],4)</f>
        <v/>
      </c>
      <c r="AA39" s="23" t="str">
        <f>表1_8[[#This Row],[箱号]]</f>
        <v>SEGU4825077</v>
      </c>
      <c r="AB39" s="25" t="str">
        <f>表1_8[[#This Row],[封号]]</f>
        <v>720195</v>
      </c>
      <c r="AC39" s="23">
        <f>表2[[#This Row],[件]]</f>
        <v>1</v>
      </c>
      <c r="AD39" s="23">
        <f>表2[[#This Row],[毛]]</f>
        <v>15</v>
      </c>
      <c r="AE39" s="23">
        <f>表2[[#This Row],[体]]</f>
        <v>0.1</v>
      </c>
      <c r="AG39" s="23" t="str">
        <f>表1_8[[#This Row],[HOUSE B/L]]</f>
        <v>YJCSHAN1904458</v>
      </c>
      <c r="AH39" s="23" t="str">
        <f>表1_8[[#This Row],[MASTER B/L]]</f>
        <v>DJSCSHB2EE91344V</v>
      </c>
      <c r="AI39" s="23" t="str">
        <f>"ETD"&amp;TEXT(表1_8[[#This Row],[ETD]],"mmdd")&amp;" "&amp;表1_8[[#This Row],[HOUSE B/L]]&amp;" "&amp;表1_8[[#This Row],[MASTER B/L]]&amp;" CHECK BL"</f>
        <v>ETD0324 YJCSHAN1904458 DJSCSHB2EE91344V CHECK BL</v>
      </c>
      <c r="AJ39" s="23" t="str">
        <f>"ETD"&amp;TEXT(表1_8[[#This Row],[ETD]],"mmdd")&amp;" "&amp;表1_8[[#This Row],[HOUSE B/L]]&amp;" "&amp;表1_8[[#This Row],[MASTER B/L]]&amp;" 报关单"</f>
        <v>ETD0324 YJCSHAN1904458 DJSCSHB2EE91344V 报关单</v>
      </c>
      <c r="AK39" s="23" t="str">
        <f>"ETD"&amp;TEXT(表1_8[[#This Row],[ETD]],"mmdd")&amp;" "&amp;表1_8[[#This Row],[HOUSE B/L]]&amp;" "&amp;表1_8[[#This Row],[MASTER B/L]]&amp;" 放行单"</f>
        <v>ETD0324 YJCSHAN1904458 DJSCSHB2EE91344V 放行单</v>
      </c>
      <c r="AL39" s="23" t="str">
        <f>"ETD"&amp;TEXT(表1_8[[#This Row],[ETD]],"mmdd")&amp;" "&amp;表1_8[[#This Row],[HOUSE B/L]]&amp;" "&amp;表1_8[[#This Row],[MASTER B/L]]&amp;" SURRENDERED BL"</f>
        <v>ETD0324 YJCSHAN1904458 DJSCSHB2EE91344V SURRENDERED BL</v>
      </c>
    </row>
    <row r="40" spans="2:38" hidden="1" x14ac:dyDescent="0.2">
      <c r="B40" s="22">
        <v>43548</v>
      </c>
      <c r="C40" s="23">
        <v>19</v>
      </c>
      <c r="D40" s="23" t="s">
        <v>319</v>
      </c>
      <c r="E40" s="23">
        <v>4447</v>
      </c>
      <c r="F40" s="32"/>
      <c r="G40" s="32" t="s">
        <v>320</v>
      </c>
      <c r="H40" s="24" t="s">
        <v>321</v>
      </c>
      <c r="I40" s="23">
        <v>1</v>
      </c>
      <c r="J40" s="23">
        <v>194.4</v>
      </c>
      <c r="K40" s="23">
        <v>0.44</v>
      </c>
      <c r="L40" s="51">
        <v>1</v>
      </c>
      <c r="M40" s="51">
        <v>194.4</v>
      </c>
      <c r="N40" s="51">
        <v>0.44</v>
      </c>
      <c r="O40" s="31" t="s">
        <v>322</v>
      </c>
      <c r="P40" s="24"/>
      <c r="Q40" s="23" t="s">
        <v>348</v>
      </c>
      <c r="R40" s="25" t="s">
        <v>349</v>
      </c>
      <c r="T40" s="23">
        <f>表1_8[[#This Row],[客户编号]]</f>
        <v>0</v>
      </c>
      <c r="U40" s="23" t="str">
        <f>表1_8[[#This Row],[MASTER B/L]]</f>
        <v>DJSCSHB2EE91344W</v>
      </c>
      <c r="V40" s="23">
        <f>表1_8[[#This Row],[件]]</f>
        <v>1</v>
      </c>
      <c r="W40" s="23">
        <f>表1_8[[#This Row],[毛]]</f>
        <v>194.4</v>
      </c>
      <c r="X40" s="23">
        <f>表1_8[[#This Row],[体]]</f>
        <v>0.44</v>
      </c>
      <c r="Y40" s="31" t="str">
        <f>表1_8[[#This Row],[品名]]</f>
        <v>STEEL CLAMP</v>
      </c>
      <c r="Z40" s="31" t="str">
        <f>RIGHT(表1_8[[#This Row],[编]],4)</f>
        <v/>
      </c>
      <c r="AA40" s="23" t="str">
        <f>表1_8[[#This Row],[箱号]]</f>
        <v>PHRU8609853</v>
      </c>
      <c r="AB40" s="25" t="str">
        <f>表1_8[[#This Row],[封号]]</f>
        <v>DJSC720237</v>
      </c>
      <c r="AC40" s="23">
        <f>表2[[#This Row],[件]]</f>
        <v>1</v>
      </c>
      <c r="AD40" s="23">
        <f>表2[[#This Row],[毛]]</f>
        <v>194.4</v>
      </c>
      <c r="AE40" s="23">
        <f>表2[[#This Row],[体]]</f>
        <v>0.44</v>
      </c>
      <c r="AG40" s="23" t="str">
        <f>表1_8[[#This Row],[HOUSE B/L]]</f>
        <v>YJCSHAN1904507</v>
      </c>
      <c r="AH40" s="23" t="str">
        <f>表1_8[[#This Row],[MASTER B/L]]</f>
        <v>DJSCSHB2EE91344W</v>
      </c>
      <c r="AI40" s="23" t="str">
        <f>"ETD"&amp;TEXT(表1_8[[#This Row],[ETD]],"mmdd")&amp;" "&amp;表1_8[[#This Row],[HOUSE B/L]]&amp;" "&amp;表1_8[[#This Row],[MASTER B/L]]&amp;" CHECK BL"</f>
        <v>ETD0324 YJCSHAN1904507 DJSCSHB2EE91344W CHECK BL</v>
      </c>
      <c r="AJ40" s="23" t="str">
        <f>"ETD"&amp;TEXT(表1_8[[#This Row],[ETD]],"mmdd")&amp;" "&amp;表1_8[[#This Row],[HOUSE B/L]]&amp;" "&amp;表1_8[[#This Row],[MASTER B/L]]&amp;" 报关单"</f>
        <v>ETD0324 YJCSHAN1904507 DJSCSHB2EE91344W 报关单</v>
      </c>
      <c r="AK40" s="23" t="str">
        <f>"ETD"&amp;TEXT(表1_8[[#This Row],[ETD]],"mmdd")&amp;" "&amp;表1_8[[#This Row],[HOUSE B/L]]&amp;" "&amp;表1_8[[#This Row],[MASTER B/L]]&amp;" 放行单"</f>
        <v>ETD0324 YJCSHAN1904507 DJSCSHB2EE91344W 放行单</v>
      </c>
      <c r="AL40" s="23" t="str">
        <f>"ETD"&amp;TEXT(表1_8[[#This Row],[ETD]],"mmdd")&amp;" "&amp;表1_8[[#This Row],[HOUSE B/L]]&amp;" "&amp;表1_8[[#This Row],[MASTER B/L]]&amp;" SURRENDERED BL"</f>
        <v>ETD0324 YJCSHAN1904507 DJSCSHB2EE91344W SURRENDERED BL</v>
      </c>
    </row>
    <row r="41" spans="2:38" ht="36" hidden="1" x14ac:dyDescent="0.2">
      <c r="B41" s="22">
        <v>43548</v>
      </c>
      <c r="C41" s="23">
        <v>20</v>
      </c>
      <c r="D41" s="23" t="s">
        <v>323</v>
      </c>
      <c r="E41" s="23"/>
      <c r="F41" s="24"/>
      <c r="G41" s="24" t="s">
        <v>324</v>
      </c>
      <c r="H41" s="24" t="s">
        <v>325</v>
      </c>
      <c r="I41" s="23">
        <v>2</v>
      </c>
      <c r="J41" s="23">
        <v>460</v>
      </c>
      <c r="K41" s="23">
        <v>1.95</v>
      </c>
      <c r="L41" s="51">
        <v>2</v>
      </c>
      <c r="M41" s="51">
        <v>460</v>
      </c>
      <c r="N41" s="51">
        <v>1.95</v>
      </c>
      <c r="O41" s="31" t="s">
        <v>356</v>
      </c>
      <c r="P41" s="24"/>
      <c r="Q41" s="23" t="s">
        <v>348</v>
      </c>
      <c r="R41" s="25" t="s">
        <v>349</v>
      </c>
      <c r="T41" s="23">
        <f>表1_8[[#This Row],[客户编号]]</f>
        <v>0</v>
      </c>
      <c r="U41" s="23" t="str">
        <f>表1_8[[#This Row],[MASTER B/L]]</f>
        <v>DJSCSHB2EE91344X</v>
      </c>
      <c r="V41" s="23">
        <f>表1_8[[#This Row],[件]]</f>
        <v>2</v>
      </c>
      <c r="W41" s="23">
        <f>表1_8[[#This Row],[毛]]</f>
        <v>460</v>
      </c>
      <c r="X41" s="23">
        <f>表1_8[[#This Row],[体]]</f>
        <v>1.95</v>
      </c>
      <c r="Y41" s="31" t="str">
        <f>表1_8[[#This Row],[品名]]</f>
        <v>TAB LEAD
BAF &amp; CAF PP</v>
      </c>
      <c r="Z41" s="31" t="str">
        <f>RIGHT(表1_8[[#This Row],[编]],4)</f>
        <v/>
      </c>
      <c r="AA41" s="23" t="str">
        <f>表1_8[[#This Row],[箱号]]</f>
        <v>PHRU8609853</v>
      </c>
      <c r="AB41" s="25" t="str">
        <f>表1_8[[#This Row],[封号]]</f>
        <v>DJSC720237</v>
      </c>
      <c r="AC41" s="23">
        <f>表2[[#This Row],[件]]</f>
        <v>2</v>
      </c>
      <c r="AD41" s="23">
        <f>表2[[#This Row],[毛]]</f>
        <v>460</v>
      </c>
      <c r="AE41" s="23">
        <f>表2[[#This Row],[体]]</f>
        <v>1.95</v>
      </c>
      <c r="AG41" s="23" t="str">
        <f>表1_8[[#This Row],[HOUSE B/L]]</f>
        <v>YJCSHAN1904520</v>
      </c>
      <c r="AH41" s="23" t="str">
        <f>表1_8[[#This Row],[MASTER B/L]]</f>
        <v>DJSCSHB2EE91344X</v>
      </c>
      <c r="AI41" s="23" t="str">
        <f>"ETD"&amp;TEXT(表1_8[[#This Row],[ETD]],"mmdd")&amp;" "&amp;表1_8[[#This Row],[HOUSE B/L]]&amp;" "&amp;表1_8[[#This Row],[MASTER B/L]]&amp;" CHECK BL"</f>
        <v>ETD0324 YJCSHAN1904520 DJSCSHB2EE91344X CHECK BL</v>
      </c>
      <c r="AJ41" s="23" t="str">
        <f>"ETD"&amp;TEXT(表1_8[[#This Row],[ETD]],"mmdd")&amp;" "&amp;表1_8[[#This Row],[HOUSE B/L]]&amp;" "&amp;表1_8[[#This Row],[MASTER B/L]]&amp;" 报关单"</f>
        <v>ETD0324 YJCSHAN1904520 DJSCSHB2EE91344X 报关单</v>
      </c>
      <c r="AK41" s="23" t="str">
        <f>"ETD"&amp;TEXT(表1_8[[#This Row],[ETD]],"mmdd")&amp;" "&amp;表1_8[[#This Row],[HOUSE B/L]]&amp;" "&amp;表1_8[[#This Row],[MASTER B/L]]&amp;" 放行单"</f>
        <v>ETD0324 YJCSHAN1904520 DJSCSHB2EE91344X 放行单</v>
      </c>
      <c r="AL41" s="23" t="str">
        <f>"ETD"&amp;TEXT(表1_8[[#This Row],[ETD]],"mmdd")&amp;" "&amp;表1_8[[#This Row],[HOUSE B/L]]&amp;" "&amp;表1_8[[#This Row],[MASTER B/L]]&amp;" SURRENDERED BL"</f>
        <v>ETD0324 YJCSHAN1904520 DJSCSHB2EE91344X SURRENDERED BL</v>
      </c>
    </row>
    <row r="42" spans="2:38" hidden="1" x14ac:dyDescent="0.2">
      <c r="B42" s="22">
        <v>43548</v>
      </c>
      <c r="C42" s="23">
        <v>21</v>
      </c>
      <c r="D42" s="23" t="s">
        <v>272</v>
      </c>
      <c r="E42" s="23">
        <v>4165</v>
      </c>
      <c r="F42" s="24"/>
      <c r="G42" s="24" t="s">
        <v>326</v>
      </c>
      <c r="H42" s="24" t="s">
        <v>327</v>
      </c>
      <c r="I42" s="23">
        <v>14</v>
      </c>
      <c r="J42" s="23">
        <v>280</v>
      </c>
      <c r="K42" s="23">
        <v>1.4</v>
      </c>
      <c r="L42" s="51">
        <v>14</v>
      </c>
      <c r="M42" s="51">
        <v>280</v>
      </c>
      <c r="N42" s="51">
        <v>1.4</v>
      </c>
      <c r="O42" s="31" t="s">
        <v>358</v>
      </c>
      <c r="P42" s="24"/>
      <c r="Q42" s="23" t="s">
        <v>353</v>
      </c>
      <c r="R42" s="25" t="s">
        <v>354</v>
      </c>
      <c r="T42" s="23">
        <f>表1_8[[#This Row],[客户编号]]</f>
        <v>0</v>
      </c>
      <c r="U42" s="23" t="str">
        <f>表1_8[[#This Row],[MASTER B/L]]</f>
        <v>DJSCSHB2EE91344Y</v>
      </c>
      <c r="V42" s="23">
        <f>表1_8[[#This Row],[件]]</f>
        <v>14</v>
      </c>
      <c r="W42" s="23">
        <f>表1_8[[#This Row],[毛]]</f>
        <v>280</v>
      </c>
      <c r="X42" s="23">
        <f>表1_8[[#This Row],[体]]</f>
        <v>1.4</v>
      </c>
      <c r="Y42" s="31" t="str">
        <f>表1_8[[#This Row],[品名]]</f>
        <v>GARMENTS</v>
      </c>
      <c r="Z42" s="31" t="str">
        <f>RIGHT(表1_8[[#This Row],[编]],4)</f>
        <v/>
      </c>
      <c r="AA42" s="23" t="str">
        <f>表1_8[[#This Row],[箱号]]</f>
        <v>SEGU4825077</v>
      </c>
      <c r="AB42" s="25" t="str">
        <f>表1_8[[#This Row],[封号]]</f>
        <v>720195</v>
      </c>
      <c r="AC42" s="23">
        <f>表2[[#This Row],[件]]</f>
        <v>14</v>
      </c>
      <c r="AD42" s="23">
        <f>表2[[#This Row],[毛]]</f>
        <v>280</v>
      </c>
      <c r="AE42" s="23">
        <f>表2[[#This Row],[体]]</f>
        <v>1.4</v>
      </c>
      <c r="AG42" s="23" t="str">
        <f>表1_8[[#This Row],[HOUSE B/L]]</f>
        <v>YJCSHAN1904565</v>
      </c>
      <c r="AH42" s="23" t="str">
        <f>表1_8[[#This Row],[MASTER B/L]]</f>
        <v>DJSCSHB2EE91344Y</v>
      </c>
      <c r="AI42" s="23" t="str">
        <f>"ETD"&amp;TEXT(表1_8[[#This Row],[ETD]],"mmdd")&amp;" "&amp;表1_8[[#This Row],[HOUSE B/L]]&amp;" "&amp;表1_8[[#This Row],[MASTER B/L]]&amp;" CHECK BL"</f>
        <v>ETD0324 YJCSHAN1904565 DJSCSHB2EE91344Y CHECK BL</v>
      </c>
      <c r="AJ42" s="23" t="str">
        <f>"ETD"&amp;TEXT(表1_8[[#This Row],[ETD]],"mmdd")&amp;" "&amp;表1_8[[#This Row],[HOUSE B/L]]&amp;" "&amp;表1_8[[#This Row],[MASTER B/L]]&amp;" 报关单"</f>
        <v>ETD0324 YJCSHAN1904565 DJSCSHB2EE91344Y 报关单</v>
      </c>
      <c r="AK42" s="23" t="str">
        <f>"ETD"&amp;TEXT(表1_8[[#This Row],[ETD]],"mmdd")&amp;" "&amp;表1_8[[#This Row],[HOUSE B/L]]&amp;" "&amp;表1_8[[#This Row],[MASTER B/L]]&amp;" 放行单"</f>
        <v>ETD0324 YJCSHAN1904565 DJSCSHB2EE91344Y 放行单</v>
      </c>
      <c r="AL42" s="23" t="str">
        <f>"ETD"&amp;TEXT(表1_8[[#This Row],[ETD]],"mmdd")&amp;" "&amp;表1_8[[#This Row],[HOUSE B/L]]&amp;" "&amp;表1_8[[#This Row],[MASTER B/L]]&amp;" SURRENDERED BL"</f>
        <v>ETD0324 YJCSHAN1904565 DJSCSHB2EE91344Y SURRENDERED BL</v>
      </c>
    </row>
    <row r="43" spans="2:38" ht="36" hidden="1" x14ac:dyDescent="0.2">
      <c r="B43" s="22">
        <v>43548</v>
      </c>
      <c r="C43" s="23">
        <v>22</v>
      </c>
      <c r="D43" s="23" t="s">
        <v>328</v>
      </c>
      <c r="E43" s="23"/>
      <c r="F43" s="24"/>
      <c r="G43" s="24" t="s">
        <v>329</v>
      </c>
      <c r="H43" s="24" t="s">
        <v>330</v>
      </c>
      <c r="I43" s="23">
        <v>1</v>
      </c>
      <c r="J43" s="23">
        <v>45.2</v>
      </c>
      <c r="K43" s="23">
        <v>0.4</v>
      </c>
      <c r="L43" s="51">
        <v>1</v>
      </c>
      <c r="M43" s="51">
        <v>45.2</v>
      </c>
      <c r="N43" s="51">
        <v>0.4</v>
      </c>
      <c r="O43" s="31" t="s">
        <v>357</v>
      </c>
      <c r="P43" s="24"/>
      <c r="Q43" s="23" t="s">
        <v>353</v>
      </c>
      <c r="R43" s="25" t="s">
        <v>354</v>
      </c>
      <c r="T43" s="23">
        <f>表1_8[[#This Row],[客户编号]]</f>
        <v>0</v>
      </c>
      <c r="U43" s="23" t="str">
        <f>表1_8[[#This Row],[MASTER B/L]]</f>
        <v>DJSCSHB2EE91344Z</v>
      </c>
      <c r="V43" s="23">
        <f>表1_8[[#This Row],[件]]</f>
        <v>1</v>
      </c>
      <c r="W43" s="23">
        <f>表1_8[[#This Row],[毛]]</f>
        <v>45.2</v>
      </c>
      <c r="X43" s="23">
        <f>表1_8[[#This Row],[体]]</f>
        <v>0.4</v>
      </c>
      <c r="Y43" s="31" t="str">
        <f>表1_8[[#This Row],[品名]]</f>
        <v>CMFB BJA RADIO
BAF &amp; CAF PP</v>
      </c>
      <c r="Z43" s="31" t="str">
        <f>RIGHT(表1_8[[#This Row],[编]],4)</f>
        <v/>
      </c>
      <c r="AA43" s="23" t="str">
        <f>表1_8[[#This Row],[箱号]]</f>
        <v>SEGU4825077</v>
      </c>
      <c r="AB43" s="25" t="str">
        <f>表1_8[[#This Row],[封号]]</f>
        <v>720195</v>
      </c>
      <c r="AC43" s="23">
        <f>表2[[#This Row],[件]]</f>
        <v>1</v>
      </c>
      <c r="AD43" s="23">
        <f>表2[[#This Row],[毛]]</f>
        <v>45.2</v>
      </c>
      <c r="AE43" s="23">
        <f>表2[[#This Row],[体]]</f>
        <v>0.4</v>
      </c>
      <c r="AG43" s="23" t="str">
        <f>表1_8[[#This Row],[HOUSE B/L]]</f>
        <v>YJCSHAN1904589</v>
      </c>
      <c r="AH43" s="23" t="str">
        <f>表1_8[[#This Row],[MASTER B/L]]</f>
        <v>DJSCSHB2EE91344Z</v>
      </c>
      <c r="AI43" s="23" t="str">
        <f>"ETD"&amp;TEXT(表1_8[[#This Row],[ETD]],"mmdd")&amp;" "&amp;表1_8[[#This Row],[HOUSE B/L]]&amp;" "&amp;表1_8[[#This Row],[MASTER B/L]]&amp;" CHECK BL"</f>
        <v>ETD0324 YJCSHAN1904589 DJSCSHB2EE91344Z CHECK BL</v>
      </c>
      <c r="AJ43" s="23" t="str">
        <f>"ETD"&amp;TEXT(表1_8[[#This Row],[ETD]],"mmdd")&amp;" "&amp;表1_8[[#This Row],[HOUSE B/L]]&amp;" "&amp;表1_8[[#This Row],[MASTER B/L]]&amp;" 报关单"</f>
        <v>ETD0324 YJCSHAN1904589 DJSCSHB2EE91344Z 报关单</v>
      </c>
      <c r="AK43" s="23" t="str">
        <f>"ETD"&amp;TEXT(表1_8[[#This Row],[ETD]],"mmdd")&amp;" "&amp;表1_8[[#This Row],[HOUSE B/L]]&amp;" "&amp;表1_8[[#This Row],[MASTER B/L]]&amp;" 放行单"</f>
        <v>ETD0324 YJCSHAN1904589 DJSCSHB2EE91344Z 放行单</v>
      </c>
      <c r="AL43" s="23" t="str">
        <f>"ETD"&amp;TEXT(表1_8[[#This Row],[ETD]],"mmdd")&amp;" "&amp;表1_8[[#This Row],[HOUSE B/L]]&amp;" "&amp;表1_8[[#This Row],[MASTER B/L]]&amp;" SURRENDERED BL"</f>
        <v>ETD0324 YJCSHAN1904589 DJSCSHB2EE91344Z SURRENDERED BL</v>
      </c>
    </row>
    <row r="44" spans="2:38" hidden="1" x14ac:dyDescent="0.2">
      <c r="B44" s="22">
        <v>43550</v>
      </c>
      <c r="C44" s="23">
        <v>1</v>
      </c>
      <c r="D44" s="23" t="s">
        <v>377</v>
      </c>
      <c r="E44" s="23"/>
      <c r="F44" s="24"/>
      <c r="G44" s="24" t="s">
        <v>378</v>
      </c>
      <c r="H44" s="24" t="s">
        <v>379</v>
      </c>
      <c r="I44" s="23">
        <v>13</v>
      </c>
      <c r="J44" s="23">
        <v>5593</v>
      </c>
      <c r="K44" s="23">
        <v>4.2</v>
      </c>
      <c r="L44" s="51">
        <v>13</v>
      </c>
      <c r="M44" s="51">
        <v>5593</v>
      </c>
      <c r="N44" s="51">
        <v>4.2</v>
      </c>
      <c r="O44" s="31" t="s">
        <v>424</v>
      </c>
      <c r="P44" s="24">
        <v>1</v>
      </c>
      <c r="Q44" s="23" t="s">
        <v>454</v>
      </c>
      <c r="R44" s="25" t="s">
        <v>455</v>
      </c>
      <c r="T44" s="23">
        <f>表1_8[[#This Row],[客户编号]]</f>
        <v>0</v>
      </c>
      <c r="U44" s="23" t="str">
        <f>表1_8[[#This Row],[MASTER B/L]]</f>
        <v>DJSCSHBDEE91244B</v>
      </c>
      <c r="V44" s="23">
        <f>表1_8[[#This Row],[件]]</f>
        <v>13</v>
      </c>
      <c r="W44" s="23">
        <f>表1_8[[#This Row],[毛]]</f>
        <v>5593</v>
      </c>
      <c r="X44" s="23">
        <f>表1_8[[#This Row],[体]]</f>
        <v>4.2</v>
      </c>
      <c r="Y44" s="31" t="str">
        <f>表1_8[[#This Row],[品名]]</f>
        <v>REACTOR</v>
      </c>
      <c r="Z44" s="31" t="str">
        <f>RIGHT(表1_8[[#This Row],[编]],4)</f>
        <v>1</v>
      </c>
      <c r="AA44" s="23" t="str">
        <f>表1_8[[#This Row],[箱号]]</f>
        <v>DRYU9910452</v>
      </c>
      <c r="AB44" s="25" t="str">
        <f>表1_8[[#This Row],[封号]]</f>
        <v>719023</v>
      </c>
      <c r="AC44" s="23">
        <f>表2[[#This Row],[件]]</f>
        <v>13</v>
      </c>
      <c r="AD44" s="23">
        <f>表2[[#This Row],[毛]]</f>
        <v>5593</v>
      </c>
      <c r="AE44" s="23">
        <f>表2[[#This Row],[体]]</f>
        <v>4.2</v>
      </c>
      <c r="AG44" s="23" t="str">
        <f>表1_8[[#This Row],[HOUSE B/L]]</f>
        <v>YJCSHAN1904039</v>
      </c>
      <c r="AH44" s="23" t="str">
        <f>表1_8[[#This Row],[MASTER B/L]]</f>
        <v>DJSCSHBDEE91244B</v>
      </c>
      <c r="AI44" s="23" t="str">
        <f>"ETD"&amp;TEXT(表1_8[[#This Row],[ETD]],"mmdd")&amp;" "&amp;表1_8[[#This Row],[HOUSE B/L]]&amp;" "&amp;表1_8[[#This Row],[MASTER B/L]]&amp;" CHECK BL"</f>
        <v>ETD0326 YJCSHAN1904039 DJSCSHBDEE91244B CHECK BL</v>
      </c>
      <c r="AJ44" s="23" t="str">
        <f>"ETD"&amp;TEXT(表1_8[[#This Row],[ETD]],"mmdd")&amp;" "&amp;表1_8[[#This Row],[HOUSE B/L]]&amp;" "&amp;表1_8[[#This Row],[MASTER B/L]]&amp;" 报关单"</f>
        <v>ETD0326 YJCSHAN1904039 DJSCSHBDEE91244B 报关单</v>
      </c>
      <c r="AK44" s="23" t="str">
        <f>"ETD"&amp;TEXT(表1_8[[#This Row],[ETD]],"mmdd")&amp;" "&amp;表1_8[[#This Row],[HOUSE B/L]]&amp;" "&amp;表1_8[[#This Row],[MASTER B/L]]&amp;" 放行单"</f>
        <v>ETD0326 YJCSHAN1904039 DJSCSHBDEE91244B 放行单</v>
      </c>
      <c r="AL44" s="23" t="str">
        <f>"ETD"&amp;TEXT(表1_8[[#This Row],[ETD]],"mmdd")&amp;" "&amp;表1_8[[#This Row],[HOUSE B/L]]&amp;" "&amp;表1_8[[#This Row],[MASTER B/L]]&amp;" SURRENDERED BL"</f>
        <v>ETD0326 YJCSHAN1904039 DJSCSHBDEE91244B SURRENDERED BL</v>
      </c>
    </row>
    <row r="45" spans="2:38" hidden="1" x14ac:dyDescent="0.2">
      <c r="B45" s="22">
        <v>43550</v>
      </c>
      <c r="C45" s="23">
        <v>2</v>
      </c>
      <c r="D45" s="23" t="s">
        <v>380</v>
      </c>
      <c r="E45" s="23"/>
      <c r="F45" s="24"/>
      <c r="G45" s="24" t="s">
        <v>391</v>
      </c>
      <c r="H45" s="24" t="s">
        <v>408</v>
      </c>
      <c r="I45" s="23">
        <v>5</v>
      </c>
      <c r="J45" s="23">
        <v>60.8</v>
      </c>
      <c r="K45" s="23">
        <v>0.44</v>
      </c>
      <c r="L45" s="51">
        <v>5</v>
      </c>
      <c r="M45" s="51">
        <v>60.8</v>
      </c>
      <c r="N45" s="51">
        <v>0.44</v>
      </c>
      <c r="O45" s="31" t="s">
        <v>456</v>
      </c>
      <c r="P45" s="24">
        <v>2</v>
      </c>
      <c r="Q45" s="23" t="s">
        <v>459</v>
      </c>
      <c r="R45" s="25">
        <v>719026</v>
      </c>
      <c r="T45" s="23">
        <f>表1_8[[#This Row],[客户编号]]</f>
        <v>0</v>
      </c>
      <c r="U45" s="23" t="str">
        <f>表1_8[[#This Row],[MASTER B/L]]</f>
        <v>DJSCSHBDEE91244C</v>
      </c>
      <c r="V45" s="23">
        <f>表1_8[[#This Row],[件]]</f>
        <v>5</v>
      </c>
      <c r="W45" s="23">
        <f>表1_8[[#This Row],[毛]]</f>
        <v>60.8</v>
      </c>
      <c r="X45" s="23">
        <f>表1_8[[#This Row],[体]]</f>
        <v>0.44</v>
      </c>
      <c r="Y45" s="31" t="str">
        <f>表1_8[[#This Row],[品名]]</f>
        <v>BUSH-STABILIZER</v>
      </c>
      <c r="Z45" s="31" t="str">
        <f>RIGHT(表1_8[[#This Row],[编]],4)</f>
        <v>2</v>
      </c>
      <c r="AA45" s="23" t="str">
        <f>表1_8[[#This Row],[箱号]]</f>
        <v>DRYU9470646</v>
      </c>
      <c r="AB45" s="25">
        <f>表1_8[[#This Row],[封号]]</f>
        <v>719026</v>
      </c>
      <c r="AC45" s="23">
        <f>表2[[#This Row],[件]]</f>
        <v>5</v>
      </c>
      <c r="AD45" s="23">
        <f>表2[[#This Row],[毛]]</f>
        <v>60.8</v>
      </c>
      <c r="AE45" s="23">
        <f>表2[[#This Row],[体]]</f>
        <v>0.44</v>
      </c>
      <c r="AG45" s="23" t="str">
        <f>表1_8[[#This Row],[HOUSE B/L]]</f>
        <v>YJCSHAN1904163</v>
      </c>
      <c r="AH45" s="23" t="str">
        <f>表1_8[[#This Row],[MASTER B/L]]</f>
        <v>DJSCSHBDEE91244C</v>
      </c>
      <c r="AI45" s="23" t="str">
        <f>"ETD"&amp;TEXT(表1_8[[#This Row],[ETD]],"mmdd")&amp;" "&amp;表1_8[[#This Row],[HOUSE B/L]]&amp;" "&amp;表1_8[[#This Row],[MASTER B/L]]&amp;" CHECK BL"</f>
        <v>ETD0326 YJCSHAN1904163 DJSCSHBDEE91244C CHECK BL</v>
      </c>
      <c r="AJ45" s="23" t="str">
        <f>"ETD"&amp;TEXT(表1_8[[#This Row],[ETD]],"mmdd")&amp;" "&amp;表1_8[[#This Row],[HOUSE B/L]]&amp;" "&amp;表1_8[[#This Row],[MASTER B/L]]&amp;" 报关单"</f>
        <v>ETD0326 YJCSHAN1904163 DJSCSHBDEE91244C 报关单</v>
      </c>
      <c r="AK45" s="23" t="str">
        <f>"ETD"&amp;TEXT(表1_8[[#This Row],[ETD]],"mmdd")&amp;" "&amp;表1_8[[#This Row],[HOUSE B/L]]&amp;" "&amp;表1_8[[#This Row],[MASTER B/L]]&amp;" 放行单"</f>
        <v>ETD0326 YJCSHAN1904163 DJSCSHBDEE91244C 放行单</v>
      </c>
      <c r="AL45" s="23" t="str">
        <f>"ETD"&amp;TEXT(表1_8[[#This Row],[ETD]],"mmdd")&amp;" "&amp;表1_8[[#This Row],[HOUSE B/L]]&amp;" "&amp;表1_8[[#This Row],[MASTER B/L]]&amp;" SURRENDERED BL"</f>
        <v>ETD0326 YJCSHAN1904163 DJSCSHBDEE91244C SURRENDERED BL</v>
      </c>
    </row>
    <row r="46" spans="2:38" hidden="1" x14ac:dyDescent="0.2">
      <c r="B46" s="22">
        <v>43550</v>
      </c>
      <c r="C46" s="23">
        <v>3</v>
      </c>
      <c r="D46" s="23" t="s">
        <v>272</v>
      </c>
      <c r="E46" s="23"/>
      <c r="F46" s="24"/>
      <c r="G46" s="24" t="s">
        <v>392</v>
      </c>
      <c r="H46" s="24" t="s">
        <v>458</v>
      </c>
      <c r="I46" s="23">
        <v>28</v>
      </c>
      <c r="J46" s="23">
        <v>560</v>
      </c>
      <c r="K46" s="23">
        <v>2.84</v>
      </c>
      <c r="L46" s="51">
        <v>28</v>
      </c>
      <c r="M46" s="51">
        <v>560</v>
      </c>
      <c r="N46" s="51">
        <v>2.84</v>
      </c>
      <c r="O46" s="31" t="s">
        <v>425</v>
      </c>
      <c r="P46" s="24">
        <v>2</v>
      </c>
      <c r="Q46" s="23" t="s">
        <v>459</v>
      </c>
      <c r="R46" s="25" t="s">
        <v>460</v>
      </c>
      <c r="T46" s="23">
        <f>表1_8[[#This Row],[客户编号]]</f>
        <v>0</v>
      </c>
      <c r="U46" s="23" t="str">
        <f>表1_8[[#This Row],[MASTER B/L]]</f>
        <v>DJSCSHBDEE91244A</v>
      </c>
      <c r="V46" s="23">
        <f>表1_8[[#This Row],[件]]</f>
        <v>28</v>
      </c>
      <c r="W46" s="23">
        <f>表1_8[[#This Row],[毛]]</f>
        <v>560</v>
      </c>
      <c r="X46" s="23">
        <f>表1_8[[#This Row],[体]]</f>
        <v>2.84</v>
      </c>
      <c r="Y46" s="31" t="str">
        <f>表1_8[[#This Row],[品名]]</f>
        <v>GARMENTS</v>
      </c>
      <c r="Z46" s="31" t="str">
        <f>RIGHT(表1_8[[#This Row],[编]],4)</f>
        <v>2</v>
      </c>
      <c r="AA46" s="23" t="str">
        <f>表1_8[[#This Row],[箱号]]</f>
        <v>DRYU9470646</v>
      </c>
      <c r="AB46" s="25" t="str">
        <f>表1_8[[#This Row],[封号]]</f>
        <v>719026</v>
      </c>
      <c r="AC46" s="23">
        <f>表2[[#This Row],[件]]</f>
        <v>28</v>
      </c>
      <c r="AD46" s="23">
        <f>表2[[#This Row],[毛]]</f>
        <v>560</v>
      </c>
      <c r="AE46" s="23">
        <f>表2[[#This Row],[体]]</f>
        <v>2.84</v>
      </c>
      <c r="AG46" s="23" t="str">
        <f>表1_8[[#This Row],[HOUSE B/L]]</f>
        <v>YJCSHAN1904180</v>
      </c>
      <c r="AH46" s="23" t="str">
        <f>表1_8[[#This Row],[MASTER B/L]]</f>
        <v>DJSCSHBDEE91244A</v>
      </c>
      <c r="AI46" s="23" t="str">
        <f>"ETD"&amp;TEXT(表1_8[[#This Row],[ETD]],"mmdd")&amp;" "&amp;表1_8[[#This Row],[HOUSE B/L]]&amp;" "&amp;表1_8[[#This Row],[MASTER B/L]]&amp;" CHECK BL"</f>
        <v>ETD0326 YJCSHAN1904180 DJSCSHBDEE91244A CHECK BL</v>
      </c>
      <c r="AJ46" s="23" t="str">
        <f>"ETD"&amp;TEXT(表1_8[[#This Row],[ETD]],"mmdd")&amp;" "&amp;表1_8[[#This Row],[HOUSE B/L]]&amp;" "&amp;表1_8[[#This Row],[MASTER B/L]]&amp;" 报关单"</f>
        <v>ETD0326 YJCSHAN1904180 DJSCSHBDEE91244A 报关单</v>
      </c>
      <c r="AK46" s="23" t="str">
        <f>"ETD"&amp;TEXT(表1_8[[#This Row],[ETD]],"mmdd")&amp;" "&amp;表1_8[[#This Row],[HOUSE B/L]]&amp;" "&amp;表1_8[[#This Row],[MASTER B/L]]&amp;" 放行单"</f>
        <v>ETD0326 YJCSHAN1904180 DJSCSHBDEE91244A 放行单</v>
      </c>
      <c r="AL46" s="23" t="str">
        <f>"ETD"&amp;TEXT(表1_8[[#This Row],[ETD]],"mmdd")&amp;" "&amp;表1_8[[#This Row],[HOUSE B/L]]&amp;" "&amp;表1_8[[#This Row],[MASTER B/L]]&amp;" SURRENDERED BL"</f>
        <v>ETD0326 YJCSHAN1904180 DJSCSHBDEE91244A SURRENDERED BL</v>
      </c>
    </row>
    <row r="47" spans="2:38" hidden="1" x14ac:dyDescent="0.2">
      <c r="B47" s="22">
        <v>43550</v>
      </c>
      <c r="C47" s="23">
        <v>4</v>
      </c>
      <c r="D47" s="23" t="s">
        <v>381</v>
      </c>
      <c r="E47" s="23"/>
      <c r="F47" s="24"/>
      <c r="G47" s="24" t="s">
        <v>393</v>
      </c>
      <c r="H47" s="24" t="s">
        <v>409</v>
      </c>
      <c r="I47" s="23">
        <v>2</v>
      </c>
      <c r="J47" s="23">
        <v>500.5</v>
      </c>
      <c r="K47" s="23">
        <v>2.2469999999999999</v>
      </c>
      <c r="L47" s="51">
        <v>2</v>
      </c>
      <c r="M47" s="51">
        <v>500.5</v>
      </c>
      <c r="N47" s="51">
        <v>2.2469999999999999</v>
      </c>
      <c r="O47" s="31" t="s">
        <v>426</v>
      </c>
      <c r="P47" s="24">
        <v>1</v>
      </c>
      <c r="Q47" s="23" t="s">
        <v>454</v>
      </c>
      <c r="R47" s="25" t="s">
        <v>455</v>
      </c>
      <c r="T47" s="23">
        <f>表1_8[[#This Row],[客户编号]]</f>
        <v>0</v>
      </c>
      <c r="U47" s="23" t="str">
        <f>表1_8[[#This Row],[MASTER B/L]]</f>
        <v>DJSCSHBDEE91244E</v>
      </c>
      <c r="V47" s="23">
        <f>表1_8[[#This Row],[件]]</f>
        <v>2</v>
      </c>
      <c r="W47" s="23">
        <f>表1_8[[#This Row],[毛]]</f>
        <v>500.5</v>
      </c>
      <c r="X47" s="23">
        <f>表1_8[[#This Row],[体]]</f>
        <v>2.2469999999999999</v>
      </c>
      <c r="Y47" s="31" t="str">
        <f>表1_8[[#This Row],[品名]]</f>
        <v>DUST BAG</v>
      </c>
      <c r="Z47" s="31" t="str">
        <f>RIGHT(表1_8[[#This Row],[编]],4)</f>
        <v>1</v>
      </c>
      <c r="AA47" s="23" t="str">
        <f>表1_8[[#This Row],[箱号]]</f>
        <v>DRYU9910452</v>
      </c>
      <c r="AB47" s="25" t="str">
        <f>表1_8[[#This Row],[封号]]</f>
        <v>719023</v>
      </c>
      <c r="AC47" s="23">
        <f>表2[[#This Row],[件]]</f>
        <v>2</v>
      </c>
      <c r="AD47" s="23">
        <f>表2[[#This Row],[毛]]</f>
        <v>500.5</v>
      </c>
      <c r="AE47" s="23">
        <f>表2[[#This Row],[体]]</f>
        <v>2.2469999999999999</v>
      </c>
      <c r="AG47" s="23" t="str">
        <f>表1_8[[#This Row],[HOUSE B/L]]</f>
        <v>YJCSHAN1904338</v>
      </c>
      <c r="AH47" s="23" t="str">
        <f>表1_8[[#This Row],[MASTER B/L]]</f>
        <v>DJSCSHBDEE91244E</v>
      </c>
      <c r="AI47" s="23" t="str">
        <f>"ETD"&amp;TEXT(表1_8[[#This Row],[ETD]],"mmdd")&amp;" "&amp;表1_8[[#This Row],[HOUSE B/L]]&amp;" "&amp;表1_8[[#This Row],[MASTER B/L]]&amp;" CHECK BL"</f>
        <v>ETD0326 YJCSHAN1904338 DJSCSHBDEE91244E CHECK BL</v>
      </c>
      <c r="AJ47" s="23" t="str">
        <f>"ETD"&amp;TEXT(表1_8[[#This Row],[ETD]],"mmdd")&amp;" "&amp;表1_8[[#This Row],[HOUSE B/L]]&amp;" "&amp;表1_8[[#This Row],[MASTER B/L]]&amp;" 报关单"</f>
        <v>ETD0326 YJCSHAN1904338 DJSCSHBDEE91244E 报关单</v>
      </c>
      <c r="AK47" s="23" t="str">
        <f>"ETD"&amp;TEXT(表1_8[[#This Row],[ETD]],"mmdd")&amp;" "&amp;表1_8[[#This Row],[HOUSE B/L]]&amp;" "&amp;表1_8[[#This Row],[MASTER B/L]]&amp;" 放行单"</f>
        <v>ETD0326 YJCSHAN1904338 DJSCSHBDEE91244E 放行单</v>
      </c>
      <c r="AL47" s="23" t="str">
        <f>"ETD"&amp;TEXT(表1_8[[#This Row],[ETD]],"mmdd")&amp;" "&amp;表1_8[[#This Row],[HOUSE B/L]]&amp;" "&amp;表1_8[[#This Row],[MASTER B/L]]&amp;" SURRENDERED BL"</f>
        <v>ETD0326 YJCSHAN1904338 DJSCSHBDEE91244E SURRENDERED BL</v>
      </c>
    </row>
    <row r="48" spans="2:38" hidden="1" x14ac:dyDescent="0.2">
      <c r="B48" s="22">
        <v>43550</v>
      </c>
      <c r="C48" s="23">
        <v>5</v>
      </c>
      <c r="D48" s="23" t="s">
        <v>382</v>
      </c>
      <c r="E48" s="23"/>
      <c r="F48" s="24"/>
      <c r="G48" s="24" t="s">
        <v>394</v>
      </c>
      <c r="H48" s="24" t="s">
        <v>410</v>
      </c>
      <c r="I48" s="23">
        <v>247</v>
      </c>
      <c r="J48" s="23">
        <v>2611.04</v>
      </c>
      <c r="K48" s="23">
        <v>9.61</v>
      </c>
      <c r="L48" s="51">
        <v>247</v>
      </c>
      <c r="M48" s="51">
        <v>2611.04</v>
      </c>
      <c r="N48" s="51">
        <v>9.61</v>
      </c>
      <c r="O48" s="31" t="s">
        <v>427</v>
      </c>
      <c r="P48" s="24">
        <v>1</v>
      </c>
      <c r="Q48" s="23" t="s">
        <v>454</v>
      </c>
      <c r="R48" s="25" t="s">
        <v>455</v>
      </c>
      <c r="T48" s="23">
        <f>表1_8[[#This Row],[客户编号]]</f>
        <v>0</v>
      </c>
      <c r="U48" s="23" t="str">
        <f>表1_8[[#This Row],[MASTER B/L]]</f>
        <v>DJSCSHBDEE91244F</v>
      </c>
      <c r="V48" s="23">
        <f>表1_8[[#This Row],[件]]</f>
        <v>247</v>
      </c>
      <c r="W48" s="23">
        <f>表1_8[[#This Row],[毛]]</f>
        <v>2611.04</v>
      </c>
      <c r="X48" s="23">
        <f>表1_8[[#This Row],[体]]</f>
        <v>9.61</v>
      </c>
      <c r="Y48" s="31" t="str">
        <f>表1_8[[#This Row],[品名]]</f>
        <v>STEPPING MOTOR</v>
      </c>
      <c r="Z48" s="31" t="str">
        <f>RIGHT(表1_8[[#This Row],[编]],4)</f>
        <v>1</v>
      </c>
      <c r="AA48" s="23" t="str">
        <f>表1_8[[#This Row],[箱号]]</f>
        <v>DRYU9910452</v>
      </c>
      <c r="AB48" s="25" t="str">
        <f>表1_8[[#This Row],[封号]]</f>
        <v>719023</v>
      </c>
      <c r="AC48" s="23">
        <f>表2[[#This Row],[件]]</f>
        <v>247</v>
      </c>
      <c r="AD48" s="23">
        <f>表2[[#This Row],[毛]]</f>
        <v>2611.04</v>
      </c>
      <c r="AE48" s="23">
        <f>表2[[#This Row],[体]]</f>
        <v>9.61</v>
      </c>
      <c r="AG48" s="23" t="str">
        <f>表1_8[[#This Row],[HOUSE B/L]]</f>
        <v>YJCSHAN1904420</v>
      </c>
      <c r="AH48" s="23" t="str">
        <f>表1_8[[#This Row],[MASTER B/L]]</f>
        <v>DJSCSHBDEE91244F</v>
      </c>
      <c r="AI48" s="23" t="str">
        <f>"ETD"&amp;TEXT(表1_8[[#This Row],[ETD]],"mmdd")&amp;" "&amp;表1_8[[#This Row],[HOUSE B/L]]&amp;" "&amp;表1_8[[#This Row],[MASTER B/L]]&amp;" CHECK BL"</f>
        <v>ETD0326 YJCSHAN1904420 DJSCSHBDEE91244F CHECK BL</v>
      </c>
      <c r="AJ48" s="23" t="str">
        <f>"ETD"&amp;TEXT(表1_8[[#This Row],[ETD]],"mmdd")&amp;" "&amp;表1_8[[#This Row],[HOUSE B/L]]&amp;" "&amp;表1_8[[#This Row],[MASTER B/L]]&amp;" 报关单"</f>
        <v>ETD0326 YJCSHAN1904420 DJSCSHBDEE91244F 报关单</v>
      </c>
      <c r="AK48" s="23" t="str">
        <f>"ETD"&amp;TEXT(表1_8[[#This Row],[ETD]],"mmdd")&amp;" "&amp;表1_8[[#This Row],[HOUSE B/L]]&amp;" "&amp;表1_8[[#This Row],[MASTER B/L]]&amp;" 放行单"</f>
        <v>ETD0326 YJCSHAN1904420 DJSCSHBDEE91244F 放行单</v>
      </c>
      <c r="AL48" s="23" t="str">
        <f>"ETD"&amp;TEXT(表1_8[[#This Row],[ETD]],"mmdd")&amp;" "&amp;表1_8[[#This Row],[HOUSE B/L]]&amp;" "&amp;表1_8[[#This Row],[MASTER B/L]]&amp;" SURRENDERED BL"</f>
        <v>ETD0326 YJCSHAN1904420 DJSCSHBDEE91244F SURRENDERED BL</v>
      </c>
    </row>
    <row r="49" spans="2:38" hidden="1" x14ac:dyDescent="0.2">
      <c r="B49" s="22">
        <v>43550</v>
      </c>
      <c r="C49" s="23">
        <v>6</v>
      </c>
      <c r="D49" s="23" t="s">
        <v>382</v>
      </c>
      <c r="E49" s="23"/>
      <c r="F49" s="24"/>
      <c r="G49" s="24" t="s">
        <v>395</v>
      </c>
      <c r="H49" s="24" t="s">
        <v>411</v>
      </c>
      <c r="I49" s="23">
        <v>339</v>
      </c>
      <c r="J49" s="23">
        <v>4298.8999999999996</v>
      </c>
      <c r="K49" s="23">
        <v>8.58</v>
      </c>
      <c r="L49" s="51">
        <v>339</v>
      </c>
      <c r="M49" s="51">
        <v>4298.8999999999996</v>
      </c>
      <c r="N49" s="51">
        <v>8.58</v>
      </c>
      <c r="O49" s="31" t="s">
        <v>427</v>
      </c>
      <c r="P49" s="24">
        <v>1</v>
      </c>
      <c r="Q49" s="23" t="s">
        <v>454</v>
      </c>
      <c r="R49" s="25" t="s">
        <v>455</v>
      </c>
      <c r="T49" s="23">
        <f>表1_8[[#This Row],[客户编号]]</f>
        <v>0</v>
      </c>
      <c r="U49" s="23" t="str">
        <f>表1_8[[#This Row],[MASTER B/L]]</f>
        <v>DJSCSHBDEE91244G</v>
      </c>
      <c r="V49" s="23">
        <f>表1_8[[#This Row],[件]]</f>
        <v>339</v>
      </c>
      <c r="W49" s="23">
        <f>表1_8[[#This Row],[毛]]</f>
        <v>4298.8999999999996</v>
      </c>
      <c r="X49" s="23">
        <f>表1_8[[#This Row],[体]]</f>
        <v>8.58</v>
      </c>
      <c r="Y49" s="31" t="str">
        <f>表1_8[[#This Row],[品名]]</f>
        <v>STEPPING MOTOR</v>
      </c>
      <c r="Z49" s="31" t="str">
        <f>RIGHT(表1_8[[#This Row],[编]],4)</f>
        <v>1</v>
      </c>
      <c r="AA49" s="23" t="str">
        <f>表1_8[[#This Row],[箱号]]</f>
        <v>DRYU9910452</v>
      </c>
      <c r="AB49" s="25" t="str">
        <f>表1_8[[#This Row],[封号]]</f>
        <v>719023</v>
      </c>
      <c r="AC49" s="23">
        <f>表2[[#This Row],[件]]</f>
        <v>339</v>
      </c>
      <c r="AD49" s="23">
        <f>表2[[#This Row],[毛]]</f>
        <v>4298.8999999999996</v>
      </c>
      <c r="AE49" s="23">
        <f>表2[[#This Row],[体]]</f>
        <v>8.58</v>
      </c>
      <c r="AG49" s="23" t="str">
        <f>表1_8[[#This Row],[HOUSE B/L]]</f>
        <v>YJCSHAN1904421</v>
      </c>
      <c r="AH49" s="23" t="str">
        <f>表1_8[[#This Row],[MASTER B/L]]</f>
        <v>DJSCSHBDEE91244G</v>
      </c>
      <c r="AI49" s="23" t="str">
        <f>"ETD"&amp;TEXT(表1_8[[#This Row],[ETD]],"mmdd")&amp;" "&amp;表1_8[[#This Row],[HOUSE B/L]]&amp;" "&amp;表1_8[[#This Row],[MASTER B/L]]&amp;" CHECK BL"</f>
        <v>ETD0326 YJCSHAN1904421 DJSCSHBDEE91244G CHECK BL</v>
      </c>
      <c r="AJ49" s="23" t="str">
        <f>"ETD"&amp;TEXT(表1_8[[#This Row],[ETD]],"mmdd")&amp;" "&amp;表1_8[[#This Row],[HOUSE B/L]]&amp;" "&amp;表1_8[[#This Row],[MASTER B/L]]&amp;" 报关单"</f>
        <v>ETD0326 YJCSHAN1904421 DJSCSHBDEE91244G 报关单</v>
      </c>
      <c r="AK49" s="23" t="str">
        <f>"ETD"&amp;TEXT(表1_8[[#This Row],[ETD]],"mmdd")&amp;" "&amp;表1_8[[#This Row],[HOUSE B/L]]&amp;" "&amp;表1_8[[#This Row],[MASTER B/L]]&amp;" 放行单"</f>
        <v>ETD0326 YJCSHAN1904421 DJSCSHBDEE91244G 放行单</v>
      </c>
      <c r="AL49" s="23" t="str">
        <f>"ETD"&amp;TEXT(表1_8[[#This Row],[ETD]],"mmdd")&amp;" "&amp;表1_8[[#This Row],[HOUSE B/L]]&amp;" "&amp;表1_8[[#This Row],[MASTER B/L]]&amp;" SURRENDERED BL"</f>
        <v>ETD0326 YJCSHAN1904421 DJSCSHBDEE91244G SURRENDERED BL</v>
      </c>
    </row>
    <row r="50" spans="2:38" hidden="1" x14ac:dyDescent="0.2">
      <c r="B50" s="22">
        <v>43550</v>
      </c>
      <c r="C50" s="23">
        <v>7</v>
      </c>
      <c r="D50" s="23" t="s">
        <v>382</v>
      </c>
      <c r="E50" s="23"/>
      <c r="F50" s="24"/>
      <c r="G50" s="24" t="s">
        <v>396</v>
      </c>
      <c r="H50" s="24" t="s">
        <v>412</v>
      </c>
      <c r="I50" s="23">
        <v>360</v>
      </c>
      <c r="J50" s="23">
        <v>4565.2</v>
      </c>
      <c r="K50" s="23">
        <v>9.11</v>
      </c>
      <c r="L50" s="51">
        <v>360</v>
      </c>
      <c r="M50" s="51">
        <v>4565.2</v>
      </c>
      <c r="N50" s="51">
        <v>9.11</v>
      </c>
      <c r="O50" s="31" t="s">
        <v>427</v>
      </c>
      <c r="P50" s="24">
        <v>2</v>
      </c>
      <c r="Q50" s="23" t="s">
        <v>459</v>
      </c>
      <c r="R50" s="25">
        <v>719026</v>
      </c>
      <c r="T50" s="23">
        <f>表1_8[[#This Row],[客户编号]]</f>
        <v>0</v>
      </c>
      <c r="U50" s="23" t="str">
        <f>表1_8[[#This Row],[MASTER B/L]]</f>
        <v>DJSCSHBDEE91244H</v>
      </c>
      <c r="V50" s="23">
        <f>表1_8[[#This Row],[件]]</f>
        <v>360</v>
      </c>
      <c r="W50" s="23">
        <f>表1_8[[#This Row],[毛]]</f>
        <v>4565.2</v>
      </c>
      <c r="X50" s="23">
        <f>表1_8[[#This Row],[体]]</f>
        <v>9.11</v>
      </c>
      <c r="Y50" s="31" t="str">
        <f>表1_8[[#This Row],[品名]]</f>
        <v>STEPPING MOTOR</v>
      </c>
      <c r="Z50" s="31" t="str">
        <f>RIGHT(表1_8[[#This Row],[编]],4)</f>
        <v>2</v>
      </c>
      <c r="AA50" s="23" t="str">
        <f>表1_8[[#This Row],[箱号]]</f>
        <v>DRYU9470646</v>
      </c>
      <c r="AB50" s="25">
        <f>表1_8[[#This Row],[封号]]</f>
        <v>719026</v>
      </c>
      <c r="AC50" s="23">
        <f>表2[[#This Row],[件]]</f>
        <v>360</v>
      </c>
      <c r="AD50" s="23">
        <f>表2[[#This Row],[毛]]</f>
        <v>4565.2</v>
      </c>
      <c r="AE50" s="23">
        <f>表2[[#This Row],[体]]</f>
        <v>9.11</v>
      </c>
      <c r="AG50" s="23" t="str">
        <f>表1_8[[#This Row],[HOUSE B/L]]</f>
        <v>YJCSHAN1904423</v>
      </c>
      <c r="AH50" s="23" t="str">
        <f>表1_8[[#This Row],[MASTER B/L]]</f>
        <v>DJSCSHBDEE91244H</v>
      </c>
      <c r="AI50" s="23" t="str">
        <f>"ETD"&amp;TEXT(表1_8[[#This Row],[ETD]],"mmdd")&amp;" "&amp;表1_8[[#This Row],[HOUSE B/L]]&amp;" "&amp;表1_8[[#This Row],[MASTER B/L]]&amp;" CHECK BL"</f>
        <v>ETD0326 YJCSHAN1904423 DJSCSHBDEE91244H CHECK BL</v>
      </c>
      <c r="AJ50" s="23" t="str">
        <f>"ETD"&amp;TEXT(表1_8[[#This Row],[ETD]],"mmdd")&amp;" "&amp;表1_8[[#This Row],[HOUSE B/L]]&amp;" "&amp;表1_8[[#This Row],[MASTER B/L]]&amp;" 报关单"</f>
        <v>ETD0326 YJCSHAN1904423 DJSCSHBDEE91244H 报关单</v>
      </c>
      <c r="AK50" s="23" t="str">
        <f>"ETD"&amp;TEXT(表1_8[[#This Row],[ETD]],"mmdd")&amp;" "&amp;表1_8[[#This Row],[HOUSE B/L]]&amp;" "&amp;表1_8[[#This Row],[MASTER B/L]]&amp;" 放行单"</f>
        <v>ETD0326 YJCSHAN1904423 DJSCSHBDEE91244H 放行单</v>
      </c>
      <c r="AL50" s="23" t="str">
        <f>"ETD"&amp;TEXT(表1_8[[#This Row],[ETD]],"mmdd")&amp;" "&amp;表1_8[[#This Row],[HOUSE B/L]]&amp;" "&amp;表1_8[[#This Row],[MASTER B/L]]&amp;" SURRENDERED BL"</f>
        <v>ETD0326 YJCSHAN1904423 DJSCSHBDEE91244H SURRENDERED BL</v>
      </c>
    </row>
    <row r="51" spans="2:38" hidden="1" x14ac:dyDescent="0.2">
      <c r="B51" s="22">
        <v>43550</v>
      </c>
      <c r="C51" s="23">
        <v>8</v>
      </c>
      <c r="D51" s="23" t="s">
        <v>382</v>
      </c>
      <c r="E51" s="23"/>
      <c r="F51" s="24"/>
      <c r="G51" s="24" t="s">
        <v>397</v>
      </c>
      <c r="H51" s="24" t="s">
        <v>413</v>
      </c>
      <c r="I51" s="23">
        <v>33</v>
      </c>
      <c r="J51" s="23">
        <v>396.73</v>
      </c>
      <c r="K51" s="23">
        <v>1.33</v>
      </c>
      <c r="L51" s="51">
        <v>33</v>
      </c>
      <c r="M51" s="51">
        <v>396.73</v>
      </c>
      <c r="N51" s="51">
        <v>1.33</v>
      </c>
      <c r="O51" s="31" t="s">
        <v>427</v>
      </c>
      <c r="P51" s="24">
        <v>1</v>
      </c>
      <c r="Q51" s="23" t="s">
        <v>454</v>
      </c>
      <c r="R51" s="25" t="s">
        <v>455</v>
      </c>
      <c r="T51" s="23">
        <f>表1_8[[#This Row],[客户编号]]</f>
        <v>0</v>
      </c>
      <c r="U51" s="23" t="str">
        <f>表1_8[[#This Row],[MASTER B/L]]</f>
        <v>DJSCSHBDEE91244J</v>
      </c>
      <c r="V51" s="23">
        <f>表1_8[[#This Row],[件]]</f>
        <v>33</v>
      </c>
      <c r="W51" s="23">
        <f>表1_8[[#This Row],[毛]]</f>
        <v>396.73</v>
      </c>
      <c r="X51" s="23">
        <f>表1_8[[#This Row],[体]]</f>
        <v>1.33</v>
      </c>
      <c r="Y51" s="31" t="str">
        <f>表1_8[[#This Row],[品名]]</f>
        <v>STEPPING MOTOR</v>
      </c>
      <c r="Z51" s="31" t="str">
        <f>RIGHT(表1_8[[#This Row],[编]],4)</f>
        <v>1</v>
      </c>
      <c r="AA51" s="23" t="str">
        <f>表1_8[[#This Row],[箱号]]</f>
        <v>DRYU9910452</v>
      </c>
      <c r="AB51" s="25" t="str">
        <f>表1_8[[#This Row],[封号]]</f>
        <v>719023</v>
      </c>
      <c r="AC51" s="23">
        <f>表2[[#This Row],[件]]</f>
        <v>33</v>
      </c>
      <c r="AD51" s="23">
        <f>表2[[#This Row],[毛]]</f>
        <v>396.73</v>
      </c>
      <c r="AE51" s="23">
        <f>表2[[#This Row],[体]]</f>
        <v>1.33</v>
      </c>
      <c r="AG51" s="23" t="str">
        <f>表1_8[[#This Row],[HOUSE B/L]]</f>
        <v>YJCSHAN1904426</v>
      </c>
      <c r="AH51" s="23" t="str">
        <f>表1_8[[#This Row],[MASTER B/L]]</f>
        <v>DJSCSHBDEE91244J</v>
      </c>
      <c r="AI51" s="23" t="str">
        <f>"ETD"&amp;TEXT(表1_8[[#This Row],[ETD]],"mmdd")&amp;" "&amp;表1_8[[#This Row],[HOUSE B/L]]&amp;" "&amp;表1_8[[#This Row],[MASTER B/L]]&amp;" CHECK BL"</f>
        <v>ETD0326 YJCSHAN1904426 DJSCSHBDEE91244J CHECK BL</v>
      </c>
      <c r="AJ51" s="23" t="str">
        <f>"ETD"&amp;TEXT(表1_8[[#This Row],[ETD]],"mmdd")&amp;" "&amp;表1_8[[#This Row],[HOUSE B/L]]&amp;" "&amp;表1_8[[#This Row],[MASTER B/L]]&amp;" 报关单"</f>
        <v>ETD0326 YJCSHAN1904426 DJSCSHBDEE91244J 报关单</v>
      </c>
      <c r="AK51" s="23" t="str">
        <f>"ETD"&amp;TEXT(表1_8[[#This Row],[ETD]],"mmdd")&amp;" "&amp;表1_8[[#This Row],[HOUSE B/L]]&amp;" "&amp;表1_8[[#This Row],[MASTER B/L]]&amp;" 放行单"</f>
        <v>ETD0326 YJCSHAN1904426 DJSCSHBDEE91244J 放行单</v>
      </c>
      <c r="AL51" s="23" t="str">
        <f>"ETD"&amp;TEXT(表1_8[[#This Row],[ETD]],"mmdd")&amp;" "&amp;表1_8[[#This Row],[HOUSE B/L]]&amp;" "&amp;表1_8[[#This Row],[MASTER B/L]]&amp;" SURRENDERED BL"</f>
        <v>ETD0326 YJCSHAN1904426 DJSCSHBDEE91244J SURRENDERED BL</v>
      </c>
    </row>
    <row r="52" spans="2:38" hidden="1" x14ac:dyDescent="0.2">
      <c r="B52" s="22">
        <v>43550</v>
      </c>
      <c r="C52" s="23">
        <v>9</v>
      </c>
      <c r="D52" s="23" t="s">
        <v>363</v>
      </c>
      <c r="E52" s="23"/>
      <c r="F52" s="24"/>
      <c r="G52" s="24" t="s">
        <v>398</v>
      </c>
      <c r="H52" s="24" t="s">
        <v>414</v>
      </c>
      <c r="I52" s="23">
        <v>4</v>
      </c>
      <c r="J52" s="23">
        <v>2318</v>
      </c>
      <c r="K52" s="23">
        <v>2.0699999999999998</v>
      </c>
      <c r="L52" s="51">
        <v>4</v>
      </c>
      <c r="M52" s="51">
        <v>2318</v>
      </c>
      <c r="N52" s="51">
        <v>2.0699999999999998</v>
      </c>
      <c r="O52" s="31" t="s">
        <v>428</v>
      </c>
      <c r="P52" s="24">
        <v>1</v>
      </c>
      <c r="Q52" s="23" t="s">
        <v>454</v>
      </c>
      <c r="R52" s="25" t="s">
        <v>455</v>
      </c>
      <c r="T52" s="23">
        <f>表1_8[[#This Row],[客户编号]]</f>
        <v>0</v>
      </c>
      <c r="U52" s="23" t="str">
        <f>表1_8[[#This Row],[MASTER B/L]]</f>
        <v>DJSCSHBDEE91244K</v>
      </c>
      <c r="V52" s="23">
        <f>表1_8[[#This Row],[件]]</f>
        <v>4</v>
      </c>
      <c r="W52" s="23">
        <f>表1_8[[#This Row],[毛]]</f>
        <v>2318</v>
      </c>
      <c r="X52" s="23">
        <f>表1_8[[#This Row],[体]]</f>
        <v>2.0699999999999998</v>
      </c>
      <c r="Y52" s="31" t="str">
        <f>表1_8[[#This Row],[品名]]</f>
        <v>DEEP GROOVE BALL BEARING</v>
      </c>
      <c r="Z52" s="31" t="str">
        <f>RIGHT(表1_8[[#This Row],[编]],4)</f>
        <v>1</v>
      </c>
      <c r="AA52" s="23" t="str">
        <f>表1_8[[#This Row],[箱号]]</f>
        <v>DRYU9910452</v>
      </c>
      <c r="AB52" s="25" t="str">
        <f>表1_8[[#This Row],[封号]]</f>
        <v>719023</v>
      </c>
      <c r="AC52" s="23">
        <f>表2[[#This Row],[件]]</f>
        <v>4</v>
      </c>
      <c r="AD52" s="23">
        <f>表2[[#This Row],[毛]]</f>
        <v>2318</v>
      </c>
      <c r="AE52" s="23">
        <f>表2[[#This Row],[体]]</f>
        <v>2.0699999999999998</v>
      </c>
      <c r="AG52" s="23" t="str">
        <f>表1_8[[#This Row],[HOUSE B/L]]</f>
        <v>YJCSHAN1902786</v>
      </c>
      <c r="AH52" s="23" t="str">
        <f>表1_8[[#This Row],[MASTER B/L]]</f>
        <v>DJSCSHBDEE91244K</v>
      </c>
      <c r="AI52" s="23" t="str">
        <f>"ETD"&amp;TEXT(表1_8[[#This Row],[ETD]],"mmdd")&amp;" "&amp;表1_8[[#This Row],[HOUSE B/L]]&amp;" "&amp;表1_8[[#This Row],[MASTER B/L]]&amp;" CHECK BL"</f>
        <v>ETD0326 YJCSHAN1902786 DJSCSHBDEE91244K CHECK BL</v>
      </c>
      <c r="AJ52" s="23" t="str">
        <f>"ETD"&amp;TEXT(表1_8[[#This Row],[ETD]],"mmdd")&amp;" "&amp;表1_8[[#This Row],[HOUSE B/L]]&amp;" "&amp;表1_8[[#This Row],[MASTER B/L]]&amp;" 报关单"</f>
        <v>ETD0326 YJCSHAN1902786 DJSCSHBDEE91244K 报关单</v>
      </c>
      <c r="AK52" s="23" t="str">
        <f>"ETD"&amp;TEXT(表1_8[[#This Row],[ETD]],"mmdd")&amp;" "&amp;表1_8[[#This Row],[HOUSE B/L]]&amp;" "&amp;表1_8[[#This Row],[MASTER B/L]]&amp;" 放行单"</f>
        <v>ETD0326 YJCSHAN1902786 DJSCSHBDEE91244K 放行单</v>
      </c>
      <c r="AL52" s="23" t="str">
        <f>"ETD"&amp;TEXT(表1_8[[#This Row],[ETD]],"mmdd")&amp;" "&amp;表1_8[[#This Row],[HOUSE B/L]]&amp;" "&amp;表1_8[[#This Row],[MASTER B/L]]&amp;" SURRENDERED BL"</f>
        <v>ETD0326 YJCSHAN1902786 DJSCSHBDEE91244K SURRENDERED BL</v>
      </c>
    </row>
    <row r="53" spans="2:38" hidden="1" x14ac:dyDescent="0.2">
      <c r="B53" s="22">
        <v>43550</v>
      </c>
      <c r="C53" s="23">
        <v>10</v>
      </c>
      <c r="D53" s="23" t="s">
        <v>383</v>
      </c>
      <c r="E53" s="23"/>
      <c r="F53" s="24"/>
      <c r="G53" s="24" t="s">
        <v>399</v>
      </c>
      <c r="H53" s="24" t="s">
        <v>415</v>
      </c>
      <c r="I53" s="23">
        <v>3</v>
      </c>
      <c r="J53" s="23">
        <v>1218</v>
      </c>
      <c r="K53" s="23">
        <v>1.2</v>
      </c>
      <c r="L53" s="51">
        <v>3</v>
      </c>
      <c r="M53" s="51">
        <v>1218</v>
      </c>
      <c r="N53" s="51">
        <v>1.2</v>
      </c>
      <c r="O53" s="31" t="s">
        <v>429</v>
      </c>
      <c r="P53" s="24">
        <v>2</v>
      </c>
      <c r="Q53" s="23" t="s">
        <v>459</v>
      </c>
      <c r="R53" s="25">
        <v>719026</v>
      </c>
      <c r="T53" s="23">
        <f>表1_8[[#This Row],[客户编号]]</f>
        <v>0</v>
      </c>
      <c r="U53" s="23" t="str">
        <f>表1_8[[#This Row],[MASTER B/L]]</f>
        <v>DJSCSHBDEE91244L</v>
      </c>
      <c r="V53" s="23">
        <f>表1_8[[#This Row],[件]]</f>
        <v>3</v>
      </c>
      <c r="W53" s="23">
        <f>表1_8[[#This Row],[毛]]</f>
        <v>1218</v>
      </c>
      <c r="X53" s="23">
        <f>表1_8[[#This Row],[体]]</f>
        <v>1.2</v>
      </c>
      <c r="Y53" s="31" t="str">
        <f>表1_8[[#This Row],[品名]]</f>
        <v>BEARING</v>
      </c>
      <c r="Z53" s="31" t="str">
        <f>RIGHT(表1_8[[#This Row],[编]],4)</f>
        <v>2</v>
      </c>
      <c r="AA53" s="23" t="str">
        <f>表1_8[[#This Row],[箱号]]</f>
        <v>DRYU9470646</v>
      </c>
      <c r="AB53" s="25">
        <f>表1_8[[#This Row],[封号]]</f>
        <v>719026</v>
      </c>
      <c r="AC53" s="23">
        <f>表2[[#This Row],[件]]</f>
        <v>3</v>
      </c>
      <c r="AD53" s="23">
        <f>表2[[#This Row],[毛]]</f>
        <v>1218</v>
      </c>
      <c r="AE53" s="23">
        <f>表2[[#This Row],[体]]</f>
        <v>1.2</v>
      </c>
      <c r="AG53" s="23" t="str">
        <f>表1_8[[#This Row],[HOUSE B/L]]</f>
        <v>YJCSHAN1904263</v>
      </c>
      <c r="AH53" s="23" t="str">
        <f>表1_8[[#This Row],[MASTER B/L]]</f>
        <v>DJSCSHBDEE91244L</v>
      </c>
      <c r="AI53" s="23" t="str">
        <f>"ETD"&amp;TEXT(表1_8[[#This Row],[ETD]],"mmdd")&amp;" "&amp;表1_8[[#This Row],[HOUSE B/L]]&amp;" "&amp;表1_8[[#This Row],[MASTER B/L]]&amp;" CHECK BL"</f>
        <v>ETD0326 YJCSHAN1904263 DJSCSHBDEE91244L CHECK BL</v>
      </c>
      <c r="AJ53" s="23" t="str">
        <f>"ETD"&amp;TEXT(表1_8[[#This Row],[ETD]],"mmdd")&amp;" "&amp;表1_8[[#This Row],[HOUSE B/L]]&amp;" "&amp;表1_8[[#This Row],[MASTER B/L]]&amp;" 报关单"</f>
        <v>ETD0326 YJCSHAN1904263 DJSCSHBDEE91244L 报关单</v>
      </c>
      <c r="AK53" s="23" t="str">
        <f>"ETD"&amp;TEXT(表1_8[[#This Row],[ETD]],"mmdd")&amp;" "&amp;表1_8[[#This Row],[HOUSE B/L]]&amp;" "&amp;表1_8[[#This Row],[MASTER B/L]]&amp;" 放行单"</f>
        <v>ETD0326 YJCSHAN1904263 DJSCSHBDEE91244L 放行单</v>
      </c>
      <c r="AL53" s="23" t="str">
        <f>"ETD"&amp;TEXT(表1_8[[#This Row],[ETD]],"mmdd")&amp;" "&amp;表1_8[[#This Row],[HOUSE B/L]]&amp;" "&amp;表1_8[[#This Row],[MASTER B/L]]&amp;" SURRENDERED BL"</f>
        <v>ETD0326 YJCSHAN1904263 DJSCSHBDEE91244L SURRENDERED BL</v>
      </c>
    </row>
    <row r="54" spans="2:38" ht="24" hidden="1" x14ac:dyDescent="0.2">
      <c r="B54" s="22">
        <v>43550</v>
      </c>
      <c r="C54" s="23">
        <v>11</v>
      </c>
      <c r="D54" s="23" t="s">
        <v>272</v>
      </c>
      <c r="E54" s="23">
        <v>4180</v>
      </c>
      <c r="F54" s="24"/>
      <c r="G54" s="24" t="s">
        <v>400</v>
      </c>
      <c r="H54" s="24" t="s">
        <v>416</v>
      </c>
      <c r="I54" s="23">
        <v>32</v>
      </c>
      <c r="J54" s="23">
        <v>366.26</v>
      </c>
      <c r="K54" s="23">
        <v>1.91</v>
      </c>
      <c r="L54" s="51">
        <v>32</v>
      </c>
      <c r="M54" s="51">
        <v>366.26</v>
      </c>
      <c r="N54" s="51">
        <v>1.91</v>
      </c>
      <c r="O54" s="31" t="s">
        <v>430</v>
      </c>
      <c r="P54" s="24">
        <v>2</v>
      </c>
      <c r="Q54" s="23" t="s">
        <v>459</v>
      </c>
      <c r="R54" s="25">
        <v>719026</v>
      </c>
      <c r="T54" s="23">
        <f>表1_8[[#This Row],[客户编号]]</f>
        <v>0</v>
      </c>
      <c r="U54" s="23" t="str">
        <f>表1_8[[#This Row],[MASTER B/L]]</f>
        <v>DJSCSHBDEE91244M</v>
      </c>
      <c r="V54" s="23">
        <f>表1_8[[#This Row],[件]]</f>
        <v>32</v>
      </c>
      <c r="W54" s="23">
        <f>表1_8[[#This Row],[毛]]</f>
        <v>366.26</v>
      </c>
      <c r="X54" s="23">
        <f>表1_8[[#This Row],[体]]</f>
        <v>1.91</v>
      </c>
      <c r="Y54" s="31" t="str">
        <f>表1_8[[#This Row],[品名]]</f>
        <v>LADIES WOVEN SKIRTS 
LADIES WOVEN PANTS</v>
      </c>
      <c r="Z54" s="31" t="str">
        <f>RIGHT(表1_8[[#This Row],[编]],4)</f>
        <v>2</v>
      </c>
      <c r="AA54" s="23" t="str">
        <f>表1_8[[#This Row],[箱号]]</f>
        <v>DRYU9470646</v>
      </c>
      <c r="AB54" s="25">
        <f>表1_8[[#This Row],[封号]]</f>
        <v>719026</v>
      </c>
      <c r="AC54" s="23">
        <f>表2[[#This Row],[件]]</f>
        <v>32</v>
      </c>
      <c r="AD54" s="23">
        <f>表2[[#This Row],[毛]]</f>
        <v>366.26</v>
      </c>
      <c r="AE54" s="23">
        <f>表2[[#This Row],[体]]</f>
        <v>1.91</v>
      </c>
      <c r="AG54" s="23" t="str">
        <f>表1_8[[#This Row],[HOUSE B/L]]</f>
        <v>YJCSHAN1904624</v>
      </c>
      <c r="AH54" s="23" t="str">
        <f>表1_8[[#This Row],[MASTER B/L]]</f>
        <v>DJSCSHBDEE91244M</v>
      </c>
      <c r="AI54" s="23" t="str">
        <f>"ETD"&amp;TEXT(表1_8[[#This Row],[ETD]],"mmdd")&amp;" "&amp;表1_8[[#This Row],[HOUSE B/L]]&amp;" "&amp;表1_8[[#This Row],[MASTER B/L]]&amp;" CHECK BL"</f>
        <v>ETD0326 YJCSHAN1904624 DJSCSHBDEE91244M CHECK BL</v>
      </c>
      <c r="AJ54" s="23" t="str">
        <f>"ETD"&amp;TEXT(表1_8[[#This Row],[ETD]],"mmdd")&amp;" "&amp;表1_8[[#This Row],[HOUSE B/L]]&amp;" "&amp;表1_8[[#This Row],[MASTER B/L]]&amp;" 报关单"</f>
        <v>ETD0326 YJCSHAN1904624 DJSCSHBDEE91244M 报关单</v>
      </c>
      <c r="AK54" s="23" t="str">
        <f>"ETD"&amp;TEXT(表1_8[[#This Row],[ETD]],"mmdd")&amp;" "&amp;表1_8[[#This Row],[HOUSE B/L]]&amp;" "&amp;表1_8[[#This Row],[MASTER B/L]]&amp;" 放行单"</f>
        <v>ETD0326 YJCSHAN1904624 DJSCSHBDEE91244M 放行单</v>
      </c>
      <c r="AL54" s="23" t="str">
        <f>"ETD"&amp;TEXT(表1_8[[#This Row],[ETD]],"mmdd")&amp;" "&amp;表1_8[[#This Row],[HOUSE B/L]]&amp;" "&amp;表1_8[[#This Row],[MASTER B/L]]&amp;" SURRENDERED BL"</f>
        <v>ETD0326 YJCSHAN1904624 DJSCSHBDEE91244M SURRENDERED BL</v>
      </c>
    </row>
    <row r="55" spans="2:38" ht="24" hidden="1" x14ac:dyDescent="0.2">
      <c r="B55" s="22">
        <v>43550</v>
      </c>
      <c r="C55" s="23">
        <v>12</v>
      </c>
      <c r="D55" s="23" t="s">
        <v>384</v>
      </c>
      <c r="E55" s="23"/>
      <c r="F55" s="24"/>
      <c r="G55" s="24" t="s">
        <v>401</v>
      </c>
      <c r="H55" s="24" t="s">
        <v>417</v>
      </c>
      <c r="I55" s="23">
        <v>2</v>
      </c>
      <c r="J55" s="23">
        <v>310.39999999999998</v>
      </c>
      <c r="K55" s="23">
        <v>1.92</v>
      </c>
      <c r="L55" s="51">
        <v>2</v>
      </c>
      <c r="M55" s="51">
        <v>310.39999999999998</v>
      </c>
      <c r="N55" s="51">
        <v>1.92</v>
      </c>
      <c r="O55" s="31" t="s">
        <v>431</v>
      </c>
      <c r="P55" s="24">
        <v>2</v>
      </c>
      <c r="Q55" s="23" t="s">
        <v>459</v>
      </c>
      <c r="R55" s="25">
        <v>719026</v>
      </c>
      <c r="T55" s="23">
        <f>表1_8[[#This Row],[客户编号]]</f>
        <v>0</v>
      </c>
      <c r="U55" s="23" t="str">
        <f>表1_8[[#This Row],[MASTER B/L]]</f>
        <v>DJSCSHBDEE91244N</v>
      </c>
      <c r="V55" s="23">
        <f>表1_8[[#This Row],[件]]</f>
        <v>2</v>
      </c>
      <c r="W55" s="23">
        <f>表1_8[[#This Row],[毛]]</f>
        <v>310.39999999999998</v>
      </c>
      <c r="X55" s="23">
        <f>表1_8[[#This Row],[体]]</f>
        <v>1.92</v>
      </c>
      <c r="Y55" s="31" t="str">
        <f>表1_8[[#This Row],[品名]]</f>
        <v>HECU REPAIR KIT MK70 ABS
HECU REPAIR KIT MK70M ABS</v>
      </c>
      <c r="Z55" s="31" t="str">
        <f>RIGHT(表1_8[[#This Row],[编]],4)</f>
        <v>2</v>
      </c>
      <c r="AA55" s="23" t="str">
        <f>表1_8[[#This Row],[箱号]]</f>
        <v>DRYU9470646</v>
      </c>
      <c r="AB55" s="25">
        <f>表1_8[[#This Row],[封号]]</f>
        <v>719026</v>
      </c>
      <c r="AC55" s="23">
        <f>表2[[#This Row],[件]]</f>
        <v>2</v>
      </c>
      <c r="AD55" s="23">
        <f>表2[[#This Row],[毛]]</f>
        <v>310.39999999999998</v>
      </c>
      <c r="AE55" s="23">
        <f>表2[[#This Row],[体]]</f>
        <v>1.92</v>
      </c>
      <c r="AG55" s="23" t="str">
        <f>表1_8[[#This Row],[HOUSE B/L]]</f>
        <v>YJCSHAN1904628</v>
      </c>
      <c r="AH55" s="23" t="str">
        <f>表1_8[[#This Row],[MASTER B/L]]</f>
        <v>DJSCSHBDEE91244N</v>
      </c>
      <c r="AI55" s="23" t="str">
        <f>"ETD"&amp;TEXT(表1_8[[#This Row],[ETD]],"mmdd")&amp;" "&amp;表1_8[[#This Row],[HOUSE B/L]]&amp;" "&amp;表1_8[[#This Row],[MASTER B/L]]&amp;" CHECK BL"</f>
        <v>ETD0326 YJCSHAN1904628 DJSCSHBDEE91244N CHECK BL</v>
      </c>
      <c r="AJ55" s="23" t="str">
        <f>"ETD"&amp;TEXT(表1_8[[#This Row],[ETD]],"mmdd")&amp;" "&amp;表1_8[[#This Row],[HOUSE B/L]]&amp;" "&amp;表1_8[[#This Row],[MASTER B/L]]&amp;" 报关单"</f>
        <v>ETD0326 YJCSHAN1904628 DJSCSHBDEE91244N 报关单</v>
      </c>
      <c r="AK55" s="23" t="str">
        <f>"ETD"&amp;TEXT(表1_8[[#This Row],[ETD]],"mmdd")&amp;" "&amp;表1_8[[#This Row],[HOUSE B/L]]&amp;" "&amp;表1_8[[#This Row],[MASTER B/L]]&amp;" 放行单"</f>
        <v>ETD0326 YJCSHAN1904628 DJSCSHBDEE91244N 放行单</v>
      </c>
      <c r="AL55" s="23" t="str">
        <f>"ETD"&amp;TEXT(表1_8[[#This Row],[ETD]],"mmdd")&amp;" "&amp;表1_8[[#This Row],[HOUSE B/L]]&amp;" "&amp;表1_8[[#This Row],[MASTER B/L]]&amp;" SURRENDERED BL"</f>
        <v>ETD0326 YJCSHAN1904628 DJSCSHBDEE91244N SURRENDERED BL</v>
      </c>
    </row>
    <row r="56" spans="2:38" hidden="1" x14ac:dyDescent="0.2">
      <c r="B56" s="22">
        <v>43550</v>
      </c>
      <c r="C56" s="23">
        <v>14</v>
      </c>
      <c r="D56" s="23" t="s">
        <v>385</v>
      </c>
      <c r="E56" s="23"/>
      <c r="F56" s="24"/>
      <c r="G56" s="24" t="s">
        <v>402</v>
      </c>
      <c r="H56" s="24" t="s">
        <v>418</v>
      </c>
      <c r="I56" s="23">
        <v>1</v>
      </c>
      <c r="J56" s="23">
        <v>19.78</v>
      </c>
      <c r="K56" s="23">
        <v>0.02</v>
      </c>
      <c r="L56" s="51">
        <v>1</v>
      </c>
      <c r="M56" s="51">
        <v>19.78</v>
      </c>
      <c r="N56" s="51">
        <v>0.02</v>
      </c>
      <c r="O56" s="31" t="s">
        <v>432</v>
      </c>
      <c r="P56" s="24">
        <v>2</v>
      </c>
      <c r="Q56" s="23" t="s">
        <v>459</v>
      </c>
      <c r="R56" s="25">
        <v>719026</v>
      </c>
      <c r="T56" s="23">
        <f>表1_8[[#This Row],[客户编号]]</f>
        <v>0</v>
      </c>
      <c r="U56" s="23" t="str">
        <f>表1_8[[#This Row],[MASTER B/L]]</f>
        <v>DJSCSHBDEE91244Q</v>
      </c>
      <c r="V56" s="23">
        <f>表1_8[[#This Row],[件]]</f>
        <v>1</v>
      </c>
      <c r="W56" s="23">
        <f>表1_8[[#This Row],[毛]]</f>
        <v>19.78</v>
      </c>
      <c r="X56" s="23">
        <f>表1_8[[#This Row],[体]]</f>
        <v>0.02</v>
      </c>
      <c r="Y56" s="31" t="str">
        <f>表1_8[[#This Row],[品名]]</f>
        <v>BRACKET-STAND BOTTOM FRONT</v>
      </c>
      <c r="Z56" s="31" t="str">
        <f>RIGHT(表1_8[[#This Row],[编]],4)</f>
        <v>2</v>
      </c>
      <c r="AA56" s="23" t="str">
        <f>表1_8[[#This Row],[箱号]]</f>
        <v>DRYU9470646</v>
      </c>
      <c r="AB56" s="25">
        <f>表1_8[[#This Row],[封号]]</f>
        <v>719026</v>
      </c>
      <c r="AC56" s="23">
        <f>表2[[#This Row],[件]]</f>
        <v>1</v>
      </c>
      <c r="AD56" s="23">
        <f>表2[[#This Row],[毛]]</f>
        <v>19.78</v>
      </c>
      <c r="AE56" s="23">
        <f>表2[[#This Row],[体]]</f>
        <v>0.02</v>
      </c>
      <c r="AG56" s="23" t="str">
        <f>表1_8[[#This Row],[HOUSE B/L]]</f>
        <v>YJCSHAN1904637</v>
      </c>
      <c r="AH56" s="23" t="str">
        <f>表1_8[[#This Row],[MASTER B/L]]</f>
        <v>DJSCSHBDEE91244Q</v>
      </c>
      <c r="AI56" s="23" t="str">
        <f>"ETD"&amp;TEXT(表1_8[[#This Row],[ETD]],"mmdd")&amp;" "&amp;表1_8[[#This Row],[HOUSE B/L]]&amp;" "&amp;表1_8[[#This Row],[MASTER B/L]]&amp;" CHECK BL"</f>
        <v>ETD0326 YJCSHAN1904637 DJSCSHBDEE91244Q CHECK BL</v>
      </c>
      <c r="AJ56" s="23" t="str">
        <f>"ETD"&amp;TEXT(表1_8[[#This Row],[ETD]],"mmdd")&amp;" "&amp;表1_8[[#This Row],[HOUSE B/L]]&amp;" "&amp;表1_8[[#This Row],[MASTER B/L]]&amp;" 报关单"</f>
        <v>ETD0326 YJCSHAN1904637 DJSCSHBDEE91244Q 报关单</v>
      </c>
      <c r="AK56" s="23" t="str">
        <f>"ETD"&amp;TEXT(表1_8[[#This Row],[ETD]],"mmdd")&amp;" "&amp;表1_8[[#This Row],[HOUSE B/L]]&amp;" "&amp;表1_8[[#This Row],[MASTER B/L]]&amp;" 放行单"</f>
        <v>ETD0326 YJCSHAN1904637 DJSCSHBDEE91244Q 放行单</v>
      </c>
      <c r="AL56" s="23" t="str">
        <f>"ETD"&amp;TEXT(表1_8[[#This Row],[ETD]],"mmdd")&amp;" "&amp;表1_8[[#This Row],[HOUSE B/L]]&amp;" "&amp;表1_8[[#This Row],[MASTER B/L]]&amp;" SURRENDERED BL"</f>
        <v>ETD0326 YJCSHAN1904637 DJSCSHBDEE91244Q SURRENDERED BL</v>
      </c>
    </row>
    <row r="57" spans="2:38" ht="36" hidden="1" x14ac:dyDescent="0.2">
      <c r="B57" s="22">
        <v>43550</v>
      </c>
      <c r="C57" s="23">
        <v>15</v>
      </c>
      <c r="D57" s="23" t="s">
        <v>386</v>
      </c>
      <c r="E57" s="23"/>
      <c r="F57" s="24"/>
      <c r="G57" s="24" t="s">
        <v>403</v>
      </c>
      <c r="H57" s="24" t="s">
        <v>419</v>
      </c>
      <c r="I57" s="23">
        <v>1</v>
      </c>
      <c r="J57" s="23">
        <v>47.5</v>
      </c>
      <c r="K57" s="23">
        <v>0.66</v>
      </c>
      <c r="L57" s="51">
        <v>1</v>
      </c>
      <c r="M57" s="51">
        <v>47.5</v>
      </c>
      <c r="N57" s="51">
        <v>0.66</v>
      </c>
      <c r="O57" s="31" t="s">
        <v>461</v>
      </c>
      <c r="P57" s="24">
        <v>1</v>
      </c>
      <c r="Q57" s="23" t="s">
        <v>454</v>
      </c>
      <c r="R57" s="25" t="s">
        <v>455</v>
      </c>
      <c r="T57" s="23">
        <f>表1_8[[#This Row],[客户编号]]</f>
        <v>0</v>
      </c>
      <c r="U57" s="23" t="str">
        <f>表1_8[[#This Row],[MASTER B/L]]</f>
        <v>DJSCSHBDEE91244R</v>
      </c>
      <c r="V57" s="23">
        <f>表1_8[[#This Row],[件]]</f>
        <v>1</v>
      </c>
      <c r="W57" s="23">
        <f>表1_8[[#This Row],[毛]]</f>
        <v>47.5</v>
      </c>
      <c r="X57" s="23">
        <f>表1_8[[#This Row],[体]]</f>
        <v>0.66</v>
      </c>
      <c r="Y57" s="31" t="str">
        <f>表1_8[[#This Row],[品名]]</f>
        <v>CMFB EPB ECU
BAF &amp; CAF PP</v>
      </c>
      <c r="Z57" s="31" t="str">
        <f>RIGHT(表1_8[[#This Row],[编]],4)</f>
        <v>1</v>
      </c>
      <c r="AA57" s="23" t="str">
        <f>表1_8[[#This Row],[箱号]]</f>
        <v>DRYU9910452</v>
      </c>
      <c r="AB57" s="25" t="str">
        <f>表1_8[[#This Row],[封号]]</f>
        <v>719023</v>
      </c>
      <c r="AC57" s="23">
        <f>表2[[#This Row],[件]]</f>
        <v>1</v>
      </c>
      <c r="AD57" s="23">
        <f>表2[[#This Row],[毛]]</f>
        <v>47.5</v>
      </c>
      <c r="AE57" s="23">
        <f>表2[[#This Row],[体]]</f>
        <v>0.66</v>
      </c>
      <c r="AG57" s="23" t="str">
        <f>表1_8[[#This Row],[HOUSE B/L]]</f>
        <v>YJCSHAN1904639</v>
      </c>
      <c r="AH57" s="23" t="str">
        <f>表1_8[[#This Row],[MASTER B/L]]</f>
        <v>DJSCSHBDEE91244R</v>
      </c>
      <c r="AI57" s="23" t="str">
        <f>"ETD"&amp;TEXT(表1_8[[#This Row],[ETD]],"mmdd")&amp;" "&amp;表1_8[[#This Row],[HOUSE B/L]]&amp;" "&amp;表1_8[[#This Row],[MASTER B/L]]&amp;" CHECK BL"</f>
        <v>ETD0326 YJCSHAN1904639 DJSCSHBDEE91244R CHECK BL</v>
      </c>
      <c r="AJ57" s="23" t="str">
        <f>"ETD"&amp;TEXT(表1_8[[#This Row],[ETD]],"mmdd")&amp;" "&amp;表1_8[[#This Row],[HOUSE B/L]]&amp;" "&amp;表1_8[[#This Row],[MASTER B/L]]&amp;" 报关单"</f>
        <v>ETD0326 YJCSHAN1904639 DJSCSHBDEE91244R 报关单</v>
      </c>
      <c r="AK57" s="23" t="str">
        <f>"ETD"&amp;TEXT(表1_8[[#This Row],[ETD]],"mmdd")&amp;" "&amp;表1_8[[#This Row],[HOUSE B/L]]&amp;" "&amp;表1_8[[#This Row],[MASTER B/L]]&amp;" 放行单"</f>
        <v>ETD0326 YJCSHAN1904639 DJSCSHBDEE91244R 放行单</v>
      </c>
      <c r="AL57" s="23" t="str">
        <f>"ETD"&amp;TEXT(表1_8[[#This Row],[ETD]],"mmdd")&amp;" "&amp;表1_8[[#This Row],[HOUSE B/L]]&amp;" "&amp;表1_8[[#This Row],[MASTER B/L]]&amp;" SURRENDERED BL"</f>
        <v>ETD0326 YJCSHAN1904639 DJSCSHBDEE91244R SURRENDERED BL</v>
      </c>
    </row>
    <row r="58" spans="2:38" ht="72" hidden="1" x14ac:dyDescent="0.2">
      <c r="B58" s="22">
        <v>43550</v>
      </c>
      <c r="C58" s="23">
        <v>16</v>
      </c>
      <c r="D58" s="23" t="s">
        <v>387</v>
      </c>
      <c r="E58" s="23"/>
      <c r="F58" s="24"/>
      <c r="G58" s="24" t="s">
        <v>404</v>
      </c>
      <c r="H58" s="24" t="s">
        <v>420</v>
      </c>
      <c r="I58" s="23">
        <v>12</v>
      </c>
      <c r="J58" s="23">
        <v>80.900000000000006</v>
      </c>
      <c r="K58" s="23">
        <v>1.07</v>
      </c>
      <c r="L58" s="51">
        <v>12</v>
      </c>
      <c r="M58" s="51">
        <v>80.900000000000006</v>
      </c>
      <c r="N58" s="51">
        <v>1.07</v>
      </c>
      <c r="O58" s="31" t="s">
        <v>433</v>
      </c>
      <c r="P58" s="24">
        <v>2</v>
      </c>
      <c r="Q58" s="23" t="s">
        <v>459</v>
      </c>
      <c r="R58" s="25">
        <v>719026</v>
      </c>
      <c r="T58" s="23">
        <f>表1_8[[#This Row],[客户编号]]</f>
        <v>0</v>
      </c>
      <c r="U58" s="23" t="str">
        <f>表1_8[[#This Row],[MASTER B/L]]</f>
        <v>DJSCSHBDEE91244S</v>
      </c>
      <c r="V58" s="23">
        <f>表1_8[[#This Row],[件]]</f>
        <v>12</v>
      </c>
      <c r="W58" s="23">
        <f>表1_8[[#This Row],[毛]]</f>
        <v>80.900000000000006</v>
      </c>
      <c r="X58" s="23">
        <f>表1_8[[#This Row],[体]]</f>
        <v>1.07</v>
      </c>
      <c r="Y58" s="31" t="str">
        <f>表1_8[[#This Row],[品名]]</f>
        <v>STRIP-SEAL, FR RH DOOR
STRIP-SEAL, FR LH DOOR
STRIP-SEAL, RR RH DOOR
STRIP-SEAL, RR LH DOOR
FOAM-SEAL, COWL TOP
COVER-RH FDR</v>
      </c>
      <c r="Z58" s="31" t="str">
        <f>RIGHT(表1_8[[#This Row],[编]],4)</f>
        <v>2</v>
      </c>
      <c r="AA58" s="23" t="str">
        <f>表1_8[[#This Row],[箱号]]</f>
        <v>DRYU9470646</v>
      </c>
      <c r="AB58" s="25">
        <f>表1_8[[#This Row],[封号]]</f>
        <v>719026</v>
      </c>
      <c r="AC58" s="23">
        <f>表2[[#This Row],[件]]</f>
        <v>12</v>
      </c>
      <c r="AD58" s="23">
        <f>表2[[#This Row],[毛]]</f>
        <v>80.900000000000006</v>
      </c>
      <c r="AE58" s="23">
        <f>表2[[#This Row],[体]]</f>
        <v>1.07</v>
      </c>
      <c r="AG58" s="23" t="str">
        <f>表1_8[[#This Row],[HOUSE B/L]]</f>
        <v>YJCSHAN1904640</v>
      </c>
      <c r="AH58" s="23" t="str">
        <f>表1_8[[#This Row],[MASTER B/L]]</f>
        <v>DJSCSHBDEE91244S</v>
      </c>
      <c r="AI58" s="23" t="str">
        <f>"ETD"&amp;TEXT(表1_8[[#This Row],[ETD]],"mmdd")&amp;" "&amp;表1_8[[#This Row],[HOUSE B/L]]&amp;" "&amp;表1_8[[#This Row],[MASTER B/L]]&amp;" CHECK BL"</f>
        <v>ETD0326 YJCSHAN1904640 DJSCSHBDEE91244S CHECK BL</v>
      </c>
      <c r="AJ58" s="23" t="str">
        <f>"ETD"&amp;TEXT(表1_8[[#This Row],[ETD]],"mmdd")&amp;" "&amp;表1_8[[#This Row],[HOUSE B/L]]&amp;" "&amp;表1_8[[#This Row],[MASTER B/L]]&amp;" 报关单"</f>
        <v>ETD0326 YJCSHAN1904640 DJSCSHBDEE91244S 报关单</v>
      </c>
      <c r="AK58" s="23" t="str">
        <f>"ETD"&amp;TEXT(表1_8[[#This Row],[ETD]],"mmdd")&amp;" "&amp;表1_8[[#This Row],[HOUSE B/L]]&amp;" "&amp;表1_8[[#This Row],[MASTER B/L]]&amp;" 放行单"</f>
        <v>ETD0326 YJCSHAN1904640 DJSCSHBDEE91244S 放行单</v>
      </c>
      <c r="AL58" s="23" t="str">
        <f>"ETD"&amp;TEXT(表1_8[[#This Row],[ETD]],"mmdd")&amp;" "&amp;表1_8[[#This Row],[HOUSE B/L]]&amp;" "&amp;表1_8[[#This Row],[MASTER B/L]]&amp;" SURRENDERED BL"</f>
        <v>ETD0326 YJCSHAN1904640 DJSCSHBDEE91244S SURRENDERED BL</v>
      </c>
    </row>
    <row r="59" spans="2:38" hidden="1" x14ac:dyDescent="0.2">
      <c r="B59" s="22">
        <v>43550</v>
      </c>
      <c r="C59" s="23">
        <v>17</v>
      </c>
      <c r="D59" s="23" t="s">
        <v>388</v>
      </c>
      <c r="E59" s="23"/>
      <c r="F59" s="24"/>
      <c r="G59" s="24" t="s">
        <v>405</v>
      </c>
      <c r="H59" s="24" t="s">
        <v>421</v>
      </c>
      <c r="I59" s="23">
        <v>3</v>
      </c>
      <c r="J59" s="23">
        <v>840</v>
      </c>
      <c r="K59" s="23">
        <v>4.29</v>
      </c>
      <c r="L59" s="51">
        <v>3</v>
      </c>
      <c r="M59" s="51">
        <v>840</v>
      </c>
      <c r="N59" s="51">
        <v>4.29</v>
      </c>
      <c r="O59" s="31" t="s">
        <v>434</v>
      </c>
      <c r="P59" s="24">
        <v>2</v>
      </c>
      <c r="Q59" s="23" t="s">
        <v>459</v>
      </c>
      <c r="R59" s="25">
        <v>719026</v>
      </c>
      <c r="T59" s="23">
        <f>表1_8[[#This Row],[客户编号]]</f>
        <v>0</v>
      </c>
      <c r="U59" s="23" t="str">
        <f>表1_8[[#This Row],[MASTER B/L]]</f>
        <v>DJSCSHBDEE91244T</v>
      </c>
      <c r="V59" s="23">
        <f>表1_8[[#This Row],[件]]</f>
        <v>3</v>
      </c>
      <c r="W59" s="23">
        <f>表1_8[[#This Row],[毛]]</f>
        <v>840</v>
      </c>
      <c r="X59" s="23">
        <f>表1_8[[#This Row],[体]]</f>
        <v>4.29</v>
      </c>
      <c r="Y59" s="31" t="str">
        <f>表1_8[[#This Row],[品名]]</f>
        <v>CEPS RENAULT LJH CE1 BL2 LHD</v>
      </c>
      <c r="Z59" s="31" t="str">
        <f>RIGHT(表1_8[[#This Row],[编]],4)</f>
        <v>2</v>
      </c>
      <c r="AA59" s="23" t="str">
        <f>表1_8[[#This Row],[箱号]]</f>
        <v>DRYU9470646</v>
      </c>
      <c r="AB59" s="25">
        <f>表1_8[[#This Row],[封号]]</f>
        <v>719026</v>
      </c>
      <c r="AC59" s="23">
        <f>表2[[#This Row],[件]]</f>
        <v>3</v>
      </c>
      <c r="AD59" s="23">
        <f>表2[[#This Row],[毛]]</f>
        <v>840</v>
      </c>
      <c r="AE59" s="23">
        <f>表2[[#This Row],[体]]</f>
        <v>4.29</v>
      </c>
      <c r="AG59" s="23" t="str">
        <f>表1_8[[#This Row],[HOUSE B/L]]</f>
        <v>YJCSHAN1904656</v>
      </c>
      <c r="AH59" s="23" t="str">
        <f>表1_8[[#This Row],[MASTER B/L]]</f>
        <v>DJSCSHBDEE91244T</v>
      </c>
      <c r="AI59" s="23" t="str">
        <f>"ETD"&amp;TEXT(表1_8[[#This Row],[ETD]],"mmdd")&amp;" "&amp;表1_8[[#This Row],[HOUSE B/L]]&amp;" "&amp;表1_8[[#This Row],[MASTER B/L]]&amp;" CHECK BL"</f>
        <v>ETD0326 YJCSHAN1904656 DJSCSHBDEE91244T CHECK BL</v>
      </c>
      <c r="AJ59" s="23" t="str">
        <f>"ETD"&amp;TEXT(表1_8[[#This Row],[ETD]],"mmdd")&amp;" "&amp;表1_8[[#This Row],[HOUSE B/L]]&amp;" "&amp;表1_8[[#This Row],[MASTER B/L]]&amp;" 报关单"</f>
        <v>ETD0326 YJCSHAN1904656 DJSCSHBDEE91244T 报关单</v>
      </c>
      <c r="AK59" s="23" t="str">
        <f>"ETD"&amp;TEXT(表1_8[[#This Row],[ETD]],"mmdd")&amp;" "&amp;表1_8[[#This Row],[HOUSE B/L]]&amp;" "&amp;表1_8[[#This Row],[MASTER B/L]]&amp;" 放行单"</f>
        <v>ETD0326 YJCSHAN1904656 DJSCSHBDEE91244T 放行单</v>
      </c>
      <c r="AL59" s="23" t="str">
        <f>"ETD"&amp;TEXT(表1_8[[#This Row],[ETD]],"mmdd")&amp;" "&amp;表1_8[[#This Row],[HOUSE B/L]]&amp;" "&amp;表1_8[[#This Row],[MASTER B/L]]&amp;" SURRENDERED BL"</f>
        <v>ETD0326 YJCSHAN1904656 DJSCSHBDEE91244T SURRENDERED BL</v>
      </c>
    </row>
    <row r="60" spans="2:38" hidden="1" x14ac:dyDescent="0.2">
      <c r="B60" s="22">
        <v>43550</v>
      </c>
      <c r="C60" s="23">
        <v>18</v>
      </c>
      <c r="D60" s="23" t="s">
        <v>389</v>
      </c>
      <c r="E60" s="23"/>
      <c r="F60" s="24"/>
      <c r="G60" s="24" t="s">
        <v>406</v>
      </c>
      <c r="H60" s="24" t="s">
        <v>422</v>
      </c>
      <c r="I60" s="23">
        <v>84</v>
      </c>
      <c r="J60" s="23">
        <v>1153.0899999999999</v>
      </c>
      <c r="K60" s="23">
        <v>3.28</v>
      </c>
      <c r="L60" s="51">
        <v>84</v>
      </c>
      <c r="M60" s="51">
        <v>1153.0899999999999</v>
      </c>
      <c r="N60" s="51">
        <v>3.28</v>
      </c>
      <c r="O60" s="31" t="s">
        <v>435</v>
      </c>
      <c r="P60" s="24">
        <v>2</v>
      </c>
      <c r="Q60" s="23" t="s">
        <v>459</v>
      </c>
      <c r="R60" s="25">
        <v>719026</v>
      </c>
      <c r="T60" s="23">
        <f>表1_8[[#This Row],[客户编号]]</f>
        <v>0</v>
      </c>
      <c r="U60" s="23" t="str">
        <f>表1_8[[#This Row],[MASTER B/L]]</f>
        <v>DJSCSHBDEE91244U</v>
      </c>
      <c r="V60" s="23">
        <f>表1_8[[#This Row],[件]]</f>
        <v>84</v>
      </c>
      <c r="W60" s="23">
        <f>表1_8[[#This Row],[毛]]</f>
        <v>1153.0899999999999</v>
      </c>
      <c r="X60" s="23">
        <f>表1_8[[#This Row],[体]]</f>
        <v>3.28</v>
      </c>
      <c r="Y60" s="31" t="str">
        <f>表1_8[[#This Row],[品名]]</f>
        <v>POWER SUPPLY CORD SETS</v>
      </c>
      <c r="Z60" s="31" t="str">
        <f>RIGHT(表1_8[[#This Row],[编]],4)</f>
        <v>2</v>
      </c>
      <c r="AA60" s="23" t="str">
        <f>表1_8[[#This Row],[箱号]]</f>
        <v>DRYU9470646</v>
      </c>
      <c r="AB60" s="25">
        <f>表1_8[[#This Row],[封号]]</f>
        <v>719026</v>
      </c>
      <c r="AC60" s="23">
        <f>表2[[#This Row],[件]]</f>
        <v>84</v>
      </c>
      <c r="AD60" s="23">
        <f>表2[[#This Row],[毛]]</f>
        <v>1153.0899999999999</v>
      </c>
      <c r="AE60" s="23">
        <f>表2[[#This Row],[体]]</f>
        <v>3.28</v>
      </c>
      <c r="AG60" s="23" t="str">
        <f>表1_8[[#This Row],[HOUSE B/L]]</f>
        <v>YJCSHAN1904660</v>
      </c>
      <c r="AH60" s="23" t="str">
        <f>表1_8[[#This Row],[MASTER B/L]]</f>
        <v>DJSCSHBDEE91244U</v>
      </c>
      <c r="AI60" s="23" t="str">
        <f>"ETD"&amp;TEXT(表1_8[[#This Row],[ETD]],"mmdd")&amp;" "&amp;表1_8[[#This Row],[HOUSE B/L]]&amp;" "&amp;表1_8[[#This Row],[MASTER B/L]]&amp;" CHECK BL"</f>
        <v>ETD0326 YJCSHAN1904660 DJSCSHBDEE91244U CHECK BL</v>
      </c>
      <c r="AJ60" s="23" t="str">
        <f>"ETD"&amp;TEXT(表1_8[[#This Row],[ETD]],"mmdd")&amp;" "&amp;表1_8[[#This Row],[HOUSE B/L]]&amp;" "&amp;表1_8[[#This Row],[MASTER B/L]]&amp;" 报关单"</f>
        <v>ETD0326 YJCSHAN1904660 DJSCSHBDEE91244U 报关单</v>
      </c>
      <c r="AK60" s="23" t="str">
        <f>"ETD"&amp;TEXT(表1_8[[#This Row],[ETD]],"mmdd")&amp;" "&amp;表1_8[[#This Row],[HOUSE B/L]]&amp;" "&amp;表1_8[[#This Row],[MASTER B/L]]&amp;" 放行单"</f>
        <v>ETD0326 YJCSHAN1904660 DJSCSHBDEE91244U 放行单</v>
      </c>
      <c r="AL60" s="23" t="str">
        <f>"ETD"&amp;TEXT(表1_8[[#This Row],[ETD]],"mmdd")&amp;" "&amp;表1_8[[#This Row],[HOUSE B/L]]&amp;" "&amp;表1_8[[#This Row],[MASTER B/L]]&amp;" SURRENDERED BL"</f>
        <v>ETD0326 YJCSHAN1904660 DJSCSHBDEE91244U SURRENDERED BL</v>
      </c>
    </row>
    <row r="61" spans="2:38" ht="36" hidden="1" x14ac:dyDescent="0.2">
      <c r="B61" s="22">
        <v>43550</v>
      </c>
      <c r="C61" s="23">
        <v>19</v>
      </c>
      <c r="D61" s="23" t="s">
        <v>390</v>
      </c>
      <c r="E61" s="23"/>
      <c r="F61" s="24"/>
      <c r="G61" s="24" t="s">
        <v>407</v>
      </c>
      <c r="H61" s="24" t="s">
        <v>423</v>
      </c>
      <c r="I61" s="23">
        <v>1</v>
      </c>
      <c r="J61" s="23">
        <v>526</v>
      </c>
      <c r="K61" s="23">
        <v>1.19</v>
      </c>
      <c r="L61" s="51">
        <v>1</v>
      </c>
      <c r="M61" s="51">
        <v>526</v>
      </c>
      <c r="N61" s="51">
        <v>1.19</v>
      </c>
      <c r="O61" s="31" t="s">
        <v>462</v>
      </c>
      <c r="P61" s="24">
        <v>2</v>
      </c>
      <c r="Q61" s="23" t="s">
        <v>459</v>
      </c>
      <c r="R61" s="25">
        <v>719026</v>
      </c>
      <c r="T61" s="23">
        <f>表1_8[[#This Row],[客户编号]]</f>
        <v>0</v>
      </c>
      <c r="U61" s="23" t="str">
        <f>表1_8[[#This Row],[MASTER B/L]]</f>
        <v>DJSCSHBDEE91244V</v>
      </c>
      <c r="V61" s="23">
        <f>表1_8[[#This Row],[件]]</f>
        <v>1</v>
      </c>
      <c r="W61" s="23">
        <f>表1_8[[#This Row],[毛]]</f>
        <v>526</v>
      </c>
      <c r="X61" s="23">
        <f>表1_8[[#This Row],[体]]</f>
        <v>1.19</v>
      </c>
      <c r="Y61" s="31" t="str">
        <f>表1_8[[#This Row],[品名]]</f>
        <v>MOTOR
BAF &amp; CAF PP</v>
      </c>
      <c r="Z61" s="31" t="str">
        <f>RIGHT(表1_8[[#This Row],[编]],4)</f>
        <v>2</v>
      </c>
      <c r="AA61" s="23" t="str">
        <f>表1_8[[#This Row],[箱号]]</f>
        <v>DRYU9470646</v>
      </c>
      <c r="AB61" s="25">
        <f>表1_8[[#This Row],[封号]]</f>
        <v>719026</v>
      </c>
      <c r="AC61" s="23">
        <f>表2[[#This Row],[件]]</f>
        <v>1</v>
      </c>
      <c r="AD61" s="23">
        <f>表2[[#This Row],[毛]]</f>
        <v>526</v>
      </c>
      <c r="AE61" s="23">
        <f>表2[[#This Row],[体]]</f>
        <v>1.19</v>
      </c>
      <c r="AG61" s="23" t="str">
        <f>表1_8[[#This Row],[HOUSE B/L]]</f>
        <v>YJCSHAN1903891</v>
      </c>
      <c r="AH61" s="23" t="str">
        <f>表1_8[[#This Row],[MASTER B/L]]</f>
        <v>DJSCSHBDEE91244V</v>
      </c>
      <c r="AI61" s="23" t="str">
        <f>"ETD"&amp;TEXT(表1_8[[#This Row],[ETD]],"mmdd")&amp;" "&amp;表1_8[[#This Row],[HOUSE B/L]]&amp;" "&amp;表1_8[[#This Row],[MASTER B/L]]&amp;" CHECK BL"</f>
        <v>ETD0326 YJCSHAN1903891 DJSCSHBDEE91244V CHECK BL</v>
      </c>
      <c r="AJ61" s="23" t="str">
        <f>"ETD"&amp;TEXT(表1_8[[#This Row],[ETD]],"mmdd")&amp;" "&amp;表1_8[[#This Row],[HOUSE B/L]]&amp;" "&amp;表1_8[[#This Row],[MASTER B/L]]&amp;" 报关单"</f>
        <v>ETD0326 YJCSHAN1903891 DJSCSHBDEE91244V 报关单</v>
      </c>
      <c r="AK61" s="23" t="str">
        <f>"ETD"&amp;TEXT(表1_8[[#This Row],[ETD]],"mmdd")&amp;" "&amp;表1_8[[#This Row],[HOUSE B/L]]&amp;" "&amp;表1_8[[#This Row],[MASTER B/L]]&amp;" 放行单"</f>
        <v>ETD0326 YJCSHAN1903891 DJSCSHBDEE91244V 放行单</v>
      </c>
      <c r="AL61" s="23" t="str">
        <f>"ETD"&amp;TEXT(表1_8[[#This Row],[ETD]],"mmdd")&amp;" "&amp;表1_8[[#This Row],[HOUSE B/L]]&amp;" "&amp;表1_8[[#This Row],[MASTER B/L]]&amp;" SURRENDERED BL"</f>
        <v>ETD0326 YJCSHAN1903891 DJSCSHBDEE91244V SURRENDERED BL</v>
      </c>
    </row>
    <row r="62" spans="2:38" hidden="1" x14ac:dyDescent="0.2">
      <c r="B62" s="22">
        <v>43552</v>
      </c>
      <c r="C62" s="23">
        <v>1</v>
      </c>
      <c r="D62" s="23" t="s">
        <v>533</v>
      </c>
      <c r="E62" s="23"/>
      <c r="F62" s="32"/>
      <c r="G62" s="32" t="s">
        <v>552</v>
      </c>
      <c r="H62" s="24" t="s">
        <v>580</v>
      </c>
      <c r="I62" s="23">
        <v>4</v>
      </c>
      <c r="J62" s="23">
        <v>469.88</v>
      </c>
      <c r="K62" s="23">
        <v>4</v>
      </c>
      <c r="L62" s="51">
        <v>4</v>
      </c>
      <c r="M62" s="51">
        <v>469.88</v>
      </c>
      <c r="N62" s="51">
        <v>4</v>
      </c>
      <c r="O62" s="31" t="s">
        <v>608</v>
      </c>
      <c r="P62" s="24"/>
      <c r="Q62" s="23" t="s">
        <v>645</v>
      </c>
      <c r="R62" s="25">
        <v>719113</v>
      </c>
      <c r="T62" s="23">
        <f>表1_8[[#This Row],[客户编号]]</f>
        <v>0</v>
      </c>
      <c r="U62" s="23" t="str">
        <f>表1_8[[#This Row],[MASTER B/L]]</f>
        <v>DJSCSHBMSE90744A</v>
      </c>
      <c r="V62" s="23">
        <f>表1_8[[#This Row],[件]]</f>
        <v>4</v>
      </c>
      <c r="W62" s="23">
        <f>表1_8[[#This Row],[毛]]</f>
        <v>469.88</v>
      </c>
      <c r="X62" s="23">
        <f>表1_8[[#This Row],[体]]</f>
        <v>4</v>
      </c>
      <c r="Y62" s="31" t="str">
        <f>表1_8[[#This Row],[品名]]</f>
        <v>PARTS FOR SPEAKER</v>
      </c>
      <c r="Z62" s="31" t="str">
        <f>RIGHT(表1_8[[#This Row],[编]],4)</f>
        <v/>
      </c>
      <c r="AA62" s="23" t="str">
        <f>表1_8[[#This Row],[箱号]]</f>
        <v>DRYU9913493</v>
      </c>
      <c r="AB62" s="25">
        <f>表1_8[[#This Row],[封号]]</f>
        <v>719113</v>
      </c>
      <c r="AC62" s="23">
        <f>表2[[#This Row],[件]]</f>
        <v>4</v>
      </c>
      <c r="AD62" s="23">
        <f>表2[[#This Row],[毛]]</f>
        <v>469.88</v>
      </c>
      <c r="AE62" s="23">
        <f>表2[[#This Row],[体]]</f>
        <v>4</v>
      </c>
      <c r="AG62" s="23" t="str">
        <f>表1_8[[#This Row],[HOUSE B/L]]</f>
        <v>YJCSHAN1902150</v>
      </c>
      <c r="AH62" s="23" t="str">
        <f>表1_8[[#This Row],[MASTER B/L]]</f>
        <v>DJSCSHBMSE90744A</v>
      </c>
      <c r="AI62" s="23" t="str">
        <f>"ETD"&amp;TEXT(表1_8[[#This Row],[ETD]],"mmdd")&amp;" "&amp;表1_8[[#This Row],[HOUSE B/L]]&amp;" "&amp;表1_8[[#This Row],[MASTER B/L]]&amp;" CHECK BL"</f>
        <v>ETD0328 YJCSHAN1902150 DJSCSHBMSE90744A CHECK BL</v>
      </c>
      <c r="AJ62" s="23" t="str">
        <f>"ETD"&amp;TEXT(表1_8[[#This Row],[ETD]],"mmdd")&amp;" "&amp;表1_8[[#This Row],[HOUSE B/L]]&amp;" "&amp;表1_8[[#This Row],[MASTER B/L]]&amp;" 报关单"</f>
        <v>ETD0328 YJCSHAN1902150 DJSCSHBMSE90744A 报关单</v>
      </c>
      <c r="AK62" s="23" t="str">
        <f>"ETD"&amp;TEXT(表1_8[[#This Row],[ETD]],"mmdd")&amp;" "&amp;表1_8[[#This Row],[HOUSE B/L]]&amp;" "&amp;表1_8[[#This Row],[MASTER B/L]]&amp;" 放行单"</f>
        <v>ETD0328 YJCSHAN1902150 DJSCSHBMSE90744A 放行单</v>
      </c>
      <c r="AL62" s="23" t="str">
        <f>"ETD"&amp;TEXT(表1_8[[#This Row],[ETD]],"mmdd")&amp;" "&amp;表1_8[[#This Row],[HOUSE B/L]]&amp;" "&amp;表1_8[[#This Row],[MASTER B/L]]&amp;" SURRENDERED BL"</f>
        <v>ETD0328 YJCSHAN1902150 DJSCSHBMSE90744A SURRENDERED BL</v>
      </c>
    </row>
    <row r="63" spans="2:38" ht="36" hidden="1" x14ac:dyDescent="0.2">
      <c r="B63" s="22">
        <v>43552</v>
      </c>
      <c r="C63" s="23">
        <v>2</v>
      </c>
      <c r="D63" s="23" t="s">
        <v>535</v>
      </c>
      <c r="E63" s="23"/>
      <c r="F63" s="24"/>
      <c r="G63" s="24" t="s">
        <v>553</v>
      </c>
      <c r="H63" s="24" t="s">
        <v>581</v>
      </c>
      <c r="I63" s="23">
        <v>20</v>
      </c>
      <c r="J63" s="23">
        <v>143.4</v>
      </c>
      <c r="K63" s="23">
        <v>4.67</v>
      </c>
      <c r="L63" s="51">
        <v>20</v>
      </c>
      <c r="M63" s="51">
        <v>143.4</v>
      </c>
      <c r="N63" s="51">
        <v>4.67</v>
      </c>
      <c r="O63" s="31" t="s">
        <v>609</v>
      </c>
      <c r="P63" s="24"/>
      <c r="Q63" s="23" t="s">
        <v>646</v>
      </c>
      <c r="R63" s="25">
        <v>719111</v>
      </c>
      <c r="T63" s="23">
        <f>表1_8[[#This Row],[客户编号]]</f>
        <v>0</v>
      </c>
      <c r="U63" s="23" t="str">
        <f>表1_8[[#This Row],[MASTER B/L]]</f>
        <v>DJSCSHBMSE90744B</v>
      </c>
      <c r="V63" s="23">
        <f>表1_8[[#This Row],[件]]</f>
        <v>20</v>
      </c>
      <c r="W63" s="23">
        <f>表1_8[[#This Row],[毛]]</f>
        <v>143.4</v>
      </c>
      <c r="X63" s="23">
        <f>表1_8[[#This Row],[体]]</f>
        <v>4.67</v>
      </c>
      <c r="Y63" s="31" t="str">
        <f>表1_8[[#This Row],[品名]]</f>
        <v>MLDG-FR BMPR, UPR
KIT-FR BUMPER AERODYNAMIC MBR
MLDG-RR BMPR SPOILER</v>
      </c>
      <c r="Z63" s="31" t="str">
        <f>RIGHT(表1_8[[#This Row],[编]],4)</f>
        <v/>
      </c>
      <c r="AA63" s="23" t="str">
        <f>表1_8[[#This Row],[箱号]]</f>
        <v>PHRU8703345</v>
      </c>
      <c r="AB63" s="25">
        <f>表1_8[[#This Row],[封号]]</f>
        <v>719111</v>
      </c>
      <c r="AC63" s="23">
        <f>表2[[#This Row],[件]]</f>
        <v>20</v>
      </c>
      <c r="AD63" s="23">
        <f>表2[[#This Row],[毛]]</f>
        <v>143.4</v>
      </c>
      <c r="AE63" s="23">
        <f>表2[[#This Row],[体]]</f>
        <v>4.67</v>
      </c>
      <c r="AG63" s="23" t="str">
        <f>表1_8[[#This Row],[HOUSE B/L]]</f>
        <v>YJCSHAN1903512</v>
      </c>
      <c r="AH63" s="23" t="str">
        <f>表1_8[[#This Row],[MASTER B/L]]</f>
        <v>DJSCSHBMSE90744B</v>
      </c>
      <c r="AI63" s="23" t="str">
        <f>"ETD"&amp;TEXT(表1_8[[#This Row],[ETD]],"mmdd")&amp;" "&amp;表1_8[[#This Row],[HOUSE B/L]]&amp;" "&amp;表1_8[[#This Row],[MASTER B/L]]&amp;" CHECK BL"</f>
        <v>ETD0328 YJCSHAN1903512 DJSCSHBMSE90744B CHECK BL</v>
      </c>
      <c r="AJ63" s="23" t="str">
        <f>"ETD"&amp;TEXT(表1_8[[#This Row],[ETD]],"mmdd")&amp;" "&amp;表1_8[[#This Row],[HOUSE B/L]]&amp;" "&amp;表1_8[[#This Row],[MASTER B/L]]&amp;" 报关单"</f>
        <v>ETD0328 YJCSHAN1903512 DJSCSHBMSE90744B 报关单</v>
      </c>
      <c r="AK63" s="23" t="str">
        <f>"ETD"&amp;TEXT(表1_8[[#This Row],[ETD]],"mmdd")&amp;" "&amp;表1_8[[#This Row],[HOUSE B/L]]&amp;" "&amp;表1_8[[#This Row],[MASTER B/L]]&amp;" 放行单"</f>
        <v>ETD0328 YJCSHAN1903512 DJSCSHBMSE90744B 放行单</v>
      </c>
      <c r="AL63" s="23" t="str">
        <f>"ETD"&amp;TEXT(表1_8[[#This Row],[ETD]],"mmdd")&amp;" "&amp;表1_8[[#This Row],[HOUSE B/L]]&amp;" "&amp;表1_8[[#This Row],[MASTER B/L]]&amp;" SURRENDERED BL"</f>
        <v>ETD0328 YJCSHAN1903512 DJSCSHBMSE90744B SURRENDERED BL</v>
      </c>
    </row>
    <row r="64" spans="2:38" ht="24" hidden="1" x14ac:dyDescent="0.2">
      <c r="B64" s="22">
        <v>43552</v>
      </c>
      <c r="C64" s="23">
        <v>3</v>
      </c>
      <c r="D64" s="23" t="s">
        <v>536</v>
      </c>
      <c r="E64" s="23">
        <v>3951</v>
      </c>
      <c r="F64" s="24"/>
      <c r="G64" s="24" t="s">
        <v>577</v>
      </c>
      <c r="H64" s="24" t="s">
        <v>582</v>
      </c>
      <c r="I64" s="23">
        <v>3</v>
      </c>
      <c r="J64" s="23">
        <v>434.75</v>
      </c>
      <c r="K64" s="23">
        <v>2.1</v>
      </c>
      <c r="L64" s="51">
        <v>3</v>
      </c>
      <c r="M64" s="51">
        <v>434.75</v>
      </c>
      <c r="N64" s="51">
        <v>2.1</v>
      </c>
      <c r="O64" s="31" t="s">
        <v>610</v>
      </c>
      <c r="P64" s="24"/>
      <c r="Q64" s="23" t="s">
        <v>646</v>
      </c>
      <c r="R64" s="25">
        <v>719111</v>
      </c>
      <c r="T64" s="23">
        <f>表1_8[[#This Row],[客户编号]]</f>
        <v>0</v>
      </c>
      <c r="U64" s="23" t="str">
        <f>表1_8[[#This Row],[MASTER B/L]]</f>
        <v>DJSCSHBMSE90744C</v>
      </c>
      <c r="V64" s="23">
        <f>表1_8[[#This Row],[件]]</f>
        <v>3</v>
      </c>
      <c r="W64" s="23">
        <f>表1_8[[#This Row],[毛]]</f>
        <v>434.75</v>
      </c>
      <c r="X64" s="23">
        <f>表1_8[[#This Row],[体]]</f>
        <v>2.1</v>
      </c>
      <c r="Y64" s="31" t="str">
        <f>表1_8[[#This Row],[品名]]</f>
        <v>RETAINER ASM, 13504355
26774623, RECEPTACLE</v>
      </c>
      <c r="Z64" s="31" t="str">
        <f>RIGHT(表1_8[[#This Row],[编]],4)</f>
        <v/>
      </c>
      <c r="AA64" s="23" t="str">
        <f>表1_8[[#This Row],[箱号]]</f>
        <v>PHRU8703345</v>
      </c>
      <c r="AB64" s="25">
        <f>表1_8[[#This Row],[封号]]</f>
        <v>719111</v>
      </c>
      <c r="AC64" s="23">
        <f>表2[[#This Row],[件]]</f>
        <v>3</v>
      </c>
      <c r="AD64" s="23">
        <f>表2[[#This Row],[毛]]</f>
        <v>434.75</v>
      </c>
      <c r="AE64" s="23">
        <f>表2[[#This Row],[体]]</f>
        <v>2.1</v>
      </c>
      <c r="AG64" s="23" t="str">
        <f>表1_8[[#This Row],[HOUSE B/L]]</f>
        <v>YJCSHAN1903951A</v>
      </c>
      <c r="AH64" s="23" t="str">
        <f>表1_8[[#This Row],[MASTER B/L]]</f>
        <v>DJSCSHBMSE90744C</v>
      </c>
      <c r="AI64" s="23" t="str">
        <f>"ETD"&amp;TEXT(表1_8[[#This Row],[ETD]],"mmdd")&amp;" "&amp;表1_8[[#This Row],[HOUSE B/L]]&amp;" "&amp;表1_8[[#This Row],[MASTER B/L]]&amp;" CHECK BL"</f>
        <v>ETD0328 YJCSHAN1903951A DJSCSHBMSE90744C CHECK BL</v>
      </c>
      <c r="AJ64" s="23" t="str">
        <f>"ETD"&amp;TEXT(表1_8[[#This Row],[ETD]],"mmdd")&amp;" "&amp;表1_8[[#This Row],[HOUSE B/L]]&amp;" "&amp;表1_8[[#This Row],[MASTER B/L]]&amp;" 报关单"</f>
        <v>ETD0328 YJCSHAN1903951A DJSCSHBMSE90744C 报关单</v>
      </c>
      <c r="AK64" s="23" t="str">
        <f>"ETD"&amp;TEXT(表1_8[[#This Row],[ETD]],"mmdd")&amp;" "&amp;表1_8[[#This Row],[HOUSE B/L]]&amp;" "&amp;表1_8[[#This Row],[MASTER B/L]]&amp;" 放行单"</f>
        <v>ETD0328 YJCSHAN1903951A DJSCSHBMSE90744C 放行单</v>
      </c>
      <c r="AL64" s="23" t="str">
        <f>"ETD"&amp;TEXT(表1_8[[#This Row],[ETD]],"mmdd")&amp;" "&amp;表1_8[[#This Row],[HOUSE B/L]]&amp;" "&amp;表1_8[[#This Row],[MASTER B/L]]&amp;" SURRENDERED BL"</f>
        <v>ETD0328 YJCSHAN1903951A DJSCSHBMSE90744C SURRENDERED BL</v>
      </c>
    </row>
    <row r="65" spans="2:38" ht="24" hidden="1" x14ac:dyDescent="0.2">
      <c r="B65" s="22">
        <v>43552</v>
      </c>
      <c r="C65" s="23">
        <v>4</v>
      </c>
      <c r="D65" s="23" t="s">
        <v>537</v>
      </c>
      <c r="E65" s="23"/>
      <c r="F65" s="24"/>
      <c r="G65" s="24" t="s">
        <v>554</v>
      </c>
      <c r="H65" s="24" t="s">
        <v>583</v>
      </c>
      <c r="I65" s="23">
        <v>1</v>
      </c>
      <c r="J65" s="23">
        <v>7</v>
      </c>
      <c r="K65" s="23">
        <v>0.02</v>
      </c>
      <c r="L65" s="51">
        <v>1</v>
      </c>
      <c r="M65" s="51">
        <v>7</v>
      </c>
      <c r="N65" s="51">
        <v>0.02</v>
      </c>
      <c r="O65" s="31" t="s">
        <v>611</v>
      </c>
      <c r="P65" s="24"/>
      <c r="Q65" s="23" t="s">
        <v>613</v>
      </c>
      <c r="R65" s="25">
        <v>719120</v>
      </c>
      <c r="T65" s="23">
        <f>表1_8[[#This Row],[客户编号]]</f>
        <v>0</v>
      </c>
      <c r="U65" s="23" t="str">
        <f>表1_8[[#This Row],[MASTER B/L]]</f>
        <v>DJSCSHBMSE90744D</v>
      </c>
      <c r="V65" s="23">
        <f>表1_8[[#This Row],[件]]</f>
        <v>1</v>
      </c>
      <c r="W65" s="23">
        <f>表1_8[[#This Row],[毛]]</f>
        <v>7</v>
      </c>
      <c r="X65" s="23">
        <f>表1_8[[#This Row],[体]]</f>
        <v>0.02</v>
      </c>
      <c r="Y65" s="31" t="str">
        <f>表1_8[[#This Row],[品名]]</f>
        <v>BLIND_SPOT_WARNING SWITCH. REN_X43
INVOICE NO:2000228375</v>
      </c>
      <c r="Z65" s="31" t="str">
        <f>RIGHT(表1_8[[#This Row],[编]],4)</f>
        <v/>
      </c>
      <c r="AA65" s="23" t="str">
        <f>表1_8[[#This Row],[箱号]]</f>
        <v>TEMU7742795</v>
      </c>
      <c r="AB65" s="25">
        <f>表1_8[[#This Row],[封号]]</f>
        <v>719120</v>
      </c>
      <c r="AC65" s="23">
        <f>表2[[#This Row],[件]]</f>
        <v>1</v>
      </c>
      <c r="AD65" s="23">
        <f>表2[[#This Row],[毛]]</f>
        <v>7</v>
      </c>
      <c r="AE65" s="23">
        <f>表2[[#This Row],[体]]</f>
        <v>0.02</v>
      </c>
      <c r="AG65" s="23" t="str">
        <f>表1_8[[#This Row],[HOUSE B/L]]</f>
        <v>YJCSHAN1904101</v>
      </c>
      <c r="AH65" s="23" t="str">
        <f>表1_8[[#This Row],[MASTER B/L]]</f>
        <v>DJSCSHBMSE90744D</v>
      </c>
      <c r="AI65" s="23" t="str">
        <f>"ETD"&amp;TEXT(表1_8[[#This Row],[ETD]],"mmdd")&amp;" "&amp;表1_8[[#This Row],[HOUSE B/L]]&amp;" "&amp;表1_8[[#This Row],[MASTER B/L]]&amp;" CHECK BL"</f>
        <v>ETD0328 YJCSHAN1904101 DJSCSHBMSE90744D CHECK BL</v>
      </c>
      <c r="AJ65" s="23" t="str">
        <f>"ETD"&amp;TEXT(表1_8[[#This Row],[ETD]],"mmdd")&amp;" "&amp;表1_8[[#This Row],[HOUSE B/L]]&amp;" "&amp;表1_8[[#This Row],[MASTER B/L]]&amp;" 报关单"</f>
        <v>ETD0328 YJCSHAN1904101 DJSCSHBMSE90744D 报关单</v>
      </c>
      <c r="AK65" s="23" t="str">
        <f>"ETD"&amp;TEXT(表1_8[[#This Row],[ETD]],"mmdd")&amp;" "&amp;表1_8[[#This Row],[HOUSE B/L]]&amp;" "&amp;表1_8[[#This Row],[MASTER B/L]]&amp;" 放行单"</f>
        <v>ETD0328 YJCSHAN1904101 DJSCSHBMSE90744D 放行单</v>
      </c>
      <c r="AL65" s="23" t="str">
        <f>"ETD"&amp;TEXT(表1_8[[#This Row],[ETD]],"mmdd")&amp;" "&amp;表1_8[[#This Row],[HOUSE B/L]]&amp;" "&amp;表1_8[[#This Row],[MASTER B/L]]&amp;" SURRENDERED BL"</f>
        <v>ETD0328 YJCSHAN1904101 DJSCSHBMSE90744D SURRENDERED BL</v>
      </c>
    </row>
    <row r="66" spans="2:38" ht="84" hidden="1" x14ac:dyDescent="0.2">
      <c r="B66" s="22">
        <v>43552</v>
      </c>
      <c r="C66" s="23">
        <v>5</v>
      </c>
      <c r="D66" s="23" t="s">
        <v>537</v>
      </c>
      <c r="E66" s="23"/>
      <c r="F66" s="24"/>
      <c r="G66" s="24" t="s">
        <v>555</v>
      </c>
      <c r="H66" s="24" t="s">
        <v>584</v>
      </c>
      <c r="I66" s="23">
        <v>4</v>
      </c>
      <c r="J66" s="23">
        <v>5</v>
      </c>
      <c r="K66" s="23">
        <v>0.03</v>
      </c>
      <c r="L66" s="51">
        <v>4</v>
      </c>
      <c r="M66" s="51">
        <v>5</v>
      </c>
      <c r="N66" s="51">
        <v>0.03</v>
      </c>
      <c r="O66" s="31" t="s">
        <v>614</v>
      </c>
      <c r="P66" s="24"/>
      <c r="Q66" s="23" t="s">
        <v>613</v>
      </c>
      <c r="R66" s="25">
        <v>719120</v>
      </c>
      <c r="T66" s="23">
        <f>表1_8[[#This Row],[客户编号]]</f>
        <v>0</v>
      </c>
      <c r="U66" s="23" t="str">
        <f>表1_8[[#This Row],[MASTER B/L]]</f>
        <v>DJSCSHBMSE90744E</v>
      </c>
      <c r="V66" s="23">
        <f>表1_8[[#This Row],[件]]</f>
        <v>4</v>
      </c>
      <c r="W66" s="23">
        <f>表1_8[[#This Row],[毛]]</f>
        <v>5</v>
      </c>
      <c r="X66" s="23">
        <f>表1_8[[#This Row],[体]]</f>
        <v>0.03</v>
      </c>
      <c r="Y66" s="31" t="str">
        <f>表1_8[[#This Row],[品名]]</f>
        <v>ECO START/STOP SWITCH.
REN_X61_PHASE 2
CENTRAL DOOR LOCK SWITCH.
REN_X98
SEAT HEATER SWITCH.
REN_X07
INVOICE NO:2000233681</v>
      </c>
      <c r="Z66" s="31" t="str">
        <f>RIGHT(表1_8[[#This Row],[编]],4)</f>
        <v/>
      </c>
      <c r="AA66" s="23" t="str">
        <f>表1_8[[#This Row],[箱号]]</f>
        <v>TEMU7742795</v>
      </c>
      <c r="AB66" s="25">
        <f>表1_8[[#This Row],[封号]]</f>
        <v>719120</v>
      </c>
      <c r="AC66" s="23">
        <f>表2[[#This Row],[件]]</f>
        <v>4</v>
      </c>
      <c r="AD66" s="23">
        <f>表2[[#This Row],[毛]]</f>
        <v>5</v>
      </c>
      <c r="AE66" s="23">
        <f>表2[[#This Row],[体]]</f>
        <v>0.03</v>
      </c>
      <c r="AG66" s="23" t="str">
        <f>表1_8[[#This Row],[HOUSE B/L]]</f>
        <v>YJCSHAN1904433</v>
      </c>
      <c r="AH66" s="23" t="str">
        <f>表1_8[[#This Row],[MASTER B/L]]</f>
        <v>DJSCSHBMSE90744E</v>
      </c>
      <c r="AI66" s="23" t="str">
        <f>"ETD"&amp;TEXT(表1_8[[#This Row],[ETD]],"mmdd")&amp;" "&amp;表1_8[[#This Row],[HOUSE B/L]]&amp;" "&amp;表1_8[[#This Row],[MASTER B/L]]&amp;" CHECK BL"</f>
        <v>ETD0328 YJCSHAN1904433 DJSCSHBMSE90744E CHECK BL</v>
      </c>
      <c r="AJ66" s="23" t="str">
        <f>"ETD"&amp;TEXT(表1_8[[#This Row],[ETD]],"mmdd")&amp;" "&amp;表1_8[[#This Row],[HOUSE B/L]]&amp;" "&amp;表1_8[[#This Row],[MASTER B/L]]&amp;" 报关单"</f>
        <v>ETD0328 YJCSHAN1904433 DJSCSHBMSE90744E 报关单</v>
      </c>
      <c r="AK66" s="23" t="str">
        <f>"ETD"&amp;TEXT(表1_8[[#This Row],[ETD]],"mmdd")&amp;" "&amp;表1_8[[#This Row],[HOUSE B/L]]&amp;" "&amp;表1_8[[#This Row],[MASTER B/L]]&amp;" 放行单"</f>
        <v>ETD0328 YJCSHAN1904433 DJSCSHBMSE90744E 放行单</v>
      </c>
      <c r="AL66" s="23" t="str">
        <f>"ETD"&amp;TEXT(表1_8[[#This Row],[ETD]],"mmdd")&amp;" "&amp;表1_8[[#This Row],[HOUSE B/L]]&amp;" "&amp;表1_8[[#This Row],[MASTER B/L]]&amp;" SURRENDERED BL"</f>
        <v>ETD0328 YJCSHAN1904433 DJSCSHBMSE90744E SURRENDERED BL</v>
      </c>
    </row>
    <row r="67" spans="2:38" ht="156" hidden="1" x14ac:dyDescent="0.2">
      <c r="B67" s="22">
        <v>43552</v>
      </c>
      <c r="C67" s="23">
        <v>6</v>
      </c>
      <c r="D67" s="23" t="s">
        <v>538</v>
      </c>
      <c r="E67" s="23"/>
      <c r="F67" s="32"/>
      <c r="G67" s="32" t="s">
        <v>556</v>
      </c>
      <c r="H67" s="24" t="s">
        <v>585</v>
      </c>
      <c r="I67" s="23">
        <v>158</v>
      </c>
      <c r="J67" s="23">
        <v>866.1</v>
      </c>
      <c r="K67" s="23">
        <v>9.8130000000000006</v>
      </c>
      <c r="L67" s="51">
        <v>158</v>
      </c>
      <c r="M67" s="51">
        <v>866.1</v>
      </c>
      <c r="N67" s="51">
        <v>9.8130000000000006</v>
      </c>
      <c r="O67" s="31" t="s">
        <v>615</v>
      </c>
      <c r="P67" s="24"/>
      <c r="Q67" s="23" t="s">
        <v>613</v>
      </c>
      <c r="R67" s="25">
        <v>719120</v>
      </c>
      <c r="T67" s="23">
        <f>表1_8[[#This Row],[客户编号]]</f>
        <v>0</v>
      </c>
      <c r="U67" s="23" t="str">
        <f>表1_8[[#This Row],[MASTER B/L]]</f>
        <v>DJSCSHBMSE90744F</v>
      </c>
      <c r="V67" s="23">
        <f>表1_8[[#This Row],[件]]</f>
        <v>158</v>
      </c>
      <c r="W67" s="23">
        <f>表1_8[[#This Row],[毛]]</f>
        <v>866.1</v>
      </c>
      <c r="X67" s="23">
        <f>表1_8[[#This Row],[体]]</f>
        <v>9.8130000000000006</v>
      </c>
      <c r="Y67" s="31" t="str">
        <f>表1_8[[#This Row],[品名]]</f>
        <v>LINER&amp;CAP S/A - I/L BUTTON, E-SHIFTER
UMBRELLA, E2UL E-SHIFTER
GUIDE -I/L BUTTON, E2UL E-SHIFTE
GUIDE S/A -P BUTTON, E2UL E-SHIFTE
CAP S/A -P BUTTON, E2UL E-SHIFTER
CAP S/A -I/L BUTTON, E2UL E-SHIFTER
LINER S/A-LH, E2UL E-SHIFTER
LINER S/A-RH, E2UL E-SHIFTER
BUTTON S/A - PARK, E2LB - ESHIFTER
BEZEL S/A E2UL E-SHIFTER
BUTTON S/A-PARK, GM C1UL E-SHIFTER
KNOB S/A-CAP, C1YB E-SHIFTER(MY19)
GUIDE-I/L BUTTON, E2LB E-SHIFTER</v>
      </c>
      <c r="Z67" s="31" t="str">
        <f>RIGHT(表1_8[[#This Row],[编]],4)</f>
        <v/>
      </c>
      <c r="AA67" s="23" t="str">
        <f>表1_8[[#This Row],[箱号]]</f>
        <v>TEMU7742795</v>
      </c>
      <c r="AB67" s="25">
        <f>表1_8[[#This Row],[封号]]</f>
        <v>719120</v>
      </c>
      <c r="AC67" s="23">
        <f>表2[[#This Row],[件]]</f>
        <v>158</v>
      </c>
      <c r="AD67" s="23">
        <f>表2[[#This Row],[毛]]</f>
        <v>866.1</v>
      </c>
      <c r="AE67" s="23">
        <f>表2[[#This Row],[体]]</f>
        <v>9.8130000000000006</v>
      </c>
      <c r="AG67" s="23" t="str">
        <f>表1_8[[#This Row],[HOUSE B/L]]</f>
        <v>YJCSHAN1904561</v>
      </c>
      <c r="AH67" s="23" t="str">
        <f>表1_8[[#This Row],[MASTER B/L]]</f>
        <v>DJSCSHBMSE90744F</v>
      </c>
      <c r="AI67" s="23" t="str">
        <f>"ETD"&amp;TEXT(表1_8[[#This Row],[ETD]],"mmdd")&amp;" "&amp;表1_8[[#This Row],[HOUSE B/L]]&amp;" "&amp;表1_8[[#This Row],[MASTER B/L]]&amp;" CHECK BL"</f>
        <v>ETD0328 YJCSHAN1904561 DJSCSHBMSE90744F CHECK BL</v>
      </c>
      <c r="AJ67" s="23" t="str">
        <f>"ETD"&amp;TEXT(表1_8[[#This Row],[ETD]],"mmdd")&amp;" "&amp;表1_8[[#This Row],[HOUSE B/L]]&amp;" "&amp;表1_8[[#This Row],[MASTER B/L]]&amp;" 报关单"</f>
        <v>ETD0328 YJCSHAN1904561 DJSCSHBMSE90744F 报关单</v>
      </c>
      <c r="AK67" s="23" t="str">
        <f>"ETD"&amp;TEXT(表1_8[[#This Row],[ETD]],"mmdd")&amp;" "&amp;表1_8[[#This Row],[HOUSE B/L]]&amp;" "&amp;表1_8[[#This Row],[MASTER B/L]]&amp;" 放行单"</f>
        <v>ETD0328 YJCSHAN1904561 DJSCSHBMSE90744F 放行单</v>
      </c>
      <c r="AL67" s="23" t="str">
        <f>"ETD"&amp;TEXT(表1_8[[#This Row],[ETD]],"mmdd")&amp;" "&amp;表1_8[[#This Row],[HOUSE B/L]]&amp;" "&amp;表1_8[[#This Row],[MASTER B/L]]&amp;" SURRENDERED BL"</f>
        <v>ETD0328 YJCSHAN1904561 DJSCSHBMSE90744F SURRENDERED BL</v>
      </c>
    </row>
    <row r="68" spans="2:38" hidden="1" x14ac:dyDescent="0.2">
      <c r="B68" s="22">
        <v>43552</v>
      </c>
      <c r="C68" s="23">
        <v>7</v>
      </c>
      <c r="D68" s="23" t="s">
        <v>538</v>
      </c>
      <c r="E68" s="23">
        <v>4561</v>
      </c>
      <c r="F68" s="32"/>
      <c r="G68" s="32" t="s">
        <v>557</v>
      </c>
      <c r="H68" s="24" t="s">
        <v>586</v>
      </c>
      <c r="I68" s="23">
        <v>5</v>
      </c>
      <c r="J68" s="23">
        <v>450</v>
      </c>
      <c r="K68" s="23">
        <v>5.4</v>
      </c>
      <c r="L68" s="51">
        <v>5</v>
      </c>
      <c r="M68" s="51">
        <v>450</v>
      </c>
      <c r="N68" s="51">
        <v>5.4</v>
      </c>
      <c r="O68" s="31" t="s">
        <v>616</v>
      </c>
      <c r="P68" s="24"/>
      <c r="Q68" s="23" t="s">
        <v>613</v>
      </c>
      <c r="R68" s="25">
        <v>719120</v>
      </c>
      <c r="T68" s="23">
        <f>表1_8[[#This Row],[客户编号]]</f>
        <v>0</v>
      </c>
      <c r="U68" s="23" t="str">
        <f>表1_8[[#This Row],[MASTER B/L]]</f>
        <v>DJSCSHBMSE90744G</v>
      </c>
      <c r="V68" s="23">
        <f>表1_8[[#This Row],[件]]</f>
        <v>5</v>
      </c>
      <c r="W68" s="23">
        <f>表1_8[[#This Row],[毛]]</f>
        <v>450</v>
      </c>
      <c r="X68" s="23">
        <f>表1_8[[#This Row],[体]]</f>
        <v>5.4</v>
      </c>
      <c r="Y68" s="31" t="str">
        <f>表1_8[[#This Row],[品名]]</f>
        <v>BEZEL WITHOUT EPB</v>
      </c>
      <c r="Z68" s="31" t="str">
        <f>RIGHT(表1_8[[#This Row],[编]],4)</f>
        <v/>
      </c>
      <c r="AA68" s="23" t="str">
        <f>表1_8[[#This Row],[箱号]]</f>
        <v>TEMU7742795</v>
      </c>
      <c r="AB68" s="25">
        <f>表1_8[[#This Row],[封号]]</f>
        <v>719120</v>
      </c>
      <c r="AC68" s="23">
        <f>表2[[#This Row],[件]]</f>
        <v>5</v>
      </c>
      <c r="AD68" s="23">
        <f>表2[[#This Row],[毛]]</f>
        <v>450</v>
      </c>
      <c r="AE68" s="23">
        <f>表2[[#This Row],[体]]</f>
        <v>5.4</v>
      </c>
      <c r="AG68" s="23" t="str">
        <f>表1_8[[#This Row],[HOUSE B/L]]</f>
        <v>YJCSHAN1904562</v>
      </c>
      <c r="AH68" s="23" t="str">
        <f>表1_8[[#This Row],[MASTER B/L]]</f>
        <v>DJSCSHBMSE90744G</v>
      </c>
      <c r="AI68" s="23" t="str">
        <f>"ETD"&amp;TEXT(表1_8[[#This Row],[ETD]],"mmdd")&amp;" "&amp;表1_8[[#This Row],[HOUSE B/L]]&amp;" "&amp;表1_8[[#This Row],[MASTER B/L]]&amp;" CHECK BL"</f>
        <v>ETD0328 YJCSHAN1904562 DJSCSHBMSE90744G CHECK BL</v>
      </c>
      <c r="AJ68" s="23" t="str">
        <f>"ETD"&amp;TEXT(表1_8[[#This Row],[ETD]],"mmdd")&amp;" "&amp;表1_8[[#This Row],[HOUSE B/L]]&amp;" "&amp;表1_8[[#This Row],[MASTER B/L]]&amp;" 报关单"</f>
        <v>ETD0328 YJCSHAN1904562 DJSCSHBMSE90744G 报关单</v>
      </c>
      <c r="AK68" s="23" t="str">
        <f>"ETD"&amp;TEXT(表1_8[[#This Row],[ETD]],"mmdd")&amp;" "&amp;表1_8[[#This Row],[HOUSE B/L]]&amp;" "&amp;表1_8[[#This Row],[MASTER B/L]]&amp;" 放行单"</f>
        <v>ETD0328 YJCSHAN1904562 DJSCSHBMSE90744G 放行单</v>
      </c>
      <c r="AL68" s="23" t="str">
        <f>"ETD"&amp;TEXT(表1_8[[#This Row],[ETD]],"mmdd")&amp;" "&amp;表1_8[[#This Row],[HOUSE B/L]]&amp;" "&amp;表1_8[[#This Row],[MASTER B/L]]&amp;" SURRENDERED BL"</f>
        <v>ETD0328 YJCSHAN1904562 DJSCSHBMSE90744G SURRENDERED BL</v>
      </c>
    </row>
    <row r="69" spans="2:38" hidden="1" x14ac:dyDescent="0.2">
      <c r="B69" s="22">
        <v>43552</v>
      </c>
      <c r="C69" s="23">
        <v>8</v>
      </c>
      <c r="D69" s="23" t="s">
        <v>363</v>
      </c>
      <c r="E69" s="23"/>
      <c r="F69" s="24"/>
      <c r="G69" s="24" t="s">
        <v>558</v>
      </c>
      <c r="H69" s="24" t="s">
        <v>587</v>
      </c>
      <c r="I69" s="23">
        <v>1</v>
      </c>
      <c r="J69" s="23">
        <v>336</v>
      </c>
      <c r="K69" s="23">
        <v>0.33</v>
      </c>
      <c r="L69" s="51">
        <v>1</v>
      </c>
      <c r="M69" s="51">
        <v>336</v>
      </c>
      <c r="N69" s="51">
        <v>0.33</v>
      </c>
      <c r="O69" s="31" t="s">
        <v>617</v>
      </c>
      <c r="P69" s="24"/>
      <c r="Q69" s="23" t="s">
        <v>613</v>
      </c>
      <c r="R69" s="25">
        <v>719120</v>
      </c>
      <c r="T69" s="23">
        <f>表1_8[[#This Row],[客户编号]]</f>
        <v>0</v>
      </c>
      <c r="U69" s="23" t="str">
        <f>表1_8[[#This Row],[MASTER B/L]]</f>
        <v>DJSCSHBMSE90744H</v>
      </c>
      <c r="V69" s="23">
        <f>表1_8[[#This Row],[件]]</f>
        <v>1</v>
      </c>
      <c r="W69" s="23">
        <f>表1_8[[#This Row],[毛]]</f>
        <v>336</v>
      </c>
      <c r="X69" s="23">
        <f>表1_8[[#This Row],[体]]</f>
        <v>0.33</v>
      </c>
      <c r="Y69" s="31" t="str">
        <f>表1_8[[#This Row],[品名]]</f>
        <v>BEARING</v>
      </c>
      <c r="Z69" s="31" t="str">
        <f>RIGHT(表1_8[[#This Row],[编]],4)</f>
        <v/>
      </c>
      <c r="AA69" s="23" t="str">
        <f>表1_8[[#This Row],[箱号]]</f>
        <v>TEMU7742795</v>
      </c>
      <c r="AB69" s="25">
        <f>表1_8[[#This Row],[封号]]</f>
        <v>719120</v>
      </c>
      <c r="AC69" s="23">
        <f>表2[[#This Row],[件]]</f>
        <v>1</v>
      </c>
      <c r="AD69" s="23">
        <f>表2[[#This Row],[毛]]</f>
        <v>336</v>
      </c>
      <c r="AE69" s="23">
        <f>表2[[#This Row],[体]]</f>
        <v>0.33</v>
      </c>
      <c r="AG69" s="23" t="str">
        <f>表1_8[[#This Row],[HOUSE B/L]]</f>
        <v>YJCSHAN1904635</v>
      </c>
      <c r="AH69" s="23" t="str">
        <f>表1_8[[#This Row],[MASTER B/L]]</f>
        <v>DJSCSHBMSE90744H</v>
      </c>
      <c r="AI69" s="23" t="str">
        <f>"ETD"&amp;TEXT(表1_8[[#This Row],[ETD]],"mmdd")&amp;" "&amp;表1_8[[#This Row],[HOUSE B/L]]&amp;" "&amp;表1_8[[#This Row],[MASTER B/L]]&amp;" CHECK BL"</f>
        <v>ETD0328 YJCSHAN1904635 DJSCSHBMSE90744H CHECK BL</v>
      </c>
      <c r="AJ69" s="23" t="str">
        <f>"ETD"&amp;TEXT(表1_8[[#This Row],[ETD]],"mmdd")&amp;" "&amp;表1_8[[#This Row],[HOUSE B/L]]&amp;" "&amp;表1_8[[#This Row],[MASTER B/L]]&amp;" 报关单"</f>
        <v>ETD0328 YJCSHAN1904635 DJSCSHBMSE90744H 报关单</v>
      </c>
      <c r="AK69" s="23" t="str">
        <f>"ETD"&amp;TEXT(表1_8[[#This Row],[ETD]],"mmdd")&amp;" "&amp;表1_8[[#This Row],[HOUSE B/L]]&amp;" "&amp;表1_8[[#This Row],[MASTER B/L]]&amp;" 放行单"</f>
        <v>ETD0328 YJCSHAN1904635 DJSCSHBMSE90744H 放行单</v>
      </c>
      <c r="AL69" s="23" t="str">
        <f>"ETD"&amp;TEXT(表1_8[[#This Row],[ETD]],"mmdd")&amp;" "&amp;表1_8[[#This Row],[HOUSE B/L]]&amp;" "&amp;表1_8[[#This Row],[MASTER B/L]]&amp;" SURRENDERED BL"</f>
        <v>ETD0328 YJCSHAN1904635 DJSCSHBMSE90744H SURRENDERED BL</v>
      </c>
    </row>
    <row r="70" spans="2:38" ht="24" hidden="1" x14ac:dyDescent="0.2">
      <c r="B70" s="22">
        <v>43552</v>
      </c>
      <c r="C70" s="23">
        <v>9</v>
      </c>
      <c r="D70" s="23" t="s">
        <v>539</v>
      </c>
      <c r="E70" s="23"/>
      <c r="F70" s="32"/>
      <c r="G70" s="32" t="s">
        <v>559</v>
      </c>
      <c r="H70" s="24" t="s">
        <v>588</v>
      </c>
      <c r="I70" s="23">
        <v>2</v>
      </c>
      <c r="J70" s="23">
        <v>1146</v>
      </c>
      <c r="K70" s="23">
        <v>1.63</v>
      </c>
      <c r="L70" s="51">
        <v>2</v>
      </c>
      <c r="M70" s="51">
        <v>1146</v>
      </c>
      <c r="N70" s="51">
        <v>1.63</v>
      </c>
      <c r="O70" s="31" t="s">
        <v>624</v>
      </c>
      <c r="P70" s="24"/>
      <c r="Q70" s="23" t="s">
        <v>645</v>
      </c>
      <c r="R70" s="25">
        <v>719113</v>
      </c>
      <c r="T70" s="23">
        <f>表1_8[[#This Row],[客户编号]]</f>
        <v>0</v>
      </c>
      <c r="U70" s="23" t="str">
        <f>表1_8[[#This Row],[MASTER B/L]]</f>
        <v>DJSCSHBMSE90744J</v>
      </c>
      <c r="V70" s="23">
        <f>表1_8[[#This Row],[件]]</f>
        <v>2</v>
      </c>
      <c r="W70" s="23">
        <f>表1_8[[#This Row],[毛]]</f>
        <v>1146</v>
      </c>
      <c r="X70" s="23">
        <f>表1_8[[#This Row],[体]]</f>
        <v>1.63</v>
      </c>
      <c r="Y70" s="31" t="str">
        <f>表1_8[[#This Row],[品名]]</f>
        <v>BENDIX
PINION</v>
      </c>
      <c r="Z70" s="31" t="str">
        <f>RIGHT(表1_8[[#This Row],[编]],4)</f>
        <v/>
      </c>
      <c r="AA70" s="23" t="str">
        <f>表1_8[[#This Row],[箱号]]</f>
        <v>DRYU9913493</v>
      </c>
      <c r="AB70" s="25">
        <f>表1_8[[#This Row],[封号]]</f>
        <v>719113</v>
      </c>
      <c r="AC70" s="23">
        <f>表2[[#This Row],[件]]</f>
        <v>2</v>
      </c>
      <c r="AD70" s="23">
        <f>表2[[#This Row],[毛]]</f>
        <v>1146</v>
      </c>
      <c r="AE70" s="23">
        <f>表2[[#This Row],[体]]</f>
        <v>1.63</v>
      </c>
      <c r="AG70" s="23" t="str">
        <f>表1_8[[#This Row],[HOUSE B/L]]</f>
        <v>YJCSHAN1904645</v>
      </c>
      <c r="AH70" s="23" t="str">
        <f>表1_8[[#This Row],[MASTER B/L]]</f>
        <v>DJSCSHBMSE90744J</v>
      </c>
      <c r="AI70" s="23" t="str">
        <f>"ETD"&amp;TEXT(表1_8[[#This Row],[ETD]],"mmdd")&amp;" "&amp;表1_8[[#This Row],[HOUSE B/L]]&amp;" "&amp;表1_8[[#This Row],[MASTER B/L]]&amp;" CHECK BL"</f>
        <v>ETD0328 YJCSHAN1904645 DJSCSHBMSE90744J CHECK BL</v>
      </c>
      <c r="AJ70" s="23" t="str">
        <f>"ETD"&amp;TEXT(表1_8[[#This Row],[ETD]],"mmdd")&amp;" "&amp;表1_8[[#This Row],[HOUSE B/L]]&amp;" "&amp;表1_8[[#This Row],[MASTER B/L]]&amp;" 报关单"</f>
        <v>ETD0328 YJCSHAN1904645 DJSCSHBMSE90744J 报关单</v>
      </c>
      <c r="AK70" s="23" t="str">
        <f>"ETD"&amp;TEXT(表1_8[[#This Row],[ETD]],"mmdd")&amp;" "&amp;表1_8[[#This Row],[HOUSE B/L]]&amp;" "&amp;表1_8[[#This Row],[MASTER B/L]]&amp;" 放行单"</f>
        <v>ETD0328 YJCSHAN1904645 DJSCSHBMSE90744J 放行单</v>
      </c>
      <c r="AL70" s="23" t="str">
        <f>"ETD"&amp;TEXT(表1_8[[#This Row],[ETD]],"mmdd")&amp;" "&amp;表1_8[[#This Row],[HOUSE B/L]]&amp;" "&amp;表1_8[[#This Row],[MASTER B/L]]&amp;" SURRENDERED BL"</f>
        <v>ETD0328 YJCSHAN1904645 DJSCSHBMSE90744J SURRENDERED BL</v>
      </c>
    </row>
    <row r="71" spans="2:38" ht="24" hidden="1" x14ac:dyDescent="0.2">
      <c r="B71" s="22">
        <v>43552</v>
      </c>
      <c r="C71" s="23">
        <v>10</v>
      </c>
      <c r="D71" s="23" t="s">
        <v>540</v>
      </c>
      <c r="E71" s="23"/>
      <c r="F71" s="24"/>
      <c r="G71" s="24" t="s">
        <v>560</v>
      </c>
      <c r="H71" s="24" t="s">
        <v>589</v>
      </c>
      <c r="I71" s="23">
        <v>2</v>
      </c>
      <c r="J71" s="23">
        <v>8</v>
      </c>
      <c r="K71" s="23">
        <v>0.1</v>
      </c>
      <c r="L71" s="51">
        <v>2</v>
      </c>
      <c r="M71" s="51">
        <v>8</v>
      </c>
      <c r="N71" s="51">
        <v>0.1</v>
      </c>
      <c r="O71" s="31" t="s">
        <v>618</v>
      </c>
      <c r="P71" s="24"/>
      <c r="Q71" s="23" t="s">
        <v>613</v>
      </c>
      <c r="R71" s="25">
        <v>719120</v>
      </c>
      <c r="T71" s="23">
        <f>表1_8[[#This Row],[客户编号]]</f>
        <v>0</v>
      </c>
      <c r="U71" s="23" t="str">
        <f>表1_8[[#This Row],[MASTER B/L]]</f>
        <v>DJSCSHBMSE90744K</v>
      </c>
      <c r="V71" s="23">
        <f>表1_8[[#This Row],[件]]</f>
        <v>2</v>
      </c>
      <c r="W71" s="23">
        <f>表1_8[[#This Row],[毛]]</f>
        <v>8</v>
      </c>
      <c r="X71" s="23">
        <f>表1_8[[#This Row],[体]]</f>
        <v>0.1</v>
      </c>
      <c r="Y71" s="31" t="str">
        <f>表1_8[[#This Row],[品名]]</f>
        <v>113329583R BRKT-LWR ROD
112534437R BRKT-FR LH DYNAMIC INSUL</v>
      </c>
      <c r="Z71" s="31" t="str">
        <f>RIGHT(表1_8[[#This Row],[编]],4)</f>
        <v/>
      </c>
      <c r="AA71" s="23" t="str">
        <f>表1_8[[#This Row],[箱号]]</f>
        <v>TEMU7742795</v>
      </c>
      <c r="AB71" s="25">
        <f>表1_8[[#This Row],[封号]]</f>
        <v>719120</v>
      </c>
      <c r="AC71" s="23">
        <f>表2[[#This Row],[件]]</f>
        <v>2</v>
      </c>
      <c r="AD71" s="23">
        <f>表2[[#This Row],[毛]]</f>
        <v>8</v>
      </c>
      <c r="AE71" s="23">
        <f>表2[[#This Row],[体]]</f>
        <v>0.1</v>
      </c>
      <c r="AG71" s="23" t="str">
        <f>表1_8[[#This Row],[HOUSE B/L]]</f>
        <v>YJCSHAN1904659</v>
      </c>
      <c r="AH71" s="23" t="str">
        <f>表1_8[[#This Row],[MASTER B/L]]</f>
        <v>DJSCSHBMSE90744K</v>
      </c>
      <c r="AI71" s="23" t="str">
        <f>"ETD"&amp;TEXT(表1_8[[#This Row],[ETD]],"mmdd")&amp;" "&amp;表1_8[[#This Row],[HOUSE B/L]]&amp;" "&amp;表1_8[[#This Row],[MASTER B/L]]&amp;" CHECK BL"</f>
        <v>ETD0328 YJCSHAN1904659 DJSCSHBMSE90744K CHECK BL</v>
      </c>
      <c r="AJ71" s="23" t="str">
        <f>"ETD"&amp;TEXT(表1_8[[#This Row],[ETD]],"mmdd")&amp;" "&amp;表1_8[[#This Row],[HOUSE B/L]]&amp;" "&amp;表1_8[[#This Row],[MASTER B/L]]&amp;" 报关单"</f>
        <v>ETD0328 YJCSHAN1904659 DJSCSHBMSE90744K 报关单</v>
      </c>
      <c r="AK71" s="23" t="str">
        <f>"ETD"&amp;TEXT(表1_8[[#This Row],[ETD]],"mmdd")&amp;" "&amp;表1_8[[#This Row],[HOUSE B/L]]&amp;" "&amp;表1_8[[#This Row],[MASTER B/L]]&amp;" 放行单"</f>
        <v>ETD0328 YJCSHAN1904659 DJSCSHBMSE90744K 放行单</v>
      </c>
      <c r="AL71" s="23" t="str">
        <f>"ETD"&amp;TEXT(表1_8[[#This Row],[ETD]],"mmdd")&amp;" "&amp;表1_8[[#This Row],[HOUSE B/L]]&amp;" "&amp;表1_8[[#This Row],[MASTER B/L]]&amp;" SURRENDERED BL"</f>
        <v>ETD0328 YJCSHAN1904659 DJSCSHBMSE90744K SURRENDERED BL</v>
      </c>
    </row>
    <row r="72" spans="2:38" hidden="1" x14ac:dyDescent="0.2">
      <c r="B72" s="22">
        <v>43552</v>
      </c>
      <c r="C72" s="23">
        <v>11</v>
      </c>
      <c r="D72" s="23" t="s">
        <v>541</v>
      </c>
      <c r="E72" s="23"/>
      <c r="F72" s="24"/>
      <c r="G72" s="24" t="s">
        <v>561</v>
      </c>
      <c r="H72" s="24" t="s">
        <v>590</v>
      </c>
      <c r="I72" s="23">
        <v>2</v>
      </c>
      <c r="J72" s="23">
        <v>117.04</v>
      </c>
      <c r="K72" s="23">
        <v>1.04</v>
      </c>
      <c r="L72" s="51">
        <v>2</v>
      </c>
      <c r="M72" s="51">
        <v>117.04</v>
      </c>
      <c r="N72" s="51">
        <v>1.04</v>
      </c>
      <c r="O72" s="31" t="s">
        <v>625</v>
      </c>
      <c r="P72" s="24"/>
      <c r="Q72" s="23" t="s">
        <v>646</v>
      </c>
      <c r="R72" s="25">
        <v>719111</v>
      </c>
      <c r="T72" s="23">
        <f>表1_8[[#This Row],[客户编号]]</f>
        <v>0</v>
      </c>
      <c r="U72" s="23" t="str">
        <f>表1_8[[#This Row],[MASTER B/L]]</f>
        <v>DJSCSHBMSE90744L</v>
      </c>
      <c r="V72" s="23">
        <f>表1_8[[#This Row],[件]]</f>
        <v>2</v>
      </c>
      <c r="W72" s="23">
        <f>表1_8[[#This Row],[毛]]</f>
        <v>117.04</v>
      </c>
      <c r="X72" s="23">
        <f>表1_8[[#This Row],[体]]</f>
        <v>1.04</v>
      </c>
      <c r="Y72" s="31" t="str">
        <f>表1_8[[#This Row],[品名]]</f>
        <v>RUBBER HOSE</v>
      </c>
      <c r="Z72" s="31" t="str">
        <f>RIGHT(表1_8[[#This Row],[编]],4)</f>
        <v/>
      </c>
      <c r="AA72" s="23" t="str">
        <f>表1_8[[#This Row],[箱号]]</f>
        <v>PHRU8703345</v>
      </c>
      <c r="AB72" s="25">
        <f>表1_8[[#This Row],[封号]]</f>
        <v>719111</v>
      </c>
      <c r="AC72" s="23">
        <f>表2[[#This Row],[件]]</f>
        <v>2</v>
      </c>
      <c r="AD72" s="23">
        <f>表2[[#This Row],[毛]]</f>
        <v>117.04</v>
      </c>
      <c r="AE72" s="23">
        <f>表2[[#This Row],[体]]</f>
        <v>1.04</v>
      </c>
      <c r="AG72" s="23" t="str">
        <f>表1_8[[#This Row],[HOUSE B/L]]</f>
        <v>YJCSHAN1904661</v>
      </c>
      <c r="AH72" s="23" t="str">
        <f>表1_8[[#This Row],[MASTER B/L]]</f>
        <v>DJSCSHBMSE90744L</v>
      </c>
      <c r="AI72" s="23" t="str">
        <f>"ETD"&amp;TEXT(表1_8[[#This Row],[ETD]],"mmdd")&amp;" "&amp;表1_8[[#This Row],[HOUSE B/L]]&amp;" "&amp;表1_8[[#This Row],[MASTER B/L]]&amp;" CHECK BL"</f>
        <v>ETD0328 YJCSHAN1904661 DJSCSHBMSE90744L CHECK BL</v>
      </c>
      <c r="AJ72" s="23" t="str">
        <f>"ETD"&amp;TEXT(表1_8[[#This Row],[ETD]],"mmdd")&amp;" "&amp;表1_8[[#This Row],[HOUSE B/L]]&amp;" "&amp;表1_8[[#This Row],[MASTER B/L]]&amp;" 报关单"</f>
        <v>ETD0328 YJCSHAN1904661 DJSCSHBMSE90744L 报关单</v>
      </c>
      <c r="AK72" s="23" t="str">
        <f>"ETD"&amp;TEXT(表1_8[[#This Row],[ETD]],"mmdd")&amp;" "&amp;表1_8[[#This Row],[HOUSE B/L]]&amp;" "&amp;表1_8[[#This Row],[MASTER B/L]]&amp;" 放行单"</f>
        <v>ETD0328 YJCSHAN1904661 DJSCSHBMSE90744L 放行单</v>
      </c>
      <c r="AL72" s="23" t="str">
        <f>"ETD"&amp;TEXT(表1_8[[#This Row],[ETD]],"mmdd")&amp;" "&amp;表1_8[[#This Row],[HOUSE B/L]]&amp;" "&amp;表1_8[[#This Row],[MASTER B/L]]&amp;" SURRENDERED BL"</f>
        <v>ETD0328 YJCSHAN1904661 DJSCSHBMSE90744L SURRENDERED BL</v>
      </c>
    </row>
    <row r="73" spans="2:38" ht="24" hidden="1" x14ac:dyDescent="0.2">
      <c r="B73" s="22">
        <v>43552</v>
      </c>
      <c r="C73" s="23">
        <v>12</v>
      </c>
      <c r="D73" s="23" t="s">
        <v>542</v>
      </c>
      <c r="E73" s="23">
        <v>4664</v>
      </c>
      <c r="F73" s="24"/>
      <c r="G73" s="24" t="s">
        <v>578</v>
      </c>
      <c r="H73" s="24" t="s">
        <v>591</v>
      </c>
      <c r="I73" s="23">
        <v>3</v>
      </c>
      <c r="J73" s="23">
        <v>708</v>
      </c>
      <c r="K73" s="23">
        <v>3.78</v>
      </c>
      <c r="L73" s="51">
        <v>3</v>
      </c>
      <c r="M73" s="51">
        <v>708</v>
      </c>
      <c r="N73" s="51">
        <v>3.78</v>
      </c>
      <c r="O73" s="31" t="s">
        <v>619</v>
      </c>
      <c r="P73" s="24"/>
      <c r="Q73" s="23" t="s">
        <v>613</v>
      </c>
      <c r="R73" s="25">
        <v>719120</v>
      </c>
      <c r="T73" s="23">
        <f>表1_8[[#This Row],[客户编号]]</f>
        <v>0</v>
      </c>
      <c r="U73" s="23" t="str">
        <f>表1_8[[#This Row],[MASTER B/L]]</f>
        <v>DJSCSHBMSE90744M</v>
      </c>
      <c r="V73" s="23">
        <f>表1_8[[#This Row],[件]]</f>
        <v>3</v>
      </c>
      <c r="W73" s="23">
        <f>表1_8[[#This Row],[毛]]</f>
        <v>708</v>
      </c>
      <c r="X73" s="23">
        <f>表1_8[[#This Row],[体]]</f>
        <v>3.78</v>
      </c>
      <c r="Y73" s="31" t="str">
        <f>表1_8[[#This Row],[品名]]</f>
        <v>ESCL SYSTEM
START STOP BUTTON</v>
      </c>
      <c r="Z73" s="31" t="str">
        <f>RIGHT(表1_8[[#This Row],[编]],4)</f>
        <v/>
      </c>
      <c r="AA73" s="23" t="str">
        <f>表1_8[[#This Row],[箱号]]</f>
        <v>TEMU7742795</v>
      </c>
      <c r="AB73" s="25">
        <f>表1_8[[#This Row],[封号]]</f>
        <v>719120</v>
      </c>
      <c r="AC73" s="23">
        <f>表2[[#This Row],[件]]</f>
        <v>3</v>
      </c>
      <c r="AD73" s="23">
        <f>表2[[#This Row],[毛]]</f>
        <v>708</v>
      </c>
      <c r="AE73" s="23">
        <f>表2[[#This Row],[体]]</f>
        <v>3.78</v>
      </c>
      <c r="AG73" s="23" t="str">
        <f>表1_8[[#This Row],[HOUSE B/L]]</f>
        <v>YJCSHAN1904664A</v>
      </c>
      <c r="AH73" s="23" t="str">
        <f>表1_8[[#This Row],[MASTER B/L]]</f>
        <v>DJSCSHBMSE90744M</v>
      </c>
      <c r="AI73" s="23" t="str">
        <f>"ETD"&amp;TEXT(表1_8[[#This Row],[ETD]],"mmdd")&amp;" "&amp;表1_8[[#This Row],[HOUSE B/L]]&amp;" "&amp;表1_8[[#This Row],[MASTER B/L]]&amp;" CHECK BL"</f>
        <v>ETD0328 YJCSHAN1904664A DJSCSHBMSE90744M CHECK BL</v>
      </c>
      <c r="AJ73" s="23" t="str">
        <f>"ETD"&amp;TEXT(表1_8[[#This Row],[ETD]],"mmdd")&amp;" "&amp;表1_8[[#This Row],[HOUSE B/L]]&amp;" "&amp;表1_8[[#This Row],[MASTER B/L]]&amp;" 报关单"</f>
        <v>ETD0328 YJCSHAN1904664A DJSCSHBMSE90744M 报关单</v>
      </c>
      <c r="AK73" s="23" t="str">
        <f>"ETD"&amp;TEXT(表1_8[[#This Row],[ETD]],"mmdd")&amp;" "&amp;表1_8[[#This Row],[HOUSE B/L]]&amp;" "&amp;表1_8[[#This Row],[MASTER B/L]]&amp;" 放行单"</f>
        <v>ETD0328 YJCSHAN1904664A DJSCSHBMSE90744M 放行单</v>
      </c>
      <c r="AL73" s="23" t="str">
        <f>"ETD"&amp;TEXT(表1_8[[#This Row],[ETD]],"mmdd")&amp;" "&amp;表1_8[[#This Row],[HOUSE B/L]]&amp;" "&amp;表1_8[[#This Row],[MASTER B/L]]&amp;" SURRENDERED BL"</f>
        <v>ETD0328 YJCSHAN1904664A DJSCSHBMSE90744M SURRENDERED BL</v>
      </c>
    </row>
    <row r="74" spans="2:38" hidden="1" x14ac:dyDescent="0.2">
      <c r="B74" s="22">
        <v>43552</v>
      </c>
      <c r="C74" s="23">
        <v>13</v>
      </c>
      <c r="D74" s="23" t="s">
        <v>543</v>
      </c>
      <c r="E74" s="23"/>
      <c r="F74" s="24"/>
      <c r="G74" s="24" t="s">
        <v>562</v>
      </c>
      <c r="H74" s="24" t="s">
        <v>592</v>
      </c>
      <c r="I74" s="23">
        <v>7</v>
      </c>
      <c r="J74" s="23">
        <v>2252</v>
      </c>
      <c r="K74" s="23">
        <v>7.9909999999999997</v>
      </c>
      <c r="L74" s="51">
        <v>7</v>
      </c>
      <c r="M74" s="51">
        <v>2252</v>
      </c>
      <c r="N74" s="51">
        <v>7.9909999999999997</v>
      </c>
      <c r="O74" s="31" t="s">
        <v>626</v>
      </c>
      <c r="P74" s="24"/>
      <c r="Q74" s="23" t="s">
        <v>645</v>
      </c>
      <c r="R74" s="25">
        <v>719113</v>
      </c>
      <c r="T74" s="23">
        <f>表1_8[[#This Row],[客户编号]]</f>
        <v>0</v>
      </c>
      <c r="U74" s="23" t="str">
        <f>表1_8[[#This Row],[MASTER B/L]]</f>
        <v>DJSCSHBMSE90744N</v>
      </c>
      <c r="V74" s="23">
        <f>表1_8[[#This Row],[件]]</f>
        <v>7</v>
      </c>
      <c r="W74" s="23">
        <f>表1_8[[#This Row],[毛]]</f>
        <v>2252</v>
      </c>
      <c r="X74" s="23">
        <f>表1_8[[#This Row],[体]]</f>
        <v>7.9909999999999997</v>
      </c>
      <c r="Y74" s="31" t="str">
        <f>表1_8[[#This Row],[品名]]</f>
        <v>HEATING ELEMENT</v>
      </c>
      <c r="Z74" s="31" t="str">
        <f>RIGHT(表1_8[[#This Row],[编]],4)</f>
        <v/>
      </c>
      <c r="AA74" s="23" t="str">
        <f>表1_8[[#This Row],[箱号]]</f>
        <v>DRYU9913493</v>
      </c>
      <c r="AB74" s="25">
        <f>表1_8[[#This Row],[封号]]</f>
        <v>719113</v>
      </c>
      <c r="AC74" s="23">
        <f>表2[[#This Row],[件]]</f>
        <v>7</v>
      </c>
      <c r="AD74" s="23">
        <f>表2[[#This Row],[毛]]</f>
        <v>2252</v>
      </c>
      <c r="AE74" s="23">
        <f>表2[[#This Row],[体]]</f>
        <v>7.9909999999999997</v>
      </c>
      <c r="AG74" s="23" t="str">
        <f>表1_8[[#This Row],[HOUSE B/L]]</f>
        <v>YJCSHAN1904686</v>
      </c>
      <c r="AH74" s="23" t="str">
        <f>表1_8[[#This Row],[MASTER B/L]]</f>
        <v>DJSCSHBMSE90744N</v>
      </c>
      <c r="AI74" s="23" t="str">
        <f>"ETD"&amp;TEXT(表1_8[[#This Row],[ETD]],"mmdd")&amp;" "&amp;表1_8[[#This Row],[HOUSE B/L]]&amp;" "&amp;表1_8[[#This Row],[MASTER B/L]]&amp;" CHECK BL"</f>
        <v>ETD0328 YJCSHAN1904686 DJSCSHBMSE90744N CHECK BL</v>
      </c>
      <c r="AJ74" s="23" t="str">
        <f>"ETD"&amp;TEXT(表1_8[[#This Row],[ETD]],"mmdd")&amp;" "&amp;表1_8[[#This Row],[HOUSE B/L]]&amp;" "&amp;表1_8[[#This Row],[MASTER B/L]]&amp;" 报关单"</f>
        <v>ETD0328 YJCSHAN1904686 DJSCSHBMSE90744N 报关单</v>
      </c>
      <c r="AK74" s="23" t="str">
        <f>"ETD"&amp;TEXT(表1_8[[#This Row],[ETD]],"mmdd")&amp;" "&amp;表1_8[[#This Row],[HOUSE B/L]]&amp;" "&amp;表1_8[[#This Row],[MASTER B/L]]&amp;" 放行单"</f>
        <v>ETD0328 YJCSHAN1904686 DJSCSHBMSE90744N 放行单</v>
      </c>
      <c r="AL74" s="23" t="str">
        <f>"ETD"&amp;TEXT(表1_8[[#This Row],[ETD]],"mmdd")&amp;" "&amp;表1_8[[#This Row],[HOUSE B/L]]&amp;" "&amp;表1_8[[#This Row],[MASTER B/L]]&amp;" SURRENDERED BL"</f>
        <v>ETD0328 YJCSHAN1904686 DJSCSHBMSE90744N SURRENDERED BL</v>
      </c>
    </row>
    <row r="75" spans="2:38" hidden="1" x14ac:dyDescent="0.2">
      <c r="B75" s="22">
        <v>43552</v>
      </c>
      <c r="C75" s="23">
        <v>14</v>
      </c>
      <c r="D75" s="23" t="s">
        <v>544</v>
      </c>
      <c r="E75" s="23"/>
      <c r="F75" s="32"/>
      <c r="G75" s="32" t="s">
        <v>563</v>
      </c>
      <c r="H75" s="24" t="s">
        <v>593</v>
      </c>
      <c r="I75" s="23">
        <v>2</v>
      </c>
      <c r="J75" s="23">
        <v>264.39999999999998</v>
      </c>
      <c r="K75" s="23">
        <v>3.72</v>
      </c>
      <c r="L75" s="51">
        <v>2</v>
      </c>
      <c r="M75" s="51">
        <v>264.39999999999998</v>
      </c>
      <c r="N75" s="51">
        <v>3.72</v>
      </c>
      <c r="O75" s="31" t="s">
        <v>608</v>
      </c>
      <c r="P75" s="24"/>
      <c r="Q75" s="23" t="s">
        <v>645</v>
      </c>
      <c r="R75" s="25">
        <v>719113</v>
      </c>
      <c r="T75" s="23">
        <f>表1_8[[#This Row],[客户编号]]</f>
        <v>0</v>
      </c>
      <c r="U75" s="23" t="str">
        <f>表1_8[[#This Row],[MASTER B/L]]</f>
        <v>DJSCSHBMSE90744P</v>
      </c>
      <c r="V75" s="23">
        <f>表1_8[[#This Row],[件]]</f>
        <v>2</v>
      </c>
      <c r="W75" s="23">
        <f>表1_8[[#This Row],[毛]]</f>
        <v>264.39999999999998</v>
      </c>
      <c r="X75" s="23">
        <f>表1_8[[#This Row],[体]]</f>
        <v>3.72</v>
      </c>
      <c r="Y75" s="31" t="str">
        <f>表1_8[[#This Row],[品名]]</f>
        <v>PARTS FOR SPEAKER</v>
      </c>
      <c r="Z75" s="31" t="str">
        <f>RIGHT(表1_8[[#This Row],[编]],4)</f>
        <v/>
      </c>
      <c r="AA75" s="23" t="str">
        <f>表1_8[[#This Row],[箱号]]</f>
        <v>DRYU9913493</v>
      </c>
      <c r="AB75" s="25">
        <f>表1_8[[#This Row],[封号]]</f>
        <v>719113</v>
      </c>
      <c r="AC75" s="23">
        <f>表2[[#This Row],[件]]</f>
        <v>2</v>
      </c>
      <c r="AD75" s="23">
        <f>表2[[#This Row],[毛]]</f>
        <v>264.39999999999998</v>
      </c>
      <c r="AE75" s="23">
        <f>表2[[#This Row],[体]]</f>
        <v>3.72</v>
      </c>
      <c r="AG75" s="23" t="str">
        <f>表1_8[[#This Row],[HOUSE B/L]]</f>
        <v>YJCSHAN1904687</v>
      </c>
      <c r="AH75" s="23" t="str">
        <f>表1_8[[#This Row],[MASTER B/L]]</f>
        <v>DJSCSHBMSE90744P</v>
      </c>
      <c r="AI75" s="23" t="str">
        <f>"ETD"&amp;TEXT(表1_8[[#This Row],[ETD]],"mmdd")&amp;" "&amp;表1_8[[#This Row],[HOUSE B/L]]&amp;" "&amp;表1_8[[#This Row],[MASTER B/L]]&amp;" CHECK BL"</f>
        <v>ETD0328 YJCSHAN1904687 DJSCSHBMSE90744P CHECK BL</v>
      </c>
      <c r="AJ75" s="23" t="str">
        <f>"ETD"&amp;TEXT(表1_8[[#This Row],[ETD]],"mmdd")&amp;" "&amp;表1_8[[#This Row],[HOUSE B/L]]&amp;" "&amp;表1_8[[#This Row],[MASTER B/L]]&amp;" 报关单"</f>
        <v>ETD0328 YJCSHAN1904687 DJSCSHBMSE90744P 报关单</v>
      </c>
      <c r="AK75" s="23" t="str">
        <f>"ETD"&amp;TEXT(表1_8[[#This Row],[ETD]],"mmdd")&amp;" "&amp;表1_8[[#This Row],[HOUSE B/L]]&amp;" "&amp;表1_8[[#This Row],[MASTER B/L]]&amp;" 放行单"</f>
        <v>ETD0328 YJCSHAN1904687 DJSCSHBMSE90744P 放行单</v>
      </c>
      <c r="AL75" s="23" t="str">
        <f>"ETD"&amp;TEXT(表1_8[[#This Row],[ETD]],"mmdd")&amp;" "&amp;表1_8[[#This Row],[HOUSE B/L]]&amp;" "&amp;表1_8[[#This Row],[MASTER B/L]]&amp;" SURRENDERED BL"</f>
        <v>ETD0328 YJCSHAN1904687 DJSCSHBMSE90744P SURRENDERED BL</v>
      </c>
    </row>
    <row r="76" spans="2:38" hidden="1" x14ac:dyDescent="0.2">
      <c r="B76" s="22">
        <v>43552</v>
      </c>
      <c r="C76" s="23">
        <v>15</v>
      </c>
      <c r="D76" s="23" t="s">
        <v>545</v>
      </c>
      <c r="E76" s="23"/>
      <c r="F76" s="32"/>
      <c r="G76" s="32" t="s">
        <v>564</v>
      </c>
      <c r="H76" s="24" t="s">
        <v>594</v>
      </c>
      <c r="I76" s="23">
        <v>3</v>
      </c>
      <c r="J76" s="23">
        <v>1072</v>
      </c>
      <c r="K76" s="23">
        <v>1.49</v>
      </c>
      <c r="L76" s="51">
        <v>3</v>
      </c>
      <c r="M76" s="51">
        <v>1072</v>
      </c>
      <c r="N76" s="51">
        <v>1.49</v>
      </c>
      <c r="O76" s="31" t="s">
        <v>620</v>
      </c>
      <c r="P76" s="24"/>
      <c r="Q76" s="23" t="s">
        <v>613</v>
      </c>
      <c r="R76" s="25">
        <v>719120</v>
      </c>
      <c r="T76" s="23">
        <f>表1_8[[#This Row],[客户编号]]</f>
        <v>0</v>
      </c>
      <c r="U76" s="23" t="str">
        <f>表1_8[[#This Row],[MASTER B/L]]</f>
        <v>DJSCSHBMSE90744Q</v>
      </c>
      <c r="V76" s="23">
        <f>表1_8[[#This Row],[件]]</f>
        <v>3</v>
      </c>
      <c r="W76" s="23">
        <f>表1_8[[#This Row],[毛]]</f>
        <v>1072</v>
      </c>
      <c r="X76" s="23">
        <f>表1_8[[#This Row],[体]]</f>
        <v>1.49</v>
      </c>
      <c r="Y76" s="31" t="str">
        <f>表1_8[[#This Row],[品名]]</f>
        <v>SPEAKER PARTS</v>
      </c>
      <c r="Z76" s="31" t="str">
        <f>RIGHT(表1_8[[#This Row],[编]],4)</f>
        <v/>
      </c>
      <c r="AA76" s="23" t="str">
        <f>表1_8[[#This Row],[箱号]]</f>
        <v>TEMU7742795</v>
      </c>
      <c r="AB76" s="25">
        <f>表1_8[[#This Row],[封号]]</f>
        <v>719120</v>
      </c>
      <c r="AC76" s="23">
        <f>表2[[#This Row],[件]]</f>
        <v>3</v>
      </c>
      <c r="AD76" s="23">
        <f>表2[[#This Row],[毛]]</f>
        <v>1072</v>
      </c>
      <c r="AE76" s="23">
        <f>表2[[#This Row],[体]]</f>
        <v>1.49</v>
      </c>
      <c r="AG76" s="23" t="str">
        <f>表1_8[[#This Row],[HOUSE B/L]]</f>
        <v>YJCSHAN1904688</v>
      </c>
      <c r="AH76" s="23" t="str">
        <f>表1_8[[#This Row],[MASTER B/L]]</f>
        <v>DJSCSHBMSE90744Q</v>
      </c>
      <c r="AI76" s="23" t="str">
        <f>"ETD"&amp;TEXT(表1_8[[#This Row],[ETD]],"mmdd")&amp;" "&amp;表1_8[[#This Row],[HOUSE B/L]]&amp;" "&amp;表1_8[[#This Row],[MASTER B/L]]&amp;" CHECK BL"</f>
        <v>ETD0328 YJCSHAN1904688 DJSCSHBMSE90744Q CHECK BL</v>
      </c>
      <c r="AJ76" s="23" t="str">
        <f>"ETD"&amp;TEXT(表1_8[[#This Row],[ETD]],"mmdd")&amp;" "&amp;表1_8[[#This Row],[HOUSE B/L]]&amp;" "&amp;表1_8[[#This Row],[MASTER B/L]]&amp;" 报关单"</f>
        <v>ETD0328 YJCSHAN1904688 DJSCSHBMSE90744Q 报关单</v>
      </c>
      <c r="AK76" s="23" t="str">
        <f>"ETD"&amp;TEXT(表1_8[[#This Row],[ETD]],"mmdd")&amp;" "&amp;表1_8[[#This Row],[HOUSE B/L]]&amp;" "&amp;表1_8[[#This Row],[MASTER B/L]]&amp;" 放行单"</f>
        <v>ETD0328 YJCSHAN1904688 DJSCSHBMSE90744Q 放行单</v>
      </c>
      <c r="AL76" s="23" t="str">
        <f>"ETD"&amp;TEXT(表1_8[[#This Row],[ETD]],"mmdd")&amp;" "&amp;表1_8[[#This Row],[HOUSE B/L]]&amp;" "&amp;表1_8[[#This Row],[MASTER B/L]]&amp;" SURRENDERED BL"</f>
        <v>ETD0328 YJCSHAN1904688 DJSCSHBMSE90744Q SURRENDERED BL</v>
      </c>
    </row>
    <row r="77" spans="2:38" hidden="1" x14ac:dyDescent="0.2">
      <c r="B77" s="22">
        <v>43552</v>
      </c>
      <c r="C77" s="23">
        <v>16</v>
      </c>
      <c r="D77" s="23" t="s">
        <v>546</v>
      </c>
      <c r="E77" s="23"/>
      <c r="F77" s="32"/>
      <c r="G77" s="32" t="s">
        <v>565</v>
      </c>
      <c r="H77" s="24" t="s">
        <v>595</v>
      </c>
      <c r="I77" s="23">
        <v>37</v>
      </c>
      <c r="J77" s="23">
        <v>265.10000000000002</v>
      </c>
      <c r="K77" s="23">
        <v>1.1359999999999999</v>
      </c>
      <c r="L77" s="51">
        <v>37</v>
      </c>
      <c r="M77" s="51">
        <v>265.10000000000002</v>
      </c>
      <c r="N77" s="51">
        <v>1.1359999999999999</v>
      </c>
      <c r="O77" s="31" t="s">
        <v>627</v>
      </c>
      <c r="P77" s="24"/>
      <c r="Q77" s="23" t="s">
        <v>646</v>
      </c>
      <c r="R77" s="25">
        <v>719111</v>
      </c>
      <c r="T77" s="23">
        <f>表1_8[[#This Row],[客户编号]]</f>
        <v>0</v>
      </c>
      <c r="U77" s="23" t="str">
        <f>表1_8[[#This Row],[MASTER B/L]]</f>
        <v>DJSCSHBMSE90744R</v>
      </c>
      <c r="V77" s="23">
        <f>表1_8[[#This Row],[件]]</f>
        <v>37</v>
      </c>
      <c r="W77" s="23">
        <f>表1_8[[#This Row],[毛]]</f>
        <v>265.10000000000002</v>
      </c>
      <c r="X77" s="23">
        <f>表1_8[[#This Row],[体]]</f>
        <v>1.1359999999999999</v>
      </c>
      <c r="Y77" s="31" t="str">
        <f>表1_8[[#This Row],[品名]]</f>
        <v>BICYCLE PARTS</v>
      </c>
      <c r="Z77" s="31" t="str">
        <f>RIGHT(表1_8[[#This Row],[编]],4)</f>
        <v/>
      </c>
      <c r="AA77" s="23" t="str">
        <f>表1_8[[#This Row],[箱号]]</f>
        <v>PHRU8703345</v>
      </c>
      <c r="AB77" s="25">
        <f>表1_8[[#This Row],[封号]]</f>
        <v>719111</v>
      </c>
      <c r="AC77" s="23">
        <f>表2[[#This Row],[件]]</f>
        <v>37</v>
      </c>
      <c r="AD77" s="23">
        <f>表2[[#This Row],[毛]]</f>
        <v>265.10000000000002</v>
      </c>
      <c r="AE77" s="23">
        <f>表2[[#This Row],[体]]</f>
        <v>1.1359999999999999</v>
      </c>
      <c r="AG77" s="23" t="str">
        <f>表1_8[[#This Row],[HOUSE B/L]]</f>
        <v>YJCSHAN1904694</v>
      </c>
      <c r="AH77" s="23" t="str">
        <f>表1_8[[#This Row],[MASTER B/L]]</f>
        <v>DJSCSHBMSE90744R</v>
      </c>
      <c r="AI77" s="23" t="str">
        <f>"ETD"&amp;TEXT(表1_8[[#This Row],[ETD]],"mmdd")&amp;" "&amp;表1_8[[#This Row],[HOUSE B/L]]&amp;" "&amp;表1_8[[#This Row],[MASTER B/L]]&amp;" CHECK BL"</f>
        <v>ETD0328 YJCSHAN1904694 DJSCSHBMSE90744R CHECK BL</v>
      </c>
      <c r="AJ77" s="23" t="str">
        <f>"ETD"&amp;TEXT(表1_8[[#This Row],[ETD]],"mmdd")&amp;" "&amp;表1_8[[#This Row],[HOUSE B/L]]&amp;" "&amp;表1_8[[#This Row],[MASTER B/L]]&amp;" 报关单"</f>
        <v>ETD0328 YJCSHAN1904694 DJSCSHBMSE90744R 报关单</v>
      </c>
      <c r="AK77" s="23" t="str">
        <f>"ETD"&amp;TEXT(表1_8[[#This Row],[ETD]],"mmdd")&amp;" "&amp;表1_8[[#This Row],[HOUSE B/L]]&amp;" "&amp;表1_8[[#This Row],[MASTER B/L]]&amp;" 放行单"</f>
        <v>ETD0328 YJCSHAN1904694 DJSCSHBMSE90744R 放行单</v>
      </c>
      <c r="AL77" s="23" t="str">
        <f>"ETD"&amp;TEXT(表1_8[[#This Row],[ETD]],"mmdd")&amp;" "&amp;表1_8[[#This Row],[HOUSE B/L]]&amp;" "&amp;表1_8[[#This Row],[MASTER B/L]]&amp;" SURRENDERED BL"</f>
        <v>ETD0328 YJCSHAN1904694 DJSCSHBMSE90744R SURRENDERED BL</v>
      </c>
    </row>
    <row r="78" spans="2:38" ht="72" hidden="1" x14ac:dyDescent="0.2">
      <c r="B78" s="22">
        <v>43552</v>
      </c>
      <c r="C78" s="23">
        <v>17</v>
      </c>
      <c r="D78" s="23" t="s">
        <v>538</v>
      </c>
      <c r="E78" s="23">
        <v>4561</v>
      </c>
      <c r="F78" s="32"/>
      <c r="G78" s="32" t="s">
        <v>566</v>
      </c>
      <c r="H78" s="24" t="s">
        <v>596</v>
      </c>
      <c r="I78" s="23">
        <v>1</v>
      </c>
      <c r="J78" s="23">
        <v>196.55</v>
      </c>
      <c r="K78" s="23">
        <v>1.44</v>
      </c>
      <c r="L78" s="51">
        <v>1</v>
      </c>
      <c r="M78" s="51">
        <v>196.55</v>
      </c>
      <c r="N78" s="51">
        <v>1.44</v>
      </c>
      <c r="O78" s="31" t="s">
        <v>623</v>
      </c>
      <c r="P78" s="24"/>
      <c r="Q78" s="23" t="s">
        <v>613</v>
      </c>
      <c r="R78" s="25">
        <v>719120</v>
      </c>
      <c r="T78" s="23">
        <f>表1_8[[#This Row],[客户编号]]</f>
        <v>0</v>
      </c>
      <c r="U78" s="23" t="str">
        <f>表1_8[[#This Row],[MASTER B/L]]</f>
        <v>DJSCSHBMSE90744S</v>
      </c>
      <c r="V78" s="23">
        <f>表1_8[[#This Row],[件]]</f>
        <v>1</v>
      </c>
      <c r="W78" s="23">
        <f>表1_8[[#This Row],[毛]]</f>
        <v>196.55</v>
      </c>
      <c r="X78" s="23">
        <f>表1_8[[#This Row],[体]]</f>
        <v>1.44</v>
      </c>
      <c r="Y78" s="31" t="str">
        <f>表1_8[[#This Row],[品名]]</f>
        <v>Y1XX KNOB
Y1XX MY 16 SUEDE KNOB
VW324/325 BOOT
VW324/325 BOOT LHD
Y1XX MY16 SUEDE BOOT
Y1XX BOOT</v>
      </c>
      <c r="Z78" s="31" t="str">
        <f>RIGHT(表1_8[[#This Row],[编]],4)</f>
        <v/>
      </c>
      <c r="AA78" s="23" t="str">
        <f>表1_8[[#This Row],[箱号]]</f>
        <v>TEMU7742795</v>
      </c>
      <c r="AB78" s="25">
        <f>表1_8[[#This Row],[封号]]</f>
        <v>719120</v>
      </c>
      <c r="AC78" s="23">
        <f>表2[[#This Row],[件]]</f>
        <v>1</v>
      </c>
      <c r="AD78" s="23">
        <f>表2[[#This Row],[毛]]</f>
        <v>196.55</v>
      </c>
      <c r="AE78" s="23">
        <f>表2[[#This Row],[体]]</f>
        <v>1.44</v>
      </c>
      <c r="AG78" s="23" t="str">
        <f>表1_8[[#This Row],[HOUSE B/L]]</f>
        <v>YJCSHAN1904701</v>
      </c>
      <c r="AH78" s="23" t="str">
        <f>表1_8[[#This Row],[MASTER B/L]]</f>
        <v>DJSCSHBMSE90744S</v>
      </c>
      <c r="AI78" s="23" t="str">
        <f>"ETD"&amp;TEXT(表1_8[[#This Row],[ETD]],"mmdd")&amp;" "&amp;表1_8[[#This Row],[HOUSE B/L]]&amp;" "&amp;表1_8[[#This Row],[MASTER B/L]]&amp;" CHECK BL"</f>
        <v>ETD0328 YJCSHAN1904701 DJSCSHBMSE90744S CHECK BL</v>
      </c>
      <c r="AJ78" s="23" t="str">
        <f>"ETD"&amp;TEXT(表1_8[[#This Row],[ETD]],"mmdd")&amp;" "&amp;表1_8[[#This Row],[HOUSE B/L]]&amp;" "&amp;表1_8[[#This Row],[MASTER B/L]]&amp;" 报关单"</f>
        <v>ETD0328 YJCSHAN1904701 DJSCSHBMSE90744S 报关单</v>
      </c>
      <c r="AK78" s="23" t="str">
        <f>"ETD"&amp;TEXT(表1_8[[#This Row],[ETD]],"mmdd")&amp;" "&amp;表1_8[[#This Row],[HOUSE B/L]]&amp;" "&amp;表1_8[[#This Row],[MASTER B/L]]&amp;" 放行单"</f>
        <v>ETD0328 YJCSHAN1904701 DJSCSHBMSE90744S 放行单</v>
      </c>
      <c r="AL78" s="23" t="str">
        <f>"ETD"&amp;TEXT(表1_8[[#This Row],[ETD]],"mmdd")&amp;" "&amp;表1_8[[#This Row],[HOUSE B/L]]&amp;" "&amp;表1_8[[#This Row],[MASTER B/L]]&amp;" SURRENDERED BL"</f>
        <v>ETD0328 YJCSHAN1904701 DJSCSHBMSE90744S SURRENDERED BL</v>
      </c>
    </row>
    <row r="79" spans="2:38" ht="120" hidden="1" x14ac:dyDescent="0.2">
      <c r="B79" s="22">
        <v>43552</v>
      </c>
      <c r="C79" s="23">
        <v>17</v>
      </c>
      <c r="D79" s="23" t="s">
        <v>538</v>
      </c>
      <c r="E79" s="23">
        <v>4561</v>
      </c>
      <c r="F79" s="32"/>
      <c r="G79" s="32" t="s">
        <v>566</v>
      </c>
      <c r="H79" s="24" t="s">
        <v>612</v>
      </c>
      <c r="I79" s="23">
        <v>99</v>
      </c>
      <c r="J79" s="23">
        <v>747.77</v>
      </c>
      <c r="K79" s="23">
        <v>7.2</v>
      </c>
      <c r="L79" s="51">
        <v>99</v>
      </c>
      <c r="M79" s="51">
        <v>747.77</v>
      </c>
      <c r="N79" s="51">
        <v>7.2</v>
      </c>
      <c r="O79" s="31" t="s">
        <v>649</v>
      </c>
      <c r="P79" s="24"/>
      <c r="Q79" s="23" t="s">
        <v>613</v>
      </c>
      <c r="R79" s="25">
        <v>719120</v>
      </c>
      <c r="T79" s="23">
        <f>表1_8[[#This Row],[客户编号]]</f>
        <v>0</v>
      </c>
      <c r="U79" s="23" t="str">
        <f>表1_8[[#This Row],[MASTER B/L]]</f>
        <v>DJSCSHBMSE90745E</v>
      </c>
      <c r="V79" s="23">
        <f>表1_8[[#This Row],[件]]</f>
        <v>99</v>
      </c>
      <c r="W79" s="23">
        <f>表1_8[[#This Row],[毛]]</f>
        <v>747.77</v>
      </c>
      <c r="X79" s="23">
        <f>表1_8[[#This Row],[体]]</f>
        <v>7.2</v>
      </c>
      <c r="Y79" s="31" t="str">
        <f>表1_8[[#This Row],[品名]]</f>
        <v>GMX351 KNOB
XTS KNOB-COVER
GMX351 SLEEVE
GMX351 SKIRT
GMX351 BUTTON COVER
Y1XX SKIRT
Y1XX BUTTON
MIC BUTTON
BAF &amp; CAF PP</v>
      </c>
      <c r="Z79" s="31" t="str">
        <f>RIGHT(表1_8[[#This Row],[编]],4)</f>
        <v/>
      </c>
      <c r="AA79" s="23" t="str">
        <f>表1_8[[#This Row],[箱号]]</f>
        <v>TEMU7742795</v>
      </c>
      <c r="AB79" s="25">
        <f>表1_8[[#This Row],[封号]]</f>
        <v>719120</v>
      </c>
      <c r="AC79" s="23">
        <f>表2[[#This Row],[件]]</f>
        <v>99</v>
      </c>
      <c r="AD79" s="23">
        <f>表2[[#This Row],[毛]]</f>
        <v>747.77</v>
      </c>
      <c r="AE79" s="23">
        <f>表2[[#This Row],[体]]</f>
        <v>7.2</v>
      </c>
      <c r="AG79" s="23" t="str">
        <f>表1_8[[#This Row],[HOUSE B/L]]</f>
        <v>YJCSHAN1904701</v>
      </c>
      <c r="AH79" s="23" t="str">
        <f>表1_8[[#This Row],[MASTER B/L]]</f>
        <v>DJSCSHBMSE90745E</v>
      </c>
      <c r="AI79" s="23" t="str">
        <f>"ETD"&amp;TEXT(表1_8[[#This Row],[ETD]],"mmdd")&amp;" "&amp;表1_8[[#This Row],[HOUSE B/L]]&amp;" "&amp;表1_8[[#This Row],[MASTER B/L]]&amp;" CHECK BL"</f>
        <v>ETD0328 YJCSHAN1904701 DJSCSHBMSE90745E CHECK BL</v>
      </c>
      <c r="AJ79" s="23" t="str">
        <f>"ETD"&amp;TEXT(表1_8[[#This Row],[ETD]],"mmdd")&amp;" "&amp;表1_8[[#This Row],[HOUSE B/L]]&amp;" "&amp;表1_8[[#This Row],[MASTER B/L]]&amp;" 报关单"</f>
        <v>ETD0328 YJCSHAN1904701 DJSCSHBMSE90745E 报关单</v>
      </c>
      <c r="AK79" s="23" t="str">
        <f>"ETD"&amp;TEXT(表1_8[[#This Row],[ETD]],"mmdd")&amp;" "&amp;表1_8[[#This Row],[HOUSE B/L]]&amp;" "&amp;表1_8[[#This Row],[MASTER B/L]]&amp;" 放行单"</f>
        <v>ETD0328 YJCSHAN1904701 DJSCSHBMSE90745E 放行单</v>
      </c>
      <c r="AL79" s="23" t="str">
        <f>"ETD"&amp;TEXT(表1_8[[#This Row],[ETD]],"mmdd")&amp;" "&amp;表1_8[[#This Row],[HOUSE B/L]]&amp;" "&amp;表1_8[[#This Row],[MASTER B/L]]&amp;" SURRENDERED BL"</f>
        <v>ETD0328 YJCSHAN1904701 DJSCSHBMSE90745E SURRENDERED BL</v>
      </c>
    </row>
    <row r="80" spans="2:38" hidden="1" x14ac:dyDescent="0.2">
      <c r="B80" s="22">
        <v>43552</v>
      </c>
      <c r="C80" s="23">
        <v>18</v>
      </c>
      <c r="D80" s="23" t="s">
        <v>547</v>
      </c>
      <c r="E80" s="23"/>
      <c r="F80" s="24"/>
      <c r="G80" s="24" t="s">
        <v>567</v>
      </c>
      <c r="H80" s="24" t="s">
        <v>597</v>
      </c>
      <c r="I80" s="23">
        <v>1</v>
      </c>
      <c r="J80" s="23">
        <v>309</v>
      </c>
      <c r="K80" s="23">
        <v>0.92</v>
      </c>
      <c r="L80" s="51">
        <v>1</v>
      </c>
      <c r="M80" s="51">
        <v>309</v>
      </c>
      <c r="N80" s="51">
        <v>0.92</v>
      </c>
      <c r="O80" s="31" t="s">
        <v>628</v>
      </c>
      <c r="P80" s="24"/>
      <c r="Q80" s="23" t="s">
        <v>646</v>
      </c>
      <c r="R80" s="25">
        <v>719111</v>
      </c>
      <c r="T80" s="23">
        <f>表1_8[[#This Row],[客户编号]]</f>
        <v>0</v>
      </c>
      <c r="U80" s="23" t="str">
        <f>表1_8[[#This Row],[MASTER B/L]]</f>
        <v>DJSCSHBMSE90744T</v>
      </c>
      <c r="V80" s="23">
        <f>表1_8[[#This Row],[件]]</f>
        <v>1</v>
      </c>
      <c r="W80" s="23">
        <f>表1_8[[#This Row],[毛]]</f>
        <v>309</v>
      </c>
      <c r="X80" s="23">
        <f>表1_8[[#This Row],[体]]</f>
        <v>0.92</v>
      </c>
      <c r="Y80" s="31" t="str">
        <f>表1_8[[#This Row],[品名]]</f>
        <v>BALL BEARING</v>
      </c>
      <c r="Z80" s="31" t="str">
        <f>RIGHT(表1_8[[#This Row],[编]],4)</f>
        <v/>
      </c>
      <c r="AA80" s="23" t="str">
        <f>表1_8[[#This Row],[箱号]]</f>
        <v>PHRU8703345</v>
      </c>
      <c r="AB80" s="25">
        <f>表1_8[[#This Row],[封号]]</f>
        <v>719111</v>
      </c>
      <c r="AC80" s="23">
        <f>表2[[#This Row],[件]]</f>
        <v>1</v>
      </c>
      <c r="AD80" s="23">
        <f>表2[[#This Row],[毛]]</f>
        <v>309</v>
      </c>
      <c r="AE80" s="23">
        <f>表2[[#This Row],[体]]</f>
        <v>0.92</v>
      </c>
      <c r="AG80" s="23" t="str">
        <f>表1_8[[#This Row],[HOUSE B/L]]</f>
        <v>YJCSHAN1904716</v>
      </c>
      <c r="AH80" s="23" t="str">
        <f>表1_8[[#This Row],[MASTER B/L]]</f>
        <v>DJSCSHBMSE90744T</v>
      </c>
      <c r="AI80" s="23" t="str">
        <f>"ETD"&amp;TEXT(表1_8[[#This Row],[ETD]],"mmdd")&amp;" "&amp;表1_8[[#This Row],[HOUSE B/L]]&amp;" "&amp;表1_8[[#This Row],[MASTER B/L]]&amp;" CHECK BL"</f>
        <v>ETD0328 YJCSHAN1904716 DJSCSHBMSE90744T CHECK BL</v>
      </c>
      <c r="AJ80" s="23" t="str">
        <f>"ETD"&amp;TEXT(表1_8[[#This Row],[ETD]],"mmdd")&amp;" "&amp;表1_8[[#This Row],[HOUSE B/L]]&amp;" "&amp;表1_8[[#This Row],[MASTER B/L]]&amp;" 报关单"</f>
        <v>ETD0328 YJCSHAN1904716 DJSCSHBMSE90744T 报关单</v>
      </c>
      <c r="AK80" s="23" t="str">
        <f>"ETD"&amp;TEXT(表1_8[[#This Row],[ETD]],"mmdd")&amp;" "&amp;表1_8[[#This Row],[HOUSE B/L]]&amp;" "&amp;表1_8[[#This Row],[MASTER B/L]]&amp;" 放行单"</f>
        <v>ETD0328 YJCSHAN1904716 DJSCSHBMSE90744T 放行单</v>
      </c>
      <c r="AL80" s="23" t="str">
        <f>"ETD"&amp;TEXT(表1_8[[#This Row],[ETD]],"mmdd")&amp;" "&amp;表1_8[[#This Row],[HOUSE B/L]]&amp;" "&amp;表1_8[[#This Row],[MASTER B/L]]&amp;" SURRENDERED BL"</f>
        <v>ETD0328 YJCSHAN1904716 DJSCSHBMSE90744T SURRENDERED BL</v>
      </c>
    </row>
    <row r="81" spans="2:38" hidden="1" x14ac:dyDescent="0.2">
      <c r="B81" s="22">
        <v>43552</v>
      </c>
      <c r="C81" s="23">
        <v>19</v>
      </c>
      <c r="D81" s="23" t="s">
        <v>548</v>
      </c>
      <c r="E81" s="23"/>
      <c r="F81" s="24"/>
      <c r="G81" s="24" t="s">
        <v>568</v>
      </c>
      <c r="H81" s="24" t="s">
        <v>598</v>
      </c>
      <c r="I81" s="23">
        <v>1</v>
      </c>
      <c r="J81" s="23">
        <v>263</v>
      </c>
      <c r="K81" s="23">
        <v>0.35499999999999998</v>
      </c>
      <c r="L81" s="51">
        <v>1</v>
      </c>
      <c r="M81" s="51">
        <v>263</v>
      </c>
      <c r="N81" s="51">
        <v>0.35499999999999998</v>
      </c>
      <c r="O81" s="31" t="s">
        <v>629</v>
      </c>
      <c r="P81" s="24"/>
      <c r="Q81" s="23" t="s">
        <v>646</v>
      </c>
      <c r="R81" s="25">
        <v>719111</v>
      </c>
      <c r="T81" s="23">
        <f>表1_8[[#This Row],[客户编号]]</f>
        <v>0</v>
      </c>
      <c r="U81" s="23" t="str">
        <f>表1_8[[#This Row],[MASTER B/L]]</f>
        <v>DJSCSHBMSE90744U</v>
      </c>
      <c r="V81" s="23">
        <f>表1_8[[#This Row],[件]]</f>
        <v>1</v>
      </c>
      <c r="W81" s="23">
        <f>表1_8[[#This Row],[毛]]</f>
        <v>263</v>
      </c>
      <c r="X81" s="23">
        <f>表1_8[[#This Row],[体]]</f>
        <v>0.35499999999999998</v>
      </c>
      <c r="Y81" s="31" t="str">
        <f>表1_8[[#This Row],[品名]]</f>
        <v>HUB BRG</v>
      </c>
      <c r="Z81" s="31" t="str">
        <f>RIGHT(表1_8[[#This Row],[编]],4)</f>
        <v/>
      </c>
      <c r="AA81" s="23" t="str">
        <f>表1_8[[#This Row],[箱号]]</f>
        <v>PHRU8703345</v>
      </c>
      <c r="AB81" s="25">
        <f>表1_8[[#This Row],[封号]]</f>
        <v>719111</v>
      </c>
      <c r="AC81" s="23">
        <f>表2[[#This Row],[件]]</f>
        <v>1</v>
      </c>
      <c r="AD81" s="23">
        <f>表2[[#This Row],[毛]]</f>
        <v>263</v>
      </c>
      <c r="AE81" s="23">
        <f>表2[[#This Row],[体]]</f>
        <v>0.35499999999999998</v>
      </c>
      <c r="AG81" s="23" t="str">
        <f>表1_8[[#This Row],[HOUSE B/L]]</f>
        <v>YJCSHAN1904730</v>
      </c>
      <c r="AH81" s="23" t="str">
        <f>表1_8[[#This Row],[MASTER B/L]]</f>
        <v>DJSCSHBMSE90744U</v>
      </c>
      <c r="AI81" s="23" t="str">
        <f>"ETD"&amp;TEXT(表1_8[[#This Row],[ETD]],"mmdd")&amp;" "&amp;表1_8[[#This Row],[HOUSE B/L]]&amp;" "&amp;表1_8[[#This Row],[MASTER B/L]]&amp;" CHECK BL"</f>
        <v>ETD0328 YJCSHAN1904730 DJSCSHBMSE90744U CHECK BL</v>
      </c>
      <c r="AJ81" s="23" t="str">
        <f>"ETD"&amp;TEXT(表1_8[[#This Row],[ETD]],"mmdd")&amp;" "&amp;表1_8[[#This Row],[HOUSE B/L]]&amp;" "&amp;表1_8[[#This Row],[MASTER B/L]]&amp;" 报关单"</f>
        <v>ETD0328 YJCSHAN1904730 DJSCSHBMSE90744U 报关单</v>
      </c>
      <c r="AK81" s="23" t="str">
        <f>"ETD"&amp;TEXT(表1_8[[#This Row],[ETD]],"mmdd")&amp;" "&amp;表1_8[[#This Row],[HOUSE B/L]]&amp;" "&amp;表1_8[[#This Row],[MASTER B/L]]&amp;" 放行单"</f>
        <v>ETD0328 YJCSHAN1904730 DJSCSHBMSE90744U 放行单</v>
      </c>
      <c r="AL81" s="23" t="str">
        <f>"ETD"&amp;TEXT(表1_8[[#This Row],[ETD]],"mmdd")&amp;" "&amp;表1_8[[#This Row],[HOUSE B/L]]&amp;" "&amp;表1_8[[#This Row],[MASTER B/L]]&amp;" SURRENDERED BL"</f>
        <v>ETD0328 YJCSHAN1904730 DJSCSHBMSE90744U SURRENDERED BL</v>
      </c>
    </row>
    <row r="82" spans="2:38" hidden="1" x14ac:dyDescent="0.2">
      <c r="B82" s="22">
        <v>43552</v>
      </c>
      <c r="C82" s="23">
        <v>20</v>
      </c>
      <c r="D82" s="23" t="s">
        <v>551</v>
      </c>
      <c r="E82" s="23"/>
      <c r="F82" s="24"/>
      <c r="G82" s="24" t="s">
        <v>569</v>
      </c>
      <c r="H82" s="24" t="s">
        <v>599</v>
      </c>
      <c r="I82" s="23">
        <v>3</v>
      </c>
      <c r="J82" s="23">
        <v>2748</v>
      </c>
      <c r="K82" s="23">
        <v>6</v>
      </c>
      <c r="L82" s="51">
        <v>3</v>
      </c>
      <c r="M82" s="51">
        <v>2748</v>
      </c>
      <c r="N82" s="51">
        <v>6</v>
      </c>
      <c r="O82" s="31" t="s">
        <v>630</v>
      </c>
      <c r="P82" s="24"/>
      <c r="Q82" s="23" t="s">
        <v>645</v>
      </c>
      <c r="R82" s="25">
        <v>719113</v>
      </c>
      <c r="T82" s="23">
        <f>表1_8[[#This Row],[客户编号]]</f>
        <v>0</v>
      </c>
      <c r="U82" s="23" t="str">
        <f>表1_8[[#This Row],[MASTER B/L]]</f>
        <v>DJSCSHBMSE90744V</v>
      </c>
      <c r="V82" s="23">
        <f>表1_8[[#This Row],[件]]</f>
        <v>3</v>
      </c>
      <c r="W82" s="23">
        <f>表1_8[[#This Row],[毛]]</f>
        <v>2748</v>
      </c>
      <c r="X82" s="23">
        <f>表1_8[[#This Row],[体]]</f>
        <v>6</v>
      </c>
      <c r="Y82" s="31" t="str">
        <f>表1_8[[#This Row],[品名]]</f>
        <v>DRAIN PUMP</v>
      </c>
      <c r="Z82" s="31" t="str">
        <f>RIGHT(表1_8[[#This Row],[编]],4)</f>
        <v/>
      </c>
      <c r="AA82" s="23" t="str">
        <f>表1_8[[#This Row],[箱号]]</f>
        <v>DRYU9913493</v>
      </c>
      <c r="AB82" s="25">
        <f>表1_8[[#This Row],[封号]]</f>
        <v>719113</v>
      </c>
      <c r="AC82" s="23">
        <f>表2[[#This Row],[件]]</f>
        <v>3</v>
      </c>
      <c r="AD82" s="23">
        <f>表2[[#This Row],[毛]]</f>
        <v>2748</v>
      </c>
      <c r="AE82" s="23">
        <f>表2[[#This Row],[体]]</f>
        <v>6</v>
      </c>
      <c r="AG82" s="23" t="str">
        <f>表1_8[[#This Row],[HOUSE B/L]]</f>
        <v>YJCSHAN1904741</v>
      </c>
      <c r="AH82" s="23" t="str">
        <f>表1_8[[#This Row],[MASTER B/L]]</f>
        <v>DJSCSHBMSE90744V</v>
      </c>
      <c r="AI82" s="23" t="str">
        <f>"ETD"&amp;TEXT(表1_8[[#This Row],[ETD]],"mmdd")&amp;" "&amp;表1_8[[#This Row],[HOUSE B/L]]&amp;" "&amp;表1_8[[#This Row],[MASTER B/L]]&amp;" CHECK BL"</f>
        <v>ETD0328 YJCSHAN1904741 DJSCSHBMSE90744V CHECK BL</v>
      </c>
      <c r="AJ82" s="23" t="str">
        <f>"ETD"&amp;TEXT(表1_8[[#This Row],[ETD]],"mmdd")&amp;" "&amp;表1_8[[#This Row],[HOUSE B/L]]&amp;" "&amp;表1_8[[#This Row],[MASTER B/L]]&amp;" 报关单"</f>
        <v>ETD0328 YJCSHAN1904741 DJSCSHBMSE90744V 报关单</v>
      </c>
      <c r="AK82" s="23" t="str">
        <f>"ETD"&amp;TEXT(表1_8[[#This Row],[ETD]],"mmdd")&amp;" "&amp;表1_8[[#This Row],[HOUSE B/L]]&amp;" "&amp;表1_8[[#This Row],[MASTER B/L]]&amp;" 放行单"</f>
        <v>ETD0328 YJCSHAN1904741 DJSCSHBMSE90744V 放行单</v>
      </c>
      <c r="AL82" s="23" t="str">
        <f>"ETD"&amp;TEXT(表1_8[[#This Row],[ETD]],"mmdd")&amp;" "&amp;表1_8[[#This Row],[HOUSE B/L]]&amp;" "&amp;表1_8[[#This Row],[MASTER B/L]]&amp;" SURRENDERED BL"</f>
        <v>ETD0328 YJCSHAN1904741 DJSCSHBMSE90744V SURRENDERED BL</v>
      </c>
    </row>
    <row r="83" spans="2:38" hidden="1" x14ac:dyDescent="0.2">
      <c r="B83" s="22">
        <v>43552</v>
      </c>
      <c r="C83" s="23">
        <v>21</v>
      </c>
      <c r="D83" s="23" t="s">
        <v>389</v>
      </c>
      <c r="E83" s="23"/>
      <c r="F83" s="24"/>
      <c r="G83" s="24" t="s">
        <v>570</v>
      </c>
      <c r="H83" s="24" t="s">
        <v>600</v>
      </c>
      <c r="I83" s="23">
        <v>70</v>
      </c>
      <c r="J83" s="23">
        <v>983.22</v>
      </c>
      <c r="K83" s="23">
        <v>2.84</v>
      </c>
      <c r="L83" s="51">
        <v>70</v>
      </c>
      <c r="M83" s="51">
        <v>983.22</v>
      </c>
      <c r="N83" s="51">
        <v>2.84</v>
      </c>
      <c r="O83" s="31" t="s">
        <v>631</v>
      </c>
      <c r="P83" s="24"/>
      <c r="Q83" s="23" t="s">
        <v>645</v>
      </c>
      <c r="R83" s="25">
        <v>719113</v>
      </c>
      <c r="T83" s="23">
        <f>表1_8[[#This Row],[客户编号]]</f>
        <v>0</v>
      </c>
      <c r="U83" s="23" t="str">
        <f>表1_8[[#This Row],[MASTER B/L]]</f>
        <v>DJSCSHBMSE90744W</v>
      </c>
      <c r="V83" s="23">
        <f>表1_8[[#This Row],[件]]</f>
        <v>70</v>
      </c>
      <c r="W83" s="23">
        <f>表1_8[[#This Row],[毛]]</f>
        <v>983.22</v>
      </c>
      <c r="X83" s="23">
        <f>表1_8[[#This Row],[体]]</f>
        <v>2.84</v>
      </c>
      <c r="Y83" s="31" t="str">
        <f>表1_8[[#This Row],[品名]]</f>
        <v>POWER SUPPLY CORD SETS</v>
      </c>
      <c r="Z83" s="31" t="str">
        <f>RIGHT(表1_8[[#This Row],[编]],4)</f>
        <v/>
      </c>
      <c r="AA83" s="23" t="str">
        <f>表1_8[[#This Row],[箱号]]</f>
        <v>DRYU9913493</v>
      </c>
      <c r="AB83" s="25">
        <f>表1_8[[#This Row],[封号]]</f>
        <v>719113</v>
      </c>
      <c r="AC83" s="23">
        <f>表2[[#This Row],[件]]</f>
        <v>70</v>
      </c>
      <c r="AD83" s="23">
        <f>表2[[#This Row],[毛]]</f>
        <v>983.22</v>
      </c>
      <c r="AE83" s="23">
        <f>表2[[#This Row],[体]]</f>
        <v>2.84</v>
      </c>
      <c r="AG83" s="23" t="str">
        <f>表1_8[[#This Row],[HOUSE B/L]]</f>
        <v>YJCSHAN1904756</v>
      </c>
      <c r="AH83" s="23" t="str">
        <f>表1_8[[#This Row],[MASTER B/L]]</f>
        <v>DJSCSHBMSE90744W</v>
      </c>
      <c r="AI83" s="23" t="str">
        <f>"ETD"&amp;TEXT(表1_8[[#This Row],[ETD]],"mmdd")&amp;" "&amp;表1_8[[#This Row],[HOUSE B/L]]&amp;" "&amp;表1_8[[#This Row],[MASTER B/L]]&amp;" CHECK BL"</f>
        <v>ETD0328 YJCSHAN1904756 DJSCSHBMSE90744W CHECK BL</v>
      </c>
      <c r="AJ83" s="23" t="str">
        <f>"ETD"&amp;TEXT(表1_8[[#This Row],[ETD]],"mmdd")&amp;" "&amp;表1_8[[#This Row],[HOUSE B/L]]&amp;" "&amp;表1_8[[#This Row],[MASTER B/L]]&amp;" 报关单"</f>
        <v>ETD0328 YJCSHAN1904756 DJSCSHBMSE90744W 报关单</v>
      </c>
      <c r="AK83" s="23" t="str">
        <f>"ETD"&amp;TEXT(表1_8[[#This Row],[ETD]],"mmdd")&amp;" "&amp;表1_8[[#This Row],[HOUSE B/L]]&amp;" "&amp;表1_8[[#This Row],[MASTER B/L]]&amp;" 放行单"</f>
        <v>ETD0328 YJCSHAN1904756 DJSCSHBMSE90744W 放行单</v>
      </c>
      <c r="AL83" s="23" t="str">
        <f>"ETD"&amp;TEXT(表1_8[[#This Row],[ETD]],"mmdd")&amp;" "&amp;表1_8[[#This Row],[HOUSE B/L]]&amp;" "&amp;表1_8[[#This Row],[MASTER B/L]]&amp;" SURRENDERED BL"</f>
        <v>ETD0328 YJCSHAN1904756 DJSCSHBMSE90744W SURRENDERED BL</v>
      </c>
    </row>
    <row r="84" spans="2:38" hidden="1" x14ac:dyDescent="0.2">
      <c r="B84" s="22">
        <v>43552</v>
      </c>
      <c r="C84" s="23">
        <v>22</v>
      </c>
      <c r="D84" s="23" t="s">
        <v>549</v>
      </c>
      <c r="E84" s="23"/>
      <c r="F84" s="24"/>
      <c r="G84" s="24" t="s">
        <v>571</v>
      </c>
      <c r="H84" s="24" t="s">
        <v>601</v>
      </c>
      <c r="I84" s="23">
        <v>1</v>
      </c>
      <c r="J84" s="23">
        <v>15</v>
      </c>
      <c r="K84" s="23">
        <v>3.3000000000000002E-2</v>
      </c>
      <c r="L84" s="51">
        <v>1</v>
      </c>
      <c r="M84" s="51">
        <v>15</v>
      </c>
      <c r="N84" s="51">
        <v>3.3000000000000002E-2</v>
      </c>
      <c r="O84" s="31" t="s">
        <v>632</v>
      </c>
      <c r="P84" s="24"/>
      <c r="Q84" s="23" t="s">
        <v>646</v>
      </c>
      <c r="R84" s="25">
        <v>719111</v>
      </c>
      <c r="T84" s="23">
        <f>表1_8[[#This Row],[客户编号]]</f>
        <v>0</v>
      </c>
      <c r="U84" s="23" t="str">
        <f>表1_8[[#This Row],[MASTER B/L]]</f>
        <v>DJSCSHBMSE90744X</v>
      </c>
      <c r="V84" s="23">
        <f>表1_8[[#This Row],[件]]</f>
        <v>1</v>
      </c>
      <c r="W84" s="23">
        <f>表1_8[[#This Row],[毛]]</f>
        <v>15</v>
      </c>
      <c r="X84" s="23">
        <f>表1_8[[#This Row],[体]]</f>
        <v>3.3000000000000002E-2</v>
      </c>
      <c r="Y84" s="31" t="str">
        <f>表1_8[[#This Row],[品名]]</f>
        <v>AMPL ASSY-AIR COND, AUTO</v>
      </c>
      <c r="Z84" s="31" t="str">
        <f>RIGHT(表1_8[[#This Row],[编]],4)</f>
        <v/>
      </c>
      <c r="AA84" s="23" t="str">
        <f>表1_8[[#This Row],[箱号]]</f>
        <v>PHRU8703345</v>
      </c>
      <c r="AB84" s="25">
        <f>表1_8[[#This Row],[封号]]</f>
        <v>719111</v>
      </c>
      <c r="AC84" s="23">
        <f>表2[[#This Row],[件]]</f>
        <v>1</v>
      </c>
      <c r="AD84" s="23">
        <f>表2[[#This Row],[毛]]</f>
        <v>15</v>
      </c>
      <c r="AE84" s="23">
        <f>表2[[#This Row],[体]]</f>
        <v>3.3000000000000002E-2</v>
      </c>
      <c r="AG84" s="23" t="str">
        <f>表1_8[[#This Row],[HOUSE B/L]]</f>
        <v>YJCSHAN1904768</v>
      </c>
      <c r="AH84" s="23" t="str">
        <f>表1_8[[#This Row],[MASTER B/L]]</f>
        <v>DJSCSHBMSE90744X</v>
      </c>
      <c r="AI84" s="23" t="str">
        <f>"ETD"&amp;TEXT(表1_8[[#This Row],[ETD]],"mmdd")&amp;" "&amp;表1_8[[#This Row],[HOUSE B/L]]&amp;" "&amp;表1_8[[#This Row],[MASTER B/L]]&amp;" CHECK BL"</f>
        <v>ETD0328 YJCSHAN1904768 DJSCSHBMSE90744X CHECK BL</v>
      </c>
      <c r="AJ84" s="23" t="str">
        <f>"ETD"&amp;TEXT(表1_8[[#This Row],[ETD]],"mmdd")&amp;" "&amp;表1_8[[#This Row],[HOUSE B/L]]&amp;" "&amp;表1_8[[#This Row],[MASTER B/L]]&amp;" 报关单"</f>
        <v>ETD0328 YJCSHAN1904768 DJSCSHBMSE90744X 报关单</v>
      </c>
      <c r="AK84" s="23" t="str">
        <f>"ETD"&amp;TEXT(表1_8[[#This Row],[ETD]],"mmdd")&amp;" "&amp;表1_8[[#This Row],[HOUSE B/L]]&amp;" "&amp;表1_8[[#This Row],[MASTER B/L]]&amp;" 放行单"</f>
        <v>ETD0328 YJCSHAN1904768 DJSCSHBMSE90744X 放行单</v>
      </c>
      <c r="AL84" s="23" t="str">
        <f>"ETD"&amp;TEXT(表1_8[[#This Row],[ETD]],"mmdd")&amp;" "&amp;表1_8[[#This Row],[HOUSE B/L]]&amp;" "&amp;表1_8[[#This Row],[MASTER B/L]]&amp;" SURRENDERED BL"</f>
        <v>ETD0328 YJCSHAN1904768 DJSCSHBMSE90744X SURRENDERED BL</v>
      </c>
    </row>
    <row r="85" spans="2:38" ht="108" hidden="1" x14ac:dyDescent="0.2">
      <c r="B85" s="22">
        <v>43552</v>
      </c>
      <c r="C85" s="23">
        <v>23</v>
      </c>
      <c r="D85" s="23" t="s">
        <v>550</v>
      </c>
      <c r="E85" s="23"/>
      <c r="F85" s="24"/>
      <c r="G85" s="24" t="s">
        <v>572</v>
      </c>
      <c r="H85" s="24" t="s">
        <v>602</v>
      </c>
      <c r="I85" s="23">
        <v>167</v>
      </c>
      <c r="J85" s="23">
        <v>958</v>
      </c>
      <c r="K85" s="23">
        <v>7.4</v>
      </c>
      <c r="L85" s="51">
        <v>167</v>
      </c>
      <c r="M85" s="51">
        <v>958</v>
      </c>
      <c r="N85" s="51">
        <v>7.4</v>
      </c>
      <c r="O85" s="31" t="s">
        <v>647</v>
      </c>
      <c r="P85" s="24"/>
      <c r="Q85" s="23" t="s">
        <v>645</v>
      </c>
      <c r="R85" s="25">
        <v>719113</v>
      </c>
      <c r="T85" s="23">
        <f>表1_8[[#This Row],[客户编号]]</f>
        <v>0</v>
      </c>
      <c r="U85" s="23" t="str">
        <f>表1_8[[#This Row],[MASTER B/L]]</f>
        <v>DJSCSHBMSE90744Y</v>
      </c>
      <c r="V85" s="23">
        <f>表1_8[[#This Row],[件]]</f>
        <v>167</v>
      </c>
      <c r="W85" s="23">
        <f>表1_8[[#This Row],[毛]]</f>
        <v>958</v>
      </c>
      <c r="X85" s="23">
        <f>表1_8[[#This Row],[体]]</f>
        <v>7.4</v>
      </c>
      <c r="Y85" s="31" t="str">
        <f>表1_8[[#This Row],[品名]]</f>
        <v>PUSH TO CLOSE LATCH
CABLE ASSEMBLY
COMPRESSION LATCH, MEDIUM SS POLISHED
HARDWARE PACKAGE
PULL, SNAP-IN
HINGES, CUSTOM
BATCH(ES)
BAF &amp; CAF PP</v>
      </c>
      <c r="Z85" s="31" t="str">
        <f>RIGHT(表1_8[[#This Row],[编]],4)</f>
        <v/>
      </c>
      <c r="AA85" s="23" t="str">
        <f>表1_8[[#This Row],[箱号]]</f>
        <v>DRYU9913493</v>
      </c>
      <c r="AB85" s="25">
        <f>表1_8[[#This Row],[封号]]</f>
        <v>719113</v>
      </c>
      <c r="AC85" s="23">
        <f>表2[[#This Row],[件]]</f>
        <v>167</v>
      </c>
      <c r="AD85" s="23">
        <f>表2[[#This Row],[毛]]</f>
        <v>958</v>
      </c>
      <c r="AE85" s="23">
        <f>表2[[#This Row],[体]]</f>
        <v>7.4</v>
      </c>
      <c r="AG85" s="23" t="str">
        <f>表1_8[[#This Row],[HOUSE B/L]]</f>
        <v>YJCSHAN1904773</v>
      </c>
      <c r="AH85" s="23" t="str">
        <f>表1_8[[#This Row],[MASTER B/L]]</f>
        <v>DJSCSHBMSE90744Y</v>
      </c>
      <c r="AI85" s="23" t="str">
        <f>"ETD"&amp;TEXT(表1_8[[#This Row],[ETD]],"mmdd")&amp;" "&amp;表1_8[[#This Row],[HOUSE B/L]]&amp;" "&amp;表1_8[[#This Row],[MASTER B/L]]&amp;" CHECK BL"</f>
        <v>ETD0328 YJCSHAN1904773 DJSCSHBMSE90744Y CHECK BL</v>
      </c>
      <c r="AJ85" s="23" t="str">
        <f>"ETD"&amp;TEXT(表1_8[[#This Row],[ETD]],"mmdd")&amp;" "&amp;表1_8[[#This Row],[HOUSE B/L]]&amp;" "&amp;表1_8[[#This Row],[MASTER B/L]]&amp;" 报关单"</f>
        <v>ETD0328 YJCSHAN1904773 DJSCSHBMSE90744Y 报关单</v>
      </c>
      <c r="AK85" s="23" t="str">
        <f>"ETD"&amp;TEXT(表1_8[[#This Row],[ETD]],"mmdd")&amp;" "&amp;表1_8[[#This Row],[HOUSE B/L]]&amp;" "&amp;表1_8[[#This Row],[MASTER B/L]]&amp;" 放行单"</f>
        <v>ETD0328 YJCSHAN1904773 DJSCSHBMSE90744Y 放行单</v>
      </c>
      <c r="AL85" s="23" t="str">
        <f>"ETD"&amp;TEXT(表1_8[[#This Row],[ETD]],"mmdd")&amp;" "&amp;表1_8[[#This Row],[HOUSE B/L]]&amp;" "&amp;表1_8[[#This Row],[MASTER B/L]]&amp;" SURRENDERED BL"</f>
        <v>ETD0328 YJCSHAN1904773 DJSCSHBMSE90744Y SURRENDERED BL</v>
      </c>
    </row>
    <row r="86" spans="2:38" ht="24" hidden="1" x14ac:dyDescent="0.2">
      <c r="B86" s="22">
        <v>43552</v>
      </c>
      <c r="C86" s="23">
        <v>24</v>
      </c>
      <c r="D86" s="23" t="s">
        <v>117</v>
      </c>
      <c r="E86" s="23"/>
      <c r="F86" s="24"/>
      <c r="G86" s="24" t="s">
        <v>573</v>
      </c>
      <c r="H86" s="24" t="s">
        <v>603</v>
      </c>
      <c r="I86" s="23">
        <v>5</v>
      </c>
      <c r="J86" s="23">
        <v>430</v>
      </c>
      <c r="K86" s="23">
        <v>6</v>
      </c>
      <c r="L86" s="51">
        <v>5</v>
      </c>
      <c r="M86" s="51">
        <v>430</v>
      </c>
      <c r="N86" s="51">
        <v>6</v>
      </c>
      <c r="O86" s="31" t="s">
        <v>633</v>
      </c>
      <c r="P86" s="24"/>
      <c r="Q86" s="23" t="s">
        <v>646</v>
      </c>
      <c r="R86" s="25">
        <v>719111</v>
      </c>
      <c r="T86" s="23">
        <f>表1_8[[#This Row],[客户编号]]</f>
        <v>0</v>
      </c>
      <c r="U86" s="23" t="str">
        <f>表1_8[[#This Row],[MASTER B/L]]</f>
        <v>DJSCSHBMSE90744Z</v>
      </c>
      <c r="V86" s="23">
        <f>表1_8[[#This Row],[件]]</f>
        <v>5</v>
      </c>
      <c r="W86" s="23">
        <f>表1_8[[#This Row],[毛]]</f>
        <v>430</v>
      </c>
      <c r="X86" s="23">
        <f>表1_8[[#This Row],[体]]</f>
        <v>6</v>
      </c>
      <c r="Y86" s="31" t="str">
        <f>表1_8[[#This Row],[品名]]</f>
        <v>TUBE-RAD INLET
PIPE-RADIATOR</v>
      </c>
      <c r="Z86" s="31" t="str">
        <f>RIGHT(表1_8[[#This Row],[编]],4)</f>
        <v/>
      </c>
      <c r="AA86" s="23" t="str">
        <f>表1_8[[#This Row],[箱号]]</f>
        <v>PHRU8703345</v>
      </c>
      <c r="AB86" s="25">
        <f>表1_8[[#This Row],[封号]]</f>
        <v>719111</v>
      </c>
      <c r="AC86" s="23">
        <f>表2[[#This Row],[件]]</f>
        <v>5</v>
      </c>
      <c r="AD86" s="23">
        <f>表2[[#This Row],[毛]]</f>
        <v>430</v>
      </c>
      <c r="AE86" s="23">
        <f>表2[[#This Row],[体]]</f>
        <v>6</v>
      </c>
      <c r="AG86" s="23" t="str">
        <f>表1_8[[#This Row],[HOUSE B/L]]</f>
        <v>YJCSHAN1904633</v>
      </c>
      <c r="AH86" s="23" t="str">
        <f>表1_8[[#This Row],[MASTER B/L]]</f>
        <v>DJSCSHBMSE90744Z</v>
      </c>
      <c r="AI86" s="23" t="str">
        <f>"ETD"&amp;TEXT(表1_8[[#This Row],[ETD]],"mmdd")&amp;" "&amp;表1_8[[#This Row],[HOUSE B/L]]&amp;" "&amp;表1_8[[#This Row],[MASTER B/L]]&amp;" CHECK BL"</f>
        <v>ETD0328 YJCSHAN1904633 DJSCSHBMSE90744Z CHECK BL</v>
      </c>
      <c r="AJ86" s="23" t="str">
        <f>"ETD"&amp;TEXT(表1_8[[#This Row],[ETD]],"mmdd")&amp;" "&amp;表1_8[[#This Row],[HOUSE B/L]]&amp;" "&amp;表1_8[[#This Row],[MASTER B/L]]&amp;" 报关单"</f>
        <v>ETD0328 YJCSHAN1904633 DJSCSHBMSE90744Z 报关单</v>
      </c>
      <c r="AK86" s="23" t="str">
        <f>"ETD"&amp;TEXT(表1_8[[#This Row],[ETD]],"mmdd")&amp;" "&amp;表1_8[[#This Row],[HOUSE B/L]]&amp;" "&amp;表1_8[[#This Row],[MASTER B/L]]&amp;" 放行单"</f>
        <v>ETD0328 YJCSHAN1904633 DJSCSHBMSE90744Z 放行单</v>
      </c>
      <c r="AL86" s="23" t="str">
        <f>"ETD"&amp;TEXT(表1_8[[#This Row],[ETD]],"mmdd")&amp;" "&amp;表1_8[[#This Row],[HOUSE B/L]]&amp;" "&amp;表1_8[[#This Row],[MASTER B/L]]&amp;" SURRENDERED BL"</f>
        <v>ETD0328 YJCSHAN1904633 DJSCSHBMSE90744Z SURRENDERED BL</v>
      </c>
    </row>
    <row r="87" spans="2:38" hidden="1" x14ac:dyDescent="0.2">
      <c r="B87" s="22">
        <v>43552</v>
      </c>
      <c r="C87" s="23">
        <v>25</v>
      </c>
      <c r="D87" s="23" t="s">
        <v>272</v>
      </c>
      <c r="E87" s="23"/>
      <c r="F87" s="32"/>
      <c r="G87" s="32" t="s">
        <v>574</v>
      </c>
      <c r="H87" s="24" t="s">
        <v>604</v>
      </c>
      <c r="I87" s="23">
        <v>6</v>
      </c>
      <c r="J87" s="23">
        <v>124</v>
      </c>
      <c r="K87" s="23">
        <v>0.61</v>
      </c>
      <c r="L87" s="51">
        <v>6</v>
      </c>
      <c r="M87" s="51">
        <v>124</v>
      </c>
      <c r="N87" s="51">
        <v>0.61</v>
      </c>
      <c r="O87" s="31" t="s">
        <v>621</v>
      </c>
      <c r="P87" s="24"/>
      <c r="Q87" s="23" t="s">
        <v>613</v>
      </c>
      <c r="R87" s="25">
        <v>719120</v>
      </c>
      <c r="T87" s="23">
        <f>表1_8[[#This Row],[客户编号]]</f>
        <v>0</v>
      </c>
      <c r="U87" s="23" t="str">
        <f>表1_8[[#This Row],[MASTER B/L]]</f>
        <v>DJSCSHBMSE90745A</v>
      </c>
      <c r="V87" s="23">
        <f>表1_8[[#This Row],[件]]</f>
        <v>6</v>
      </c>
      <c r="W87" s="23">
        <f>表1_8[[#This Row],[毛]]</f>
        <v>124</v>
      </c>
      <c r="X87" s="23">
        <f>表1_8[[#This Row],[体]]</f>
        <v>0.61</v>
      </c>
      <c r="Y87" s="31" t="str">
        <f>表1_8[[#This Row],[品名]]</f>
        <v>GARMENTS</v>
      </c>
      <c r="Z87" s="31" t="str">
        <f>RIGHT(表1_8[[#This Row],[编]],4)</f>
        <v/>
      </c>
      <c r="AA87" s="23" t="str">
        <f>表1_8[[#This Row],[箱号]]</f>
        <v>TEMU7742795</v>
      </c>
      <c r="AB87" s="25">
        <f>表1_8[[#This Row],[封号]]</f>
        <v>719120</v>
      </c>
      <c r="AC87" s="23">
        <f>表2[[#This Row],[件]]</f>
        <v>6</v>
      </c>
      <c r="AD87" s="23">
        <f>表2[[#This Row],[毛]]</f>
        <v>124</v>
      </c>
      <c r="AE87" s="23">
        <f>表2[[#This Row],[体]]</f>
        <v>0.61</v>
      </c>
      <c r="AG87" s="23" t="str">
        <f>表1_8[[#This Row],[HOUSE B/L]]</f>
        <v>YJCSHAN1904796</v>
      </c>
      <c r="AH87" s="23" t="str">
        <f>表1_8[[#This Row],[MASTER B/L]]</f>
        <v>DJSCSHBMSE90745A</v>
      </c>
      <c r="AI87" s="23" t="str">
        <f>"ETD"&amp;TEXT(表1_8[[#This Row],[ETD]],"mmdd")&amp;" "&amp;表1_8[[#This Row],[HOUSE B/L]]&amp;" "&amp;表1_8[[#This Row],[MASTER B/L]]&amp;" CHECK BL"</f>
        <v>ETD0328 YJCSHAN1904796 DJSCSHBMSE90745A CHECK BL</v>
      </c>
      <c r="AJ87" s="23" t="str">
        <f>"ETD"&amp;TEXT(表1_8[[#This Row],[ETD]],"mmdd")&amp;" "&amp;表1_8[[#This Row],[HOUSE B/L]]&amp;" "&amp;表1_8[[#This Row],[MASTER B/L]]&amp;" 报关单"</f>
        <v>ETD0328 YJCSHAN1904796 DJSCSHBMSE90745A 报关单</v>
      </c>
      <c r="AK87" s="23" t="str">
        <f>"ETD"&amp;TEXT(表1_8[[#This Row],[ETD]],"mmdd")&amp;" "&amp;表1_8[[#This Row],[HOUSE B/L]]&amp;" "&amp;表1_8[[#This Row],[MASTER B/L]]&amp;" 放行单"</f>
        <v>ETD0328 YJCSHAN1904796 DJSCSHBMSE90745A 放行单</v>
      </c>
      <c r="AL87" s="23" t="str">
        <f>"ETD"&amp;TEXT(表1_8[[#This Row],[ETD]],"mmdd")&amp;" "&amp;表1_8[[#This Row],[HOUSE B/L]]&amp;" "&amp;表1_8[[#This Row],[MASTER B/L]]&amp;" SURRENDERED BL"</f>
        <v>ETD0328 YJCSHAN1904796 DJSCSHBMSE90745A SURRENDERED BL</v>
      </c>
    </row>
    <row r="88" spans="2:38" hidden="1" x14ac:dyDescent="0.2">
      <c r="B88" s="22">
        <v>43552</v>
      </c>
      <c r="C88" s="23">
        <v>26</v>
      </c>
      <c r="D88" s="23" t="s">
        <v>272</v>
      </c>
      <c r="E88" s="23">
        <v>4796</v>
      </c>
      <c r="F88" s="32"/>
      <c r="G88" s="32" t="s">
        <v>575</v>
      </c>
      <c r="H88" s="24" t="s">
        <v>605</v>
      </c>
      <c r="I88" s="23">
        <v>2</v>
      </c>
      <c r="J88" s="23">
        <v>34.549999999999997</v>
      </c>
      <c r="K88" s="23">
        <v>0.17</v>
      </c>
      <c r="L88" s="51">
        <v>2</v>
      </c>
      <c r="M88" s="51">
        <v>34.549999999999997</v>
      </c>
      <c r="N88" s="51">
        <v>0.17</v>
      </c>
      <c r="O88" s="31" t="s">
        <v>622</v>
      </c>
      <c r="P88" s="24"/>
      <c r="Q88" s="23" t="s">
        <v>613</v>
      </c>
      <c r="R88" s="25">
        <v>719120</v>
      </c>
      <c r="T88" s="23">
        <f>表1_8[[#This Row],[客户编号]]</f>
        <v>0</v>
      </c>
      <c r="U88" s="23" t="str">
        <f>表1_8[[#This Row],[MASTER B/L]]</f>
        <v>DJSCSHBMSE90745B</v>
      </c>
      <c r="V88" s="23">
        <f>表1_8[[#This Row],[件]]</f>
        <v>2</v>
      </c>
      <c r="W88" s="23">
        <f>表1_8[[#This Row],[毛]]</f>
        <v>34.549999999999997</v>
      </c>
      <c r="X88" s="23">
        <f>表1_8[[#This Row],[体]]</f>
        <v>0.17</v>
      </c>
      <c r="Y88" s="31" t="str">
        <f>表1_8[[#This Row],[品名]]</f>
        <v>LADIES WOVEN PANTS</v>
      </c>
      <c r="Z88" s="31" t="str">
        <f>RIGHT(表1_8[[#This Row],[编]],4)</f>
        <v/>
      </c>
      <c r="AA88" s="23" t="str">
        <f>表1_8[[#This Row],[箱号]]</f>
        <v>TEMU7742795</v>
      </c>
      <c r="AB88" s="25">
        <f>表1_8[[#This Row],[封号]]</f>
        <v>719120</v>
      </c>
      <c r="AC88" s="23">
        <f>表2[[#This Row],[件]]</f>
        <v>2</v>
      </c>
      <c r="AD88" s="23">
        <f>表2[[#This Row],[毛]]</f>
        <v>34.549999999999997</v>
      </c>
      <c r="AE88" s="23">
        <f>表2[[#This Row],[体]]</f>
        <v>0.17</v>
      </c>
      <c r="AG88" s="23" t="str">
        <f>表1_8[[#This Row],[HOUSE B/L]]</f>
        <v>YJCSHAN1904837</v>
      </c>
      <c r="AH88" s="23" t="str">
        <f>表1_8[[#This Row],[MASTER B/L]]</f>
        <v>DJSCSHBMSE90745B</v>
      </c>
      <c r="AI88" s="23" t="str">
        <f>"ETD"&amp;TEXT(表1_8[[#This Row],[ETD]],"mmdd")&amp;" "&amp;表1_8[[#This Row],[HOUSE B/L]]&amp;" "&amp;表1_8[[#This Row],[MASTER B/L]]&amp;" CHECK BL"</f>
        <v>ETD0328 YJCSHAN1904837 DJSCSHBMSE90745B CHECK BL</v>
      </c>
      <c r="AJ88" s="23" t="str">
        <f>"ETD"&amp;TEXT(表1_8[[#This Row],[ETD]],"mmdd")&amp;" "&amp;表1_8[[#This Row],[HOUSE B/L]]&amp;" "&amp;表1_8[[#This Row],[MASTER B/L]]&amp;" 报关单"</f>
        <v>ETD0328 YJCSHAN1904837 DJSCSHBMSE90745B 报关单</v>
      </c>
      <c r="AK88" s="23" t="str">
        <f>"ETD"&amp;TEXT(表1_8[[#This Row],[ETD]],"mmdd")&amp;" "&amp;表1_8[[#This Row],[HOUSE B/L]]&amp;" "&amp;表1_8[[#This Row],[MASTER B/L]]&amp;" 放行单"</f>
        <v>ETD0328 YJCSHAN1904837 DJSCSHBMSE90745B 放行单</v>
      </c>
      <c r="AL88" s="23" t="str">
        <f>"ETD"&amp;TEXT(表1_8[[#This Row],[ETD]],"mmdd")&amp;" "&amp;表1_8[[#This Row],[HOUSE B/L]]&amp;" "&amp;表1_8[[#This Row],[MASTER B/L]]&amp;" SURRENDERED BL"</f>
        <v>ETD0328 YJCSHAN1904837 DJSCSHBMSE90745B SURRENDERED BL</v>
      </c>
    </row>
    <row r="89" spans="2:38" ht="36" hidden="1" x14ac:dyDescent="0.2">
      <c r="B89" s="22">
        <v>43552</v>
      </c>
      <c r="C89" s="23">
        <v>27</v>
      </c>
      <c r="D89" s="23" t="s">
        <v>373</v>
      </c>
      <c r="E89" s="23"/>
      <c r="F89" s="24"/>
      <c r="G89" s="24" t="s">
        <v>576</v>
      </c>
      <c r="H89" s="24" t="s">
        <v>606</v>
      </c>
      <c r="I89" s="23">
        <v>1</v>
      </c>
      <c r="J89" s="23">
        <v>321.94</v>
      </c>
      <c r="K89" s="23">
        <v>0.8</v>
      </c>
      <c r="L89" s="51">
        <v>1</v>
      </c>
      <c r="M89" s="51">
        <v>321.94</v>
      </c>
      <c r="N89" s="51">
        <v>0.8</v>
      </c>
      <c r="O89" s="31" t="s">
        <v>648</v>
      </c>
      <c r="P89" s="24"/>
      <c r="Q89" s="23" t="s">
        <v>646</v>
      </c>
      <c r="R89" s="25">
        <v>719111</v>
      </c>
      <c r="T89" s="23">
        <f>表1_8[[#This Row],[客户编号]]</f>
        <v>0</v>
      </c>
      <c r="U89" s="23" t="str">
        <f>表1_8[[#This Row],[MASTER B/L]]</f>
        <v>DJSCSHBMSE90745C</v>
      </c>
      <c r="V89" s="23">
        <f>表1_8[[#This Row],[件]]</f>
        <v>1</v>
      </c>
      <c r="W89" s="23">
        <f>表1_8[[#This Row],[毛]]</f>
        <v>321.94</v>
      </c>
      <c r="X89" s="23">
        <f>表1_8[[#This Row],[体]]</f>
        <v>0.8</v>
      </c>
      <c r="Y89" s="31" t="str">
        <f>表1_8[[#This Row],[品名]]</f>
        <v>ASSY CAP SHAFT
BAF &amp; CAF PP</v>
      </c>
      <c r="Z89" s="31" t="str">
        <f>RIGHT(表1_8[[#This Row],[编]],4)</f>
        <v/>
      </c>
      <c r="AA89" s="23" t="str">
        <f>表1_8[[#This Row],[箱号]]</f>
        <v>PHRU8703345</v>
      </c>
      <c r="AB89" s="25">
        <f>表1_8[[#This Row],[封号]]</f>
        <v>719111</v>
      </c>
      <c r="AC89" s="23">
        <f>表2[[#This Row],[件]]</f>
        <v>1</v>
      </c>
      <c r="AD89" s="23">
        <f>表2[[#This Row],[毛]]</f>
        <v>321.94</v>
      </c>
      <c r="AE89" s="23">
        <f>表2[[#This Row],[体]]</f>
        <v>0.8</v>
      </c>
      <c r="AG89" s="23" t="str">
        <f>表1_8[[#This Row],[HOUSE B/L]]</f>
        <v>YJCSHAN1904858</v>
      </c>
      <c r="AH89" s="23" t="str">
        <f>表1_8[[#This Row],[MASTER B/L]]</f>
        <v>DJSCSHBMSE90745C</v>
      </c>
      <c r="AI89" s="23" t="str">
        <f>"ETD"&amp;TEXT(表1_8[[#This Row],[ETD]],"mmdd")&amp;" "&amp;表1_8[[#This Row],[HOUSE B/L]]&amp;" "&amp;表1_8[[#This Row],[MASTER B/L]]&amp;" CHECK BL"</f>
        <v>ETD0328 YJCSHAN1904858 DJSCSHBMSE90745C CHECK BL</v>
      </c>
      <c r="AJ89" s="23" t="str">
        <f>"ETD"&amp;TEXT(表1_8[[#This Row],[ETD]],"mmdd")&amp;" "&amp;表1_8[[#This Row],[HOUSE B/L]]&amp;" "&amp;表1_8[[#This Row],[MASTER B/L]]&amp;" 报关单"</f>
        <v>ETD0328 YJCSHAN1904858 DJSCSHBMSE90745C 报关单</v>
      </c>
      <c r="AK89" s="23" t="str">
        <f>"ETD"&amp;TEXT(表1_8[[#This Row],[ETD]],"mmdd")&amp;" "&amp;表1_8[[#This Row],[HOUSE B/L]]&amp;" "&amp;表1_8[[#This Row],[MASTER B/L]]&amp;" 放行单"</f>
        <v>ETD0328 YJCSHAN1904858 DJSCSHBMSE90745C 放行单</v>
      </c>
      <c r="AL89" s="23" t="str">
        <f>"ETD"&amp;TEXT(表1_8[[#This Row],[ETD]],"mmdd")&amp;" "&amp;表1_8[[#This Row],[HOUSE B/L]]&amp;" "&amp;表1_8[[#This Row],[MASTER B/L]]&amp;" SURRENDERED BL"</f>
        <v>ETD0328 YJCSHAN1904858 DJSCSHBMSE90745C SURRENDERED BL</v>
      </c>
    </row>
    <row r="90" spans="2:38" hidden="1" x14ac:dyDescent="0.2">
      <c r="B90" s="22">
        <v>43552</v>
      </c>
      <c r="C90" s="23">
        <v>28</v>
      </c>
      <c r="D90" s="23" t="s">
        <v>534</v>
      </c>
      <c r="E90" s="23">
        <v>4664</v>
      </c>
      <c r="F90" s="24"/>
      <c r="G90" s="24" t="s">
        <v>579</v>
      </c>
      <c r="H90" s="24" t="s">
        <v>607</v>
      </c>
      <c r="I90" s="23">
        <v>9</v>
      </c>
      <c r="J90" s="23">
        <v>2279</v>
      </c>
      <c r="K90" s="23">
        <v>3.5419999999999998</v>
      </c>
      <c r="L90" s="51">
        <v>9</v>
      </c>
      <c r="M90" s="51">
        <v>2279</v>
      </c>
      <c r="N90" s="51">
        <v>3.5419999999999998</v>
      </c>
      <c r="O90" s="31" t="s">
        <v>532</v>
      </c>
      <c r="P90" s="24"/>
      <c r="Q90" s="23" t="s">
        <v>613</v>
      </c>
      <c r="R90" s="25">
        <v>719120</v>
      </c>
      <c r="T90" s="23">
        <f>表1_8[[#This Row],[客户编号]]</f>
        <v>0</v>
      </c>
      <c r="U90" s="23" t="str">
        <f>表1_8[[#This Row],[MASTER B/L]]</f>
        <v>DJSCSHBMSE90745D</v>
      </c>
      <c r="V90" s="23">
        <f>表1_8[[#This Row],[件]]</f>
        <v>9</v>
      </c>
      <c r="W90" s="23">
        <f>表1_8[[#This Row],[毛]]</f>
        <v>2279</v>
      </c>
      <c r="X90" s="23">
        <f>表1_8[[#This Row],[体]]</f>
        <v>3.5419999999999998</v>
      </c>
      <c r="Y90" s="31" t="str">
        <f>表1_8[[#This Row],[品名]]</f>
        <v>VARIABLE CAM TIMER UNIT</v>
      </c>
      <c r="Z90" s="31" t="str">
        <f>RIGHT(表1_8[[#This Row],[编]],4)</f>
        <v/>
      </c>
      <c r="AA90" s="23" t="str">
        <f>表1_8[[#This Row],[箱号]]</f>
        <v>TEMU7742795</v>
      </c>
      <c r="AB90" s="25">
        <f>表1_8[[#This Row],[封号]]</f>
        <v>719120</v>
      </c>
      <c r="AC90" s="23">
        <f>表2[[#This Row],[件]]</f>
        <v>9</v>
      </c>
      <c r="AD90" s="23">
        <f>表2[[#This Row],[毛]]</f>
        <v>2279</v>
      </c>
      <c r="AE90" s="23">
        <f>表2[[#This Row],[体]]</f>
        <v>3.5419999999999998</v>
      </c>
      <c r="AG90" s="23" t="str">
        <f>表1_8[[#This Row],[HOUSE B/L]]</f>
        <v>YJCSHAN1904861A</v>
      </c>
      <c r="AH90" s="23" t="str">
        <f>表1_8[[#This Row],[MASTER B/L]]</f>
        <v>DJSCSHBMSE90745D</v>
      </c>
      <c r="AI90" s="23" t="str">
        <f>"ETD"&amp;TEXT(表1_8[[#This Row],[ETD]],"mmdd")&amp;" "&amp;表1_8[[#This Row],[HOUSE B/L]]&amp;" "&amp;表1_8[[#This Row],[MASTER B/L]]&amp;" CHECK BL"</f>
        <v>ETD0328 YJCSHAN1904861A DJSCSHBMSE90745D CHECK BL</v>
      </c>
      <c r="AJ90" s="23" t="str">
        <f>"ETD"&amp;TEXT(表1_8[[#This Row],[ETD]],"mmdd")&amp;" "&amp;表1_8[[#This Row],[HOUSE B/L]]&amp;" "&amp;表1_8[[#This Row],[MASTER B/L]]&amp;" 报关单"</f>
        <v>ETD0328 YJCSHAN1904861A DJSCSHBMSE90745D 报关单</v>
      </c>
      <c r="AK90" s="23" t="str">
        <f>"ETD"&amp;TEXT(表1_8[[#This Row],[ETD]],"mmdd")&amp;" "&amp;表1_8[[#This Row],[HOUSE B/L]]&amp;" "&amp;表1_8[[#This Row],[MASTER B/L]]&amp;" 放行单"</f>
        <v>ETD0328 YJCSHAN1904861A DJSCSHBMSE90745D 放行单</v>
      </c>
      <c r="AL90" s="23" t="str">
        <f>"ETD"&amp;TEXT(表1_8[[#This Row],[ETD]],"mmdd")&amp;" "&amp;表1_8[[#This Row],[HOUSE B/L]]&amp;" "&amp;表1_8[[#This Row],[MASTER B/L]]&amp;" SURRENDERED BL"</f>
        <v>ETD0328 YJCSHAN1904861A DJSCSHBMSE90745D SURRENDERED BL</v>
      </c>
    </row>
    <row r="91" spans="2:38" hidden="1" x14ac:dyDescent="0.2">
      <c r="B91" s="22">
        <v>43555</v>
      </c>
      <c r="C91" s="23">
        <v>1</v>
      </c>
      <c r="D91" s="23" t="s">
        <v>684</v>
      </c>
      <c r="E91" s="23"/>
      <c r="F91" s="24"/>
      <c r="G91" s="24" t="s">
        <v>669</v>
      </c>
      <c r="H91" s="24" t="s">
        <v>696</v>
      </c>
      <c r="I91" s="23">
        <v>3</v>
      </c>
      <c r="J91" s="23">
        <v>524</v>
      </c>
      <c r="K91" s="23">
        <v>3.63</v>
      </c>
      <c r="L91" s="51">
        <v>3</v>
      </c>
      <c r="M91" s="51">
        <v>524</v>
      </c>
      <c r="N91" s="51">
        <v>3.63</v>
      </c>
      <c r="O91" s="31" t="s">
        <v>719</v>
      </c>
      <c r="P91" s="24">
        <v>1</v>
      </c>
      <c r="Q91" s="23" t="s">
        <v>717</v>
      </c>
      <c r="R91" s="25" t="s">
        <v>718</v>
      </c>
      <c r="T91" s="23">
        <f>表1_8[[#This Row],[客户编号]]</f>
        <v>0</v>
      </c>
      <c r="U91" s="23" t="str">
        <f>表1_8[[#This Row],[MASTER B/L]]</f>
        <v>DJSCSHB2EE91444A</v>
      </c>
      <c r="V91" s="23">
        <f>表1_8[[#This Row],[件]]</f>
        <v>3</v>
      </c>
      <c r="W91" s="23">
        <f>表1_8[[#This Row],[毛]]</f>
        <v>524</v>
      </c>
      <c r="X91" s="23">
        <f>表1_8[[#This Row],[体]]</f>
        <v>3.63</v>
      </c>
      <c r="Y91" s="31" t="str">
        <f>表1_8[[#This Row],[品名]]</f>
        <v>PLASTIC CONNECTER</v>
      </c>
      <c r="Z91" s="31" t="str">
        <f>RIGHT(表1_8[[#This Row],[编]],4)</f>
        <v>1</v>
      </c>
      <c r="AA91" s="23" t="str">
        <f>表1_8[[#This Row],[箱号]]</f>
        <v>DRYU9484110</v>
      </c>
      <c r="AB91" s="25" t="str">
        <f>表1_8[[#This Row],[封号]]</f>
        <v>DJSC716377</v>
      </c>
      <c r="AC91" s="23">
        <f>表2[[#This Row],[件]]</f>
        <v>3</v>
      </c>
      <c r="AD91" s="23">
        <f>表2[[#This Row],[毛]]</f>
        <v>524</v>
      </c>
      <c r="AE91" s="23">
        <f>表2[[#This Row],[体]]</f>
        <v>3.63</v>
      </c>
      <c r="AG91" s="23" t="str">
        <f>表1_8[[#This Row],[HOUSE B/L]]</f>
        <v>YJCSHAN1902787</v>
      </c>
      <c r="AH91" s="23" t="str">
        <f>表1_8[[#This Row],[MASTER B/L]]</f>
        <v>DJSCSHB2EE91444A</v>
      </c>
      <c r="AI91" s="23" t="str">
        <f>"ETD"&amp;TEXT(表1_8[[#This Row],[ETD]],"mmdd")&amp;" "&amp;表1_8[[#This Row],[HOUSE B/L]]&amp;" "&amp;表1_8[[#This Row],[MASTER B/L]]&amp;" CHECK BL"</f>
        <v>ETD0331 YJCSHAN1902787 DJSCSHB2EE91444A CHECK BL</v>
      </c>
      <c r="AJ91" s="23" t="str">
        <f>"ETD"&amp;TEXT(表1_8[[#This Row],[ETD]],"mmdd")&amp;" "&amp;表1_8[[#This Row],[HOUSE B/L]]&amp;" "&amp;表1_8[[#This Row],[MASTER B/L]]&amp;" 报关单"</f>
        <v>ETD0331 YJCSHAN1902787 DJSCSHB2EE91444A 报关单</v>
      </c>
      <c r="AK91" s="23" t="str">
        <f>"ETD"&amp;TEXT(表1_8[[#This Row],[ETD]],"mmdd")&amp;" "&amp;表1_8[[#This Row],[HOUSE B/L]]&amp;" "&amp;表1_8[[#This Row],[MASTER B/L]]&amp;" 放行单"</f>
        <v>ETD0331 YJCSHAN1902787 DJSCSHB2EE91444A 放行单</v>
      </c>
      <c r="AL91" s="23" t="str">
        <f>"ETD"&amp;TEXT(表1_8[[#This Row],[ETD]],"mmdd")&amp;" "&amp;表1_8[[#This Row],[HOUSE B/L]]&amp;" "&amp;表1_8[[#This Row],[MASTER B/L]]&amp;" SURRENDERED BL"</f>
        <v>ETD0331 YJCSHAN1902787 DJSCSHB2EE91444A SURRENDERED BL</v>
      </c>
    </row>
    <row r="92" spans="2:38" hidden="1" x14ac:dyDescent="0.2">
      <c r="B92" s="22">
        <v>43555</v>
      </c>
      <c r="C92" s="23">
        <v>2</v>
      </c>
      <c r="D92" s="23" t="s">
        <v>685</v>
      </c>
      <c r="E92" s="23"/>
      <c r="F92" s="32"/>
      <c r="G92" s="32" t="s">
        <v>670</v>
      </c>
      <c r="H92" s="24" t="s">
        <v>697</v>
      </c>
      <c r="I92" s="23">
        <v>3</v>
      </c>
      <c r="J92" s="23">
        <v>687</v>
      </c>
      <c r="K92" s="23">
        <v>3.85</v>
      </c>
      <c r="L92" s="51">
        <v>3</v>
      </c>
      <c r="M92" s="51">
        <v>687</v>
      </c>
      <c r="N92" s="51">
        <v>3.85</v>
      </c>
      <c r="O92" s="31" t="s">
        <v>720</v>
      </c>
      <c r="P92" s="24">
        <v>1</v>
      </c>
      <c r="Q92" s="23" t="s">
        <v>717</v>
      </c>
      <c r="R92" s="25" t="s">
        <v>718</v>
      </c>
      <c r="T92" s="23">
        <f>表1_8[[#This Row],[客户编号]]</f>
        <v>0</v>
      </c>
      <c r="U92" s="23" t="str">
        <f>表1_8[[#This Row],[MASTER B/L]]</f>
        <v>DJSCSHB2EE91444B</v>
      </c>
      <c r="V92" s="23">
        <f>表1_8[[#This Row],[件]]</f>
        <v>3</v>
      </c>
      <c r="W92" s="23">
        <f>表1_8[[#This Row],[毛]]</f>
        <v>687</v>
      </c>
      <c r="X92" s="23">
        <f>表1_8[[#This Row],[体]]</f>
        <v>3.85</v>
      </c>
      <c r="Y92" s="31" t="str">
        <f>表1_8[[#This Row],[品名]]</f>
        <v>STARTER</v>
      </c>
      <c r="Z92" s="31" t="str">
        <f>RIGHT(表1_8[[#This Row],[编]],4)</f>
        <v>1</v>
      </c>
      <c r="AA92" s="23" t="str">
        <f>表1_8[[#This Row],[箱号]]</f>
        <v>DRYU9484110</v>
      </c>
      <c r="AB92" s="25" t="str">
        <f>表1_8[[#This Row],[封号]]</f>
        <v>DJSC716377</v>
      </c>
      <c r="AC92" s="23">
        <f>表2[[#This Row],[件]]</f>
        <v>3</v>
      </c>
      <c r="AD92" s="23">
        <f>表2[[#This Row],[毛]]</f>
        <v>687</v>
      </c>
      <c r="AE92" s="23">
        <f>表2[[#This Row],[体]]</f>
        <v>3.85</v>
      </c>
      <c r="AG92" s="23" t="str">
        <f>表1_8[[#This Row],[HOUSE B/L]]</f>
        <v>YJCSHAN1903353</v>
      </c>
      <c r="AH92" s="23" t="str">
        <f>表1_8[[#This Row],[MASTER B/L]]</f>
        <v>DJSCSHB2EE91444B</v>
      </c>
      <c r="AI92" s="23" t="str">
        <f>"ETD"&amp;TEXT(表1_8[[#This Row],[ETD]],"mmdd")&amp;" "&amp;表1_8[[#This Row],[HOUSE B/L]]&amp;" "&amp;表1_8[[#This Row],[MASTER B/L]]&amp;" CHECK BL"</f>
        <v>ETD0331 YJCSHAN1903353 DJSCSHB2EE91444B CHECK BL</v>
      </c>
      <c r="AJ92" s="23" t="str">
        <f>"ETD"&amp;TEXT(表1_8[[#This Row],[ETD]],"mmdd")&amp;" "&amp;表1_8[[#This Row],[HOUSE B/L]]&amp;" "&amp;表1_8[[#This Row],[MASTER B/L]]&amp;" 报关单"</f>
        <v>ETD0331 YJCSHAN1903353 DJSCSHB2EE91444B 报关单</v>
      </c>
      <c r="AK92" s="23" t="str">
        <f>"ETD"&amp;TEXT(表1_8[[#This Row],[ETD]],"mmdd")&amp;" "&amp;表1_8[[#This Row],[HOUSE B/L]]&amp;" "&amp;表1_8[[#This Row],[MASTER B/L]]&amp;" 放行单"</f>
        <v>ETD0331 YJCSHAN1903353 DJSCSHB2EE91444B 放行单</v>
      </c>
      <c r="AL92" s="23" t="str">
        <f>"ETD"&amp;TEXT(表1_8[[#This Row],[ETD]],"mmdd")&amp;" "&amp;表1_8[[#This Row],[HOUSE B/L]]&amp;" "&amp;表1_8[[#This Row],[MASTER B/L]]&amp;" SURRENDERED BL"</f>
        <v>ETD0331 YJCSHAN1903353 DJSCSHB2EE91444B SURRENDERED BL</v>
      </c>
    </row>
    <row r="93" spans="2:38" hidden="1" x14ac:dyDescent="0.2">
      <c r="B93" s="22">
        <v>43555</v>
      </c>
      <c r="C93" s="23">
        <v>3</v>
      </c>
      <c r="D93" s="23" t="s">
        <v>686</v>
      </c>
      <c r="E93" s="23"/>
      <c r="F93" s="32"/>
      <c r="G93" s="32" t="s">
        <v>671</v>
      </c>
      <c r="H93" s="24" t="s">
        <v>698</v>
      </c>
      <c r="I93" s="23">
        <v>7</v>
      </c>
      <c r="J93" s="23">
        <v>4596.4799999999996</v>
      </c>
      <c r="K93" s="23">
        <v>3.5</v>
      </c>
      <c r="L93" s="51">
        <v>7</v>
      </c>
      <c r="M93" s="51">
        <v>4596.4799999999996</v>
      </c>
      <c r="N93" s="51">
        <v>3.5</v>
      </c>
      <c r="O93" s="31" t="s">
        <v>728</v>
      </c>
      <c r="P93" s="24">
        <v>2</v>
      </c>
      <c r="Q93" s="23" t="s">
        <v>736</v>
      </c>
      <c r="R93" s="25" t="s">
        <v>737</v>
      </c>
      <c r="T93" s="23">
        <f>表1_8[[#This Row],[客户编号]]</f>
        <v>0</v>
      </c>
      <c r="U93" s="23" t="str">
        <f>表1_8[[#This Row],[MASTER B/L]]</f>
        <v>DJSCSHB2EE91444C</v>
      </c>
      <c r="V93" s="23">
        <f>表1_8[[#This Row],[件]]</f>
        <v>7</v>
      </c>
      <c r="W93" s="23">
        <f>表1_8[[#This Row],[毛]]</f>
        <v>4596.4799999999996</v>
      </c>
      <c r="X93" s="23">
        <f>表1_8[[#This Row],[体]]</f>
        <v>3.5</v>
      </c>
      <c r="Y93" s="31" t="str">
        <f>表1_8[[#This Row],[品名]]</f>
        <v>COIL HARMONIC</v>
      </c>
      <c r="Z93" s="31" t="str">
        <f>RIGHT(表1_8[[#This Row],[编]],4)</f>
        <v>2</v>
      </c>
      <c r="AA93" s="23" t="str">
        <f>表1_8[[#This Row],[箱号]]</f>
        <v>PHRU8604384</v>
      </c>
      <c r="AB93" s="25" t="str">
        <f>表1_8[[#This Row],[封号]]</f>
        <v>714816</v>
      </c>
      <c r="AC93" s="23">
        <f>表2[[#This Row],[件]]</f>
        <v>7</v>
      </c>
      <c r="AD93" s="23">
        <f>表2[[#This Row],[毛]]</f>
        <v>4596.4799999999996</v>
      </c>
      <c r="AE93" s="23">
        <f>表2[[#This Row],[体]]</f>
        <v>3.5</v>
      </c>
      <c r="AG93" s="23" t="str">
        <f>表1_8[[#This Row],[HOUSE B/L]]</f>
        <v>YJCSHAN1904315</v>
      </c>
      <c r="AH93" s="23" t="str">
        <f>表1_8[[#This Row],[MASTER B/L]]</f>
        <v>DJSCSHB2EE91444C</v>
      </c>
      <c r="AI93" s="23" t="str">
        <f>"ETD"&amp;TEXT(表1_8[[#This Row],[ETD]],"mmdd")&amp;" "&amp;表1_8[[#This Row],[HOUSE B/L]]&amp;" "&amp;表1_8[[#This Row],[MASTER B/L]]&amp;" CHECK BL"</f>
        <v>ETD0331 YJCSHAN1904315 DJSCSHB2EE91444C CHECK BL</v>
      </c>
      <c r="AJ93" s="23" t="str">
        <f>"ETD"&amp;TEXT(表1_8[[#This Row],[ETD]],"mmdd")&amp;" "&amp;表1_8[[#This Row],[HOUSE B/L]]&amp;" "&amp;表1_8[[#This Row],[MASTER B/L]]&amp;" 报关单"</f>
        <v>ETD0331 YJCSHAN1904315 DJSCSHB2EE91444C 报关单</v>
      </c>
      <c r="AK93" s="23" t="str">
        <f>"ETD"&amp;TEXT(表1_8[[#This Row],[ETD]],"mmdd")&amp;" "&amp;表1_8[[#This Row],[HOUSE B/L]]&amp;" "&amp;表1_8[[#This Row],[MASTER B/L]]&amp;" 放行单"</f>
        <v>ETD0331 YJCSHAN1904315 DJSCSHB2EE91444C 放行单</v>
      </c>
      <c r="AL93" s="23" t="str">
        <f>"ETD"&amp;TEXT(表1_8[[#This Row],[ETD]],"mmdd")&amp;" "&amp;表1_8[[#This Row],[HOUSE B/L]]&amp;" "&amp;表1_8[[#This Row],[MASTER B/L]]&amp;" SURRENDERED BL"</f>
        <v>ETD0331 YJCSHAN1904315 DJSCSHB2EE91444C SURRENDERED BL</v>
      </c>
    </row>
    <row r="94" spans="2:38" hidden="1" x14ac:dyDescent="0.2">
      <c r="B94" s="22">
        <v>43555</v>
      </c>
      <c r="C94" s="23">
        <v>4</v>
      </c>
      <c r="D94" s="23" t="s">
        <v>687</v>
      </c>
      <c r="E94" s="23"/>
      <c r="F94" s="32"/>
      <c r="G94" s="32" t="s">
        <v>672</v>
      </c>
      <c r="H94" s="24" t="s">
        <v>699</v>
      </c>
      <c r="I94" s="23">
        <v>8</v>
      </c>
      <c r="J94" s="23">
        <v>520</v>
      </c>
      <c r="K94" s="23">
        <v>6.76</v>
      </c>
      <c r="L94" s="51">
        <v>8</v>
      </c>
      <c r="M94" s="51">
        <v>520</v>
      </c>
      <c r="N94" s="51">
        <v>6.76</v>
      </c>
      <c r="O94" s="31" t="s">
        <v>721</v>
      </c>
      <c r="P94" s="24">
        <v>1</v>
      </c>
      <c r="Q94" s="23" t="s">
        <v>717</v>
      </c>
      <c r="R94" s="25" t="s">
        <v>718</v>
      </c>
      <c r="T94" s="23">
        <f>表1_8[[#This Row],[客户编号]]</f>
        <v>0</v>
      </c>
      <c r="U94" s="23" t="str">
        <f>表1_8[[#This Row],[MASTER B/L]]</f>
        <v>DJSCSHB2EE91444D</v>
      </c>
      <c r="V94" s="23">
        <f>表1_8[[#This Row],[件]]</f>
        <v>8</v>
      </c>
      <c r="W94" s="23">
        <f>表1_8[[#This Row],[毛]]</f>
        <v>520</v>
      </c>
      <c r="X94" s="23">
        <f>表1_8[[#This Row],[体]]</f>
        <v>6.76</v>
      </c>
      <c r="Y94" s="31" t="str">
        <f>表1_8[[#This Row],[品名]]</f>
        <v>MECHANISM ASSY-WINDSHIELD WIPER</v>
      </c>
      <c r="Z94" s="31" t="str">
        <f>RIGHT(表1_8[[#This Row],[编]],4)</f>
        <v>1</v>
      </c>
      <c r="AA94" s="23" t="str">
        <f>表1_8[[#This Row],[箱号]]</f>
        <v>DRYU9484110</v>
      </c>
      <c r="AB94" s="25" t="str">
        <f>表1_8[[#This Row],[封号]]</f>
        <v>DJSC716377</v>
      </c>
      <c r="AC94" s="23">
        <f>表2[[#This Row],[件]]</f>
        <v>8</v>
      </c>
      <c r="AD94" s="23">
        <f>表2[[#This Row],[毛]]</f>
        <v>520</v>
      </c>
      <c r="AE94" s="23">
        <f>表2[[#This Row],[体]]</f>
        <v>6.76</v>
      </c>
      <c r="AG94" s="23" t="str">
        <f>表1_8[[#This Row],[HOUSE B/L]]</f>
        <v>YJCSHAN1904437</v>
      </c>
      <c r="AH94" s="23" t="str">
        <f>表1_8[[#This Row],[MASTER B/L]]</f>
        <v>DJSCSHB2EE91444D</v>
      </c>
      <c r="AI94" s="23" t="str">
        <f>"ETD"&amp;TEXT(表1_8[[#This Row],[ETD]],"mmdd")&amp;" "&amp;表1_8[[#This Row],[HOUSE B/L]]&amp;" "&amp;表1_8[[#This Row],[MASTER B/L]]&amp;" CHECK BL"</f>
        <v>ETD0331 YJCSHAN1904437 DJSCSHB2EE91444D CHECK BL</v>
      </c>
      <c r="AJ94" s="23" t="str">
        <f>"ETD"&amp;TEXT(表1_8[[#This Row],[ETD]],"mmdd")&amp;" "&amp;表1_8[[#This Row],[HOUSE B/L]]&amp;" "&amp;表1_8[[#This Row],[MASTER B/L]]&amp;" 报关单"</f>
        <v>ETD0331 YJCSHAN1904437 DJSCSHB2EE91444D 报关单</v>
      </c>
      <c r="AK94" s="23" t="str">
        <f>"ETD"&amp;TEXT(表1_8[[#This Row],[ETD]],"mmdd")&amp;" "&amp;表1_8[[#This Row],[HOUSE B/L]]&amp;" "&amp;表1_8[[#This Row],[MASTER B/L]]&amp;" 放行单"</f>
        <v>ETD0331 YJCSHAN1904437 DJSCSHB2EE91444D 放行单</v>
      </c>
      <c r="AL94" s="23" t="str">
        <f>"ETD"&amp;TEXT(表1_8[[#This Row],[ETD]],"mmdd")&amp;" "&amp;表1_8[[#This Row],[HOUSE B/L]]&amp;" "&amp;表1_8[[#This Row],[MASTER B/L]]&amp;" SURRENDERED BL"</f>
        <v>ETD0331 YJCSHAN1904437 DJSCSHB2EE91444D SURRENDERED BL</v>
      </c>
    </row>
    <row r="95" spans="2:38" hidden="1" x14ac:dyDescent="0.2">
      <c r="B95" s="22">
        <v>43555</v>
      </c>
      <c r="C95" s="23">
        <v>7</v>
      </c>
      <c r="D95" s="23" t="s">
        <v>297</v>
      </c>
      <c r="E95" s="23"/>
      <c r="F95" s="24"/>
      <c r="G95" s="24" t="s">
        <v>673</v>
      </c>
      <c r="H95" s="24" t="s">
        <v>700</v>
      </c>
      <c r="I95" s="23">
        <v>8</v>
      </c>
      <c r="J95" s="23">
        <v>1029</v>
      </c>
      <c r="K95" s="23">
        <v>9.6</v>
      </c>
      <c r="L95" s="51">
        <v>8</v>
      </c>
      <c r="M95" s="51">
        <v>1029</v>
      </c>
      <c r="N95" s="51">
        <v>9.6</v>
      </c>
      <c r="O95" s="31" t="s">
        <v>765</v>
      </c>
      <c r="P95" s="24">
        <v>2</v>
      </c>
      <c r="Q95" s="23" t="s">
        <v>736</v>
      </c>
      <c r="R95" s="25" t="s">
        <v>737</v>
      </c>
      <c r="T95" s="23">
        <f>表1_8[[#This Row],[客户编号]]</f>
        <v>0</v>
      </c>
      <c r="U95" s="23" t="str">
        <f>表1_8[[#This Row],[MASTER B/L]]</f>
        <v>DJSCSHB2EE91444G</v>
      </c>
      <c r="V95" s="23">
        <f>表1_8[[#This Row],[件]]</f>
        <v>8</v>
      </c>
      <c r="W95" s="23">
        <f>表1_8[[#This Row],[毛]]</f>
        <v>1029</v>
      </c>
      <c r="X95" s="23">
        <f>表1_8[[#This Row],[体]]</f>
        <v>9.6</v>
      </c>
      <c r="Y95" s="31" t="str">
        <f>表1_8[[#This Row],[品名]]</f>
        <v>PMA SENSOR</v>
      </c>
      <c r="Z95" s="31" t="str">
        <f>RIGHT(表1_8[[#This Row],[编]],4)</f>
        <v>2</v>
      </c>
      <c r="AA95" s="23" t="str">
        <f>表1_8[[#This Row],[箱号]]</f>
        <v>PHRU8604384</v>
      </c>
      <c r="AB95" s="25" t="str">
        <f>表1_8[[#This Row],[封号]]</f>
        <v>714816</v>
      </c>
      <c r="AC95" s="23">
        <f>表2[[#This Row],[件]]</f>
        <v>8</v>
      </c>
      <c r="AD95" s="23">
        <f>表2[[#This Row],[毛]]</f>
        <v>1029</v>
      </c>
      <c r="AE95" s="23">
        <f>表2[[#This Row],[体]]</f>
        <v>9.6</v>
      </c>
      <c r="AG95" s="23" t="str">
        <f>表1_8[[#This Row],[HOUSE B/L]]</f>
        <v>YJCSHAN1904842</v>
      </c>
      <c r="AH95" s="23" t="str">
        <f>表1_8[[#This Row],[MASTER B/L]]</f>
        <v>DJSCSHB2EE91444G</v>
      </c>
      <c r="AI95" s="23" t="str">
        <f>"ETD"&amp;TEXT(表1_8[[#This Row],[ETD]],"mmdd")&amp;" "&amp;表1_8[[#This Row],[HOUSE B/L]]&amp;" "&amp;表1_8[[#This Row],[MASTER B/L]]&amp;" CHECK BL"</f>
        <v>ETD0331 YJCSHAN1904842 DJSCSHB2EE91444G CHECK BL</v>
      </c>
      <c r="AJ95" s="23" t="str">
        <f>"ETD"&amp;TEXT(表1_8[[#This Row],[ETD]],"mmdd")&amp;" "&amp;表1_8[[#This Row],[HOUSE B/L]]&amp;" "&amp;表1_8[[#This Row],[MASTER B/L]]&amp;" 报关单"</f>
        <v>ETD0331 YJCSHAN1904842 DJSCSHB2EE91444G 报关单</v>
      </c>
      <c r="AK95" s="23" t="str">
        <f>"ETD"&amp;TEXT(表1_8[[#This Row],[ETD]],"mmdd")&amp;" "&amp;表1_8[[#This Row],[HOUSE B/L]]&amp;" "&amp;表1_8[[#This Row],[MASTER B/L]]&amp;" 放行单"</f>
        <v>ETD0331 YJCSHAN1904842 DJSCSHB2EE91444G 放行单</v>
      </c>
      <c r="AL95" s="23" t="str">
        <f>"ETD"&amp;TEXT(表1_8[[#This Row],[ETD]],"mmdd")&amp;" "&amp;表1_8[[#This Row],[HOUSE B/L]]&amp;" "&amp;表1_8[[#This Row],[MASTER B/L]]&amp;" SURRENDERED BL"</f>
        <v>ETD0331 YJCSHAN1904842 DJSCSHB2EE91444G SURRENDERED BL</v>
      </c>
    </row>
    <row r="96" spans="2:38" hidden="1" x14ac:dyDescent="0.2">
      <c r="B96" s="22">
        <v>43555</v>
      </c>
      <c r="C96" s="23">
        <v>8</v>
      </c>
      <c r="D96" s="23" t="s">
        <v>688</v>
      </c>
      <c r="E96" s="23"/>
      <c r="F96" s="24"/>
      <c r="G96" s="24" t="s">
        <v>674</v>
      </c>
      <c r="H96" s="24" t="s">
        <v>701</v>
      </c>
      <c r="I96" s="23">
        <v>2</v>
      </c>
      <c r="J96" s="23">
        <v>369.94</v>
      </c>
      <c r="K96" s="23">
        <v>2</v>
      </c>
      <c r="L96" s="51">
        <v>2</v>
      </c>
      <c r="M96" s="51">
        <v>369.94</v>
      </c>
      <c r="N96" s="51">
        <v>2</v>
      </c>
      <c r="O96" s="31" t="s">
        <v>722</v>
      </c>
      <c r="P96" s="24">
        <v>1</v>
      </c>
      <c r="Q96" s="23" t="s">
        <v>717</v>
      </c>
      <c r="R96" s="25" t="s">
        <v>718</v>
      </c>
      <c r="T96" s="23">
        <f>表1_8[[#This Row],[客户编号]]</f>
        <v>0</v>
      </c>
      <c r="U96" s="23" t="str">
        <f>表1_8[[#This Row],[MASTER B/L]]</f>
        <v>DJSCSHB2EE91444H</v>
      </c>
      <c r="V96" s="23">
        <f>表1_8[[#This Row],[件]]</f>
        <v>2</v>
      </c>
      <c r="W96" s="23">
        <f>表1_8[[#This Row],[毛]]</f>
        <v>369.94</v>
      </c>
      <c r="X96" s="23">
        <f>表1_8[[#This Row],[体]]</f>
        <v>2</v>
      </c>
      <c r="Y96" s="31" t="str">
        <f>表1_8[[#This Row],[品名]]</f>
        <v>WIRE</v>
      </c>
      <c r="Z96" s="31" t="str">
        <f>RIGHT(表1_8[[#This Row],[编]],4)</f>
        <v>1</v>
      </c>
      <c r="AA96" s="23" t="str">
        <f>表1_8[[#This Row],[箱号]]</f>
        <v>DRYU9484110</v>
      </c>
      <c r="AB96" s="25" t="str">
        <f>表1_8[[#This Row],[封号]]</f>
        <v>DJSC716377</v>
      </c>
      <c r="AC96" s="23">
        <f>表2[[#This Row],[件]]</f>
        <v>2</v>
      </c>
      <c r="AD96" s="23">
        <f>表2[[#This Row],[毛]]</f>
        <v>369.94</v>
      </c>
      <c r="AE96" s="23">
        <f>表2[[#This Row],[体]]</f>
        <v>2</v>
      </c>
      <c r="AG96" s="23" t="str">
        <f>表1_8[[#This Row],[HOUSE B/L]]</f>
        <v>YJCSHAN1904920</v>
      </c>
      <c r="AH96" s="23" t="str">
        <f>表1_8[[#This Row],[MASTER B/L]]</f>
        <v>DJSCSHB2EE91444H</v>
      </c>
      <c r="AI96" s="23" t="str">
        <f>"ETD"&amp;TEXT(表1_8[[#This Row],[ETD]],"mmdd")&amp;" "&amp;表1_8[[#This Row],[HOUSE B/L]]&amp;" "&amp;表1_8[[#This Row],[MASTER B/L]]&amp;" CHECK BL"</f>
        <v>ETD0331 YJCSHAN1904920 DJSCSHB2EE91444H CHECK BL</v>
      </c>
      <c r="AJ96" s="23" t="str">
        <f>"ETD"&amp;TEXT(表1_8[[#This Row],[ETD]],"mmdd")&amp;" "&amp;表1_8[[#This Row],[HOUSE B/L]]&amp;" "&amp;表1_8[[#This Row],[MASTER B/L]]&amp;" 报关单"</f>
        <v>ETD0331 YJCSHAN1904920 DJSCSHB2EE91444H 报关单</v>
      </c>
      <c r="AK96" s="23" t="str">
        <f>"ETD"&amp;TEXT(表1_8[[#This Row],[ETD]],"mmdd")&amp;" "&amp;表1_8[[#This Row],[HOUSE B/L]]&amp;" "&amp;表1_8[[#This Row],[MASTER B/L]]&amp;" 放行单"</f>
        <v>ETD0331 YJCSHAN1904920 DJSCSHB2EE91444H 放行单</v>
      </c>
      <c r="AL96" s="23" t="str">
        <f>"ETD"&amp;TEXT(表1_8[[#This Row],[ETD]],"mmdd")&amp;" "&amp;表1_8[[#This Row],[HOUSE B/L]]&amp;" "&amp;表1_8[[#This Row],[MASTER B/L]]&amp;" SURRENDERED BL"</f>
        <v>ETD0331 YJCSHAN1904920 DJSCSHB2EE91444H SURRENDERED BL</v>
      </c>
    </row>
    <row r="97" spans="2:38" hidden="1" x14ac:dyDescent="0.2">
      <c r="B97" s="22">
        <v>43555</v>
      </c>
      <c r="C97" s="23">
        <v>9</v>
      </c>
      <c r="D97" s="23" t="s">
        <v>689</v>
      </c>
      <c r="E97" s="23"/>
      <c r="F97" s="32"/>
      <c r="G97" s="32" t="s">
        <v>675</v>
      </c>
      <c r="H97" s="24" t="s">
        <v>702</v>
      </c>
      <c r="I97" s="23">
        <v>11</v>
      </c>
      <c r="J97" s="23">
        <v>8569</v>
      </c>
      <c r="K97" s="23">
        <v>5.38</v>
      </c>
      <c r="L97" s="51">
        <v>11</v>
      </c>
      <c r="M97" s="51">
        <v>8569</v>
      </c>
      <c r="N97" s="51">
        <v>5.38</v>
      </c>
      <c r="O97" s="31" t="s">
        <v>723</v>
      </c>
      <c r="P97" s="24">
        <v>1</v>
      </c>
      <c r="Q97" s="23" t="s">
        <v>717</v>
      </c>
      <c r="R97" s="25" t="s">
        <v>718</v>
      </c>
      <c r="T97" s="23">
        <f>表1_8[[#This Row],[客户编号]]</f>
        <v>0</v>
      </c>
      <c r="U97" s="23" t="str">
        <f>表1_8[[#This Row],[MASTER B/L]]</f>
        <v>DJSCSHB2EE91444J</v>
      </c>
      <c r="V97" s="23">
        <f>表1_8[[#This Row],[件]]</f>
        <v>11</v>
      </c>
      <c r="W97" s="23">
        <f>表1_8[[#This Row],[毛]]</f>
        <v>8569</v>
      </c>
      <c r="X97" s="23">
        <f>表1_8[[#This Row],[体]]</f>
        <v>5.38</v>
      </c>
      <c r="Y97" s="31" t="str">
        <f>表1_8[[#This Row],[品名]]</f>
        <v>FERRITE MAGNET</v>
      </c>
      <c r="Z97" s="31" t="str">
        <f>RIGHT(表1_8[[#This Row],[编]],4)</f>
        <v>1</v>
      </c>
      <c r="AA97" s="23" t="str">
        <f>表1_8[[#This Row],[箱号]]</f>
        <v>DRYU9484110</v>
      </c>
      <c r="AB97" s="25" t="str">
        <f>表1_8[[#This Row],[封号]]</f>
        <v>DJSC716377</v>
      </c>
      <c r="AC97" s="23">
        <f>表2[[#This Row],[件]]</f>
        <v>11</v>
      </c>
      <c r="AD97" s="23">
        <f>表2[[#This Row],[毛]]</f>
        <v>8569</v>
      </c>
      <c r="AE97" s="23">
        <f>表2[[#This Row],[体]]</f>
        <v>5.38</v>
      </c>
      <c r="AG97" s="23" t="str">
        <f>表1_8[[#This Row],[HOUSE B/L]]</f>
        <v>YJCSHAN1904924</v>
      </c>
      <c r="AH97" s="23" t="str">
        <f>表1_8[[#This Row],[MASTER B/L]]</f>
        <v>DJSCSHB2EE91444J</v>
      </c>
      <c r="AI97" s="23" t="str">
        <f>"ETD"&amp;TEXT(表1_8[[#This Row],[ETD]],"mmdd")&amp;" "&amp;表1_8[[#This Row],[HOUSE B/L]]&amp;" "&amp;表1_8[[#This Row],[MASTER B/L]]&amp;" CHECK BL"</f>
        <v>ETD0331 YJCSHAN1904924 DJSCSHB2EE91444J CHECK BL</v>
      </c>
      <c r="AJ97" s="23" t="str">
        <f>"ETD"&amp;TEXT(表1_8[[#This Row],[ETD]],"mmdd")&amp;" "&amp;表1_8[[#This Row],[HOUSE B/L]]&amp;" "&amp;表1_8[[#This Row],[MASTER B/L]]&amp;" 报关单"</f>
        <v>ETD0331 YJCSHAN1904924 DJSCSHB2EE91444J 报关单</v>
      </c>
      <c r="AK97" s="23" t="str">
        <f>"ETD"&amp;TEXT(表1_8[[#This Row],[ETD]],"mmdd")&amp;" "&amp;表1_8[[#This Row],[HOUSE B/L]]&amp;" "&amp;表1_8[[#This Row],[MASTER B/L]]&amp;" 放行单"</f>
        <v>ETD0331 YJCSHAN1904924 DJSCSHB2EE91444J 放行单</v>
      </c>
      <c r="AL97" s="23" t="str">
        <f>"ETD"&amp;TEXT(表1_8[[#This Row],[ETD]],"mmdd")&amp;" "&amp;表1_8[[#This Row],[HOUSE B/L]]&amp;" "&amp;表1_8[[#This Row],[MASTER B/L]]&amp;" SURRENDERED BL"</f>
        <v>ETD0331 YJCSHAN1904924 DJSCSHB2EE91444J SURRENDERED BL</v>
      </c>
    </row>
    <row r="98" spans="2:38" hidden="1" x14ac:dyDescent="0.2">
      <c r="B98" s="22">
        <v>43555</v>
      </c>
      <c r="C98" s="23">
        <v>10</v>
      </c>
      <c r="D98" s="23" t="s">
        <v>272</v>
      </c>
      <c r="E98" s="23"/>
      <c r="F98" s="24"/>
      <c r="G98" s="24" t="s">
        <v>676</v>
      </c>
      <c r="H98" s="24" t="s">
        <v>703</v>
      </c>
      <c r="I98" s="23">
        <v>5</v>
      </c>
      <c r="J98" s="23">
        <v>101</v>
      </c>
      <c r="K98" s="23">
        <v>0.51</v>
      </c>
      <c r="L98" s="51">
        <v>5</v>
      </c>
      <c r="M98" s="51">
        <v>101</v>
      </c>
      <c r="N98" s="51">
        <v>0.51</v>
      </c>
      <c r="O98" s="31" t="s">
        <v>733</v>
      </c>
      <c r="P98" s="24">
        <v>2</v>
      </c>
      <c r="Q98" s="23" t="s">
        <v>736</v>
      </c>
      <c r="R98" s="25" t="s">
        <v>737</v>
      </c>
      <c r="T98" s="23">
        <f>表1_8[[#This Row],[客户编号]]</f>
        <v>0</v>
      </c>
      <c r="U98" s="23" t="str">
        <f>表1_8[[#This Row],[MASTER B/L]]</f>
        <v>DJSCSHB2EE91444K</v>
      </c>
      <c r="V98" s="23">
        <f>表1_8[[#This Row],[件]]</f>
        <v>5</v>
      </c>
      <c r="W98" s="23">
        <f>表1_8[[#This Row],[毛]]</f>
        <v>101</v>
      </c>
      <c r="X98" s="23">
        <f>表1_8[[#This Row],[体]]</f>
        <v>0.51</v>
      </c>
      <c r="Y98" s="31" t="str">
        <f>表1_8[[#This Row],[品名]]</f>
        <v>WOMEN'S SKIRT</v>
      </c>
      <c r="Z98" s="31" t="str">
        <f>RIGHT(表1_8[[#This Row],[编]],4)</f>
        <v>2</v>
      </c>
      <c r="AA98" s="23" t="str">
        <f>表1_8[[#This Row],[箱号]]</f>
        <v>PHRU8604384</v>
      </c>
      <c r="AB98" s="25" t="str">
        <f>表1_8[[#This Row],[封号]]</f>
        <v>714816</v>
      </c>
      <c r="AC98" s="23">
        <f>表2[[#This Row],[件]]</f>
        <v>5</v>
      </c>
      <c r="AD98" s="23">
        <f>表2[[#This Row],[毛]]</f>
        <v>101</v>
      </c>
      <c r="AE98" s="23">
        <f>表2[[#This Row],[体]]</f>
        <v>0.51</v>
      </c>
      <c r="AG98" s="23" t="str">
        <f>表1_8[[#This Row],[HOUSE B/L]]</f>
        <v>YJCSHAN1904927</v>
      </c>
      <c r="AH98" s="23" t="str">
        <f>表1_8[[#This Row],[MASTER B/L]]</f>
        <v>DJSCSHB2EE91444K</v>
      </c>
      <c r="AI98" s="23" t="str">
        <f>"ETD"&amp;TEXT(表1_8[[#This Row],[ETD]],"mmdd")&amp;" "&amp;表1_8[[#This Row],[HOUSE B/L]]&amp;" "&amp;表1_8[[#This Row],[MASTER B/L]]&amp;" CHECK BL"</f>
        <v>ETD0331 YJCSHAN1904927 DJSCSHB2EE91444K CHECK BL</v>
      </c>
      <c r="AJ98" s="23" t="str">
        <f>"ETD"&amp;TEXT(表1_8[[#This Row],[ETD]],"mmdd")&amp;" "&amp;表1_8[[#This Row],[HOUSE B/L]]&amp;" "&amp;表1_8[[#This Row],[MASTER B/L]]&amp;" 报关单"</f>
        <v>ETD0331 YJCSHAN1904927 DJSCSHB2EE91444K 报关单</v>
      </c>
      <c r="AK98" s="23" t="str">
        <f>"ETD"&amp;TEXT(表1_8[[#This Row],[ETD]],"mmdd")&amp;" "&amp;表1_8[[#This Row],[HOUSE B/L]]&amp;" "&amp;表1_8[[#This Row],[MASTER B/L]]&amp;" 放行单"</f>
        <v>ETD0331 YJCSHAN1904927 DJSCSHB2EE91444K 放行单</v>
      </c>
      <c r="AL98" s="23" t="str">
        <f>"ETD"&amp;TEXT(表1_8[[#This Row],[ETD]],"mmdd")&amp;" "&amp;表1_8[[#This Row],[HOUSE B/L]]&amp;" "&amp;表1_8[[#This Row],[MASTER B/L]]&amp;" SURRENDERED BL"</f>
        <v>ETD0331 YJCSHAN1904927 DJSCSHB2EE91444K SURRENDERED BL</v>
      </c>
    </row>
    <row r="99" spans="2:38" hidden="1" x14ac:dyDescent="0.2">
      <c r="B99" s="22">
        <v>43555</v>
      </c>
      <c r="C99" s="23">
        <v>11</v>
      </c>
      <c r="D99" s="23" t="s">
        <v>690</v>
      </c>
      <c r="E99" s="23"/>
      <c r="F99" s="24"/>
      <c r="G99" s="24" t="s">
        <v>677</v>
      </c>
      <c r="H99" s="24" t="s">
        <v>704</v>
      </c>
      <c r="I99" s="23">
        <v>4</v>
      </c>
      <c r="J99" s="23">
        <v>1004</v>
      </c>
      <c r="K99" s="23">
        <v>4.3150000000000004</v>
      </c>
      <c r="L99" s="51">
        <v>4</v>
      </c>
      <c r="M99" s="51">
        <v>1004</v>
      </c>
      <c r="N99" s="51">
        <v>4.3150000000000004</v>
      </c>
      <c r="O99" s="31" t="s">
        <v>729</v>
      </c>
      <c r="P99" s="24">
        <v>2</v>
      </c>
      <c r="Q99" s="23" t="s">
        <v>736</v>
      </c>
      <c r="R99" s="25" t="s">
        <v>737</v>
      </c>
      <c r="T99" s="23">
        <f>表1_8[[#This Row],[客户编号]]</f>
        <v>0</v>
      </c>
      <c r="U99" s="23" t="str">
        <f>表1_8[[#This Row],[MASTER B/L]]</f>
        <v>DJSCSHB2EE91444L</v>
      </c>
      <c r="V99" s="23">
        <f>表1_8[[#This Row],[件]]</f>
        <v>4</v>
      </c>
      <c r="W99" s="23">
        <f>表1_8[[#This Row],[毛]]</f>
        <v>1004</v>
      </c>
      <c r="X99" s="23">
        <f>表1_8[[#This Row],[体]]</f>
        <v>4.3150000000000004</v>
      </c>
      <c r="Y99" s="31" t="str">
        <f>表1_8[[#This Row],[品名]]</f>
        <v>RUBBER BELT</v>
      </c>
      <c r="Z99" s="31" t="str">
        <f>RIGHT(表1_8[[#This Row],[编]],4)</f>
        <v>2</v>
      </c>
      <c r="AA99" s="23" t="str">
        <f>表1_8[[#This Row],[箱号]]</f>
        <v>PHRU8604384</v>
      </c>
      <c r="AB99" s="25" t="str">
        <f>表1_8[[#This Row],[封号]]</f>
        <v>714816</v>
      </c>
      <c r="AC99" s="23">
        <f>表2[[#This Row],[件]]</f>
        <v>4</v>
      </c>
      <c r="AD99" s="23">
        <f>表2[[#This Row],[毛]]</f>
        <v>1004</v>
      </c>
      <c r="AE99" s="23">
        <f>表2[[#This Row],[体]]</f>
        <v>4.3150000000000004</v>
      </c>
      <c r="AG99" s="23" t="str">
        <f>表1_8[[#This Row],[HOUSE B/L]]</f>
        <v>YJCSHAN1904941</v>
      </c>
      <c r="AH99" s="23" t="str">
        <f>表1_8[[#This Row],[MASTER B/L]]</f>
        <v>DJSCSHB2EE91444L</v>
      </c>
      <c r="AI99" s="23" t="str">
        <f>"ETD"&amp;TEXT(表1_8[[#This Row],[ETD]],"mmdd")&amp;" "&amp;表1_8[[#This Row],[HOUSE B/L]]&amp;" "&amp;表1_8[[#This Row],[MASTER B/L]]&amp;" CHECK BL"</f>
        <v>ETD0331 YJCSHAN1904941 DJSCSHB2EE91444L CHECK BL</v>
      </c>
      <c r="AJ99" s="23" t="str">
        <f>"ETD"&amp;TEXT(表1_8[[#This Row],[ETD]],"mmdd")&amp;" "&amp;表1_8[[#This Row],[HOUSE B/L]]&amp;" "&amp;表1_8[[#This Row],[MASTER B/L]]&amp;" 报关单"</f>
        <v>ETD0331 YJCSHAN1904941 DJSCSHB2EE91444L 报关单</v>
      </c>
      <c r="AK99" s="23" t="str">
        <f>"ETD"&amp;TEXT(表1_8[[#This Row],[ETD]],"mmdd")&amp;" "&amp;表1_8[[#This Row],[HOUSE B/L]]&amp;" "&amp;表1_8[[#This Row],[MASTER B/L]]&amp;" 放行单"</f>
        <v>ETD0331 YJCSHAN1904941 DJSCSHB2EE91444L 放行单</v>
      </c>
      <c r="AL99" s="23" t="str">
        <f>"ETD"&amp;TEXT(表1_8[[#This Row],[ETD]],"mmdd")&amp;" "&amp;表1_8[[#This Row],[HOUSE B/L]]&amp;" "&amp;表1_8[[#This Row],[MASTER B/L]]&amp;" SURRENDERED BL"</f>
        <v>ETD0331 YJCSHAN1904941 DJSCSHB2EE91444L SURRENDERED BL</v>
      </c>
    </row>
    <row r="100" spans="2:38" hidden="1" x14ac:dyDescent="0.2">
      <c r="B100" s="22">
        <v>43555</v>
      </c>
      <c r="C100" s="23">
        <v>13</v>
      </c>
      <c r="D100" s="23" t="s">
        <v>691</v>
      </c>
      <c r="E100" s="23"/>
      <c r="F100" s="32"/>
      <c r="G100" s="32" t="s">
        <v>678</v>
      </c>
      <c r="H100" s="24" t="s">
        <v>705</v>
      </c>
      <c r="I100" s="23">
        <v>1</v>
      </c>
      <c r="J100" s="23">
        <v>54</v>
      </c>
      <c r="K100" s="23">
        <v>0.504</v>
      </c>
      <c r="L100" s="51">
        <v>1</v>
      </c>
      <c r="M100" s="51">
        <v>54</v>
      </c>
      <c r="N100" s="51">
        <v>0.504</v>
      </c>
      <c r="O100" s="31" t="s">
        <v>734</v>
      </c>
      <c r="P100" s="24">
        <v>1</v>
      </c>
      <c r="Q100" s="23" t="s">
        <v>717</v>
      </c>
      <c r="R100" s="25" t="s">
        <v>718</v>
      </c>
      <c r="T100" s="23">
        <f>表1_8[[#This Row],[客户编号]]</f>
        <v>0</v>
      </c>
      <c r="U100" s="23" t="str">
        <f>表1_8[[#This Row],[MASTER B/L]]</f>
        <v>DJSCSHB2EE91444N</v>
      </c>
      <c r="V100" s="23">
        <f>表1_8[[#This Row],[件]]</f>
        <v>1</v>
      </c>
      <c r="W100" s="23">
        <f>表1_8[[#This Row],[毛]]</f>
        <v>54</v>
      </c>
      <c r="X100" s="23">
        <f>表1_8[[#This Row],[体]]</f>
        <v>0.504</v>
      </c>
      <c r="Y100" s="31" t="str">
        <f>表1_8[[#This Row],[品名]]</f>
        <v>LOCK &amp; RC ASS</v>
      </c>
      <c r="Z100" s="31" t="str">
        <f>RIGHT(表1_8[[#This Row],[编]],4)</f>
        <v>1</v>
      </c>
      <c r="AA100" s="23" t="str">
        <f>表1_8[[#This Row],[箱号]]</f>
        <v>DRYU9484110</v>
      </c>
      <c r="AB100" s="25" t="str">
        <f>表1_8[[#This Row],[封号]]</f>
        <v>DJSC716377</v>
      </c>
      <c r="AC100" s="23">
        <f>表2[[#This Row],[件]]</f>
        <v>1</v>
      </c>
      <c r="AD100" s="23">
        <f>表2[[#This Row],[毛]]</f>
        <v>54</v>
      </c>
      <c r="AE100" s="23">
        <f>表2[[#This Row],[体]]</f>
        <v>0.504</v>
      </c>
      <c r="AG100" s="23" t="str">
        <f>表1_8[[#This Row],[HOUSE B/L]]</f>
        <v>YJCSHAN1904954</v>
      </c>
      <c r="AH100" s="23" t="str">
        <f>表1_8[[#This Row],[MASTER B/L]]</f>
        <v>DJSCSHB2EE91444N</v>
      </c>
      <c r="AI100" s="23" t="str">
        <f>"ETD"&amp;TEXT(表1_8[[#This Row],[ETD]],"mmdd")&amp;" "&amp;表1_8[[#This Row],[HOUSE B/L]]&amp;" "&amp;表1_8[[#This Row],[MASTER B/L]]&amp;" CHECK BL"</f>
        <v>ETD0331 YJCSHAN1904954 DJSCSHB2EE91444N CHECK BL</v>
      </c>
      <c r="AJ100" s="23" t="str">
        <f>"ETD"&amp;TEXT(表1_8[[#This Row],[ETD]],"mmdd")&amp;" "&amp;表1_8[[#This Row],[HOUSE B/L]]&amp;" "&amp;表1_8[[#This Row],[MASTER B/L]]&amp;" 报关单"</f>
        <v>ETD0331 YJCSHAN1904954 DJSCSHB2EE91444N 报关单</v>
      </c>
      <c r="AK100" s="23" t="str">
        <f>"ETD"&amp;TEXT(表1_8[[#This Row],[ETD]],"mmdd")&amp;" "&amp;表1_8[[#This Row],[HOUSE B/L]]&amp;" "&amp;表1_8[[#This Row],[MASTER B/L]]&amp;" 放行单"</f>
        <v>ETD0331 YJCSHAN1904954 DJSCSHB2EE91444N 放行单</v>
      </c>
      <c r="AL100" s="23" t="str">
        <f>"ETD"&amp;TEXT(表1_8[[#This Row],[ETD]],"mmdd")&amp;" "&amp;表1_8[[#This Row],[HOUSE B/L]]&amp;" "&amp;表1_8[[#This Row],[MASTER B/L]]&amp;" SURRENDERED BL"</f>
        <v>ETD0331 YJCSHAN1904954 DJSCSHB2EE91444N SURRENDERED BL</v>
      </c>
    </row>
    <row r="101" spans="2:38" ht="24" hidden="1" x14ac:dyDescent="0.2">
      <c r="B101" s="22">
        <v>43555</v>
      </c>
      <c r="C101" s="23">
        <v>14</v>
      </c>
      <c r="D101" s="23" t="s">
        <v>312</v>
      </c>
      <c r="E101" s="23"/>
      <c r="F101" s="32"/>
      <c r="G101" s="32" t="s">
        <v>679</v>
      </c>
      <c r="H101" s="24" t="s">
        <v>706</v>
      </c>
      <c r="I101" s="23">
        <v>1</v>
      </c>
      <c r="J101" s="23">
        <v>83</v>
      </c>
      <c r="K101" s="23">
        <v>0.7</v>
      </c>
      <c r="L101" s="51">
        <v>1</v>
      </c>
      <c r="M101" s="51">
        <v>83</v>
      </c>
      <c r="N101" s="51">
        <v>0.7</v>
      </c>
      <c r="O101" s="31" t="s">
        <v>730</v>
      </c>
      <c r="P101" s="24">
        <v>2</v>
      </c>
      <c r="Q101" s="23" t="s">
        <v>736</v>
      </c>
      <c r="R101" s="25" t="s">
        <v>737</v>
      </c>
      <c r="T101" s="23">
        <f>表1_8[[#This Row],[客户编号]]</f>
        <v>0</v>
      </c>
      <c r="U101" s="23" t="str">
        <f>表1_8[[#This Row],[MASTER B/L]]</f>
        <v>DJSCSHB2EE91444P</v>
      </c>
      <c r="V101" s="23">
        <f>表1_8[[#This Row],[件]]</f>
        <v>1</v>
      </c>
      <c r="W101" s="23">
        <f>表1_8[[#This Row],[毛]]</f>
        <v>83</v>
      </c>
      <c r="X101" s="23">
        <f>表1_8[[#This Row],[体]]</f>
        <v>0.7</v>
      </c>
      <c r="Y101" s="31" t="str">
        <f>表1_8[[#This Row],[品名]]</f>
        <v>SEAL WATER
CAP-EXHAUST</v>
      </c>
      <c r="Z101" s="31" t="str">
        <f>RIGHT(表1_8[[#This Row],[编]],4)</f>
        <v>2</v>
      </c>
      <c r="AA101" s="23" t="str">
        <f>表1_8[[#This Row],[箱号]]</f>
        <v>PHRU8604384</v>
      </c>
      <c r="AB101" s="25" t="str">
        <f>表1_8[[#This Row],[封号]]</f>
        <v>714816</v>
      </c>
      <c r="AC101" s="23">
        <f>表2[[#This Row],[件]]</f>
        <v>1</v>
      </c>
      <c r="AD101" s="23">
        <f>表2[[#This Row],[毛]]</f>
        <v>83</v>
      </c>
      <c r="AE101" s="23">
        <f>表2[[#This Row],[体]]</f>
        <v>0.7</v>
      </c>
      <c r="AG101" s="23" t="str">
        <f>表1_8[[#This Row],[HOUSE B/L]]</f>
        <v>YJCSHAN1904987</v>
      </c>
      <c r="AH101" s="23" t="str">
        <f>表1_8[[#This Row],[MASTER B/L]]</f>
        <v>DJSCSHB2EE91444P</v>
      </c>
      <c r="AI101" s="23" t="str">
        <f>"ETD"&amp;TEXT(表1_8[[#This Row],[ETD]],"mmdd")&amp;" "&amp;表1_8[[#This Row],[HOUSE B/L]]&amp;" "&amp;表1_8[[#This Row],[MASTER B/L]]&amp;" CHECK BL"</f>
        <v>ETD0331 YJCSHAN1904987 DJSCSHB2EE91444P CHECK BL</v>
      </c>
      <c r="AJ101" s="23" t="str">
        <f>"ETD"&amp;TEXT(表1_8[[#This Row],[ETD]],"mmdd")&amp;" "&amp;表1_8[[#This Row],[HOUSE B/L]]&amp;" "&amp;表1_8[[#This Row],[MASTER B/L]]&amp;" 报关单"</f>
        <v>ETD0331 YJCSHAN1904987 DJSCSHB2EE91444P 报关单</v>
      </c>
      <c r="AK101" s="23" t="str">
        <f>"ETD"&amp;TEXT(表1_8[[#This Row],[ETD]],"mmdd")&amp;" "&amp;表1_8[[#This Row],[HOUSE B/L]]&amp;" "&amp;表1_8[[#This Row],[MASTER B/L]]&amp;" 放行单"</f>
        <v>ETD0331 YJCSHAN1904987 DJSCSHB2EE91444P 放行单</v>
      </c>
      <c r="AL101" s="23" t="str">
        <f>"ETD"&amp;TEXT(表1_8[[#This Row],[ETD]],"mmdd")&amp;" "&amp;表1_8[[#This Row],[HOUSE B/L]]&amp;" "&amp;表1_8[[#This Row],[MASTER B/L]]&amp;" SURRENDERED BL"</f>
        <v>ETD0331 YJCSHAN1904987 DJSCSHB2EE91444P SURRENDERED BL</v>
      </c>
    </row>
    <row r="102" spans="2:38" hidden="1" x14ac:dyDescent="0.2">
      <c r="B102" s="22">
        <v>43555</v>
      </c>
      <c r="C102" s="23">
        <v>15</v>
      </c>
      <c r="D102" s="23" t="s">
        <v>312</v>
      </c>
      <c r="E102" s="23"/>
      <c r="F102" s="32"/>
      <c r="G102" s="32" t="s">
        <v>680</v>
      </c>
      <c r="H102" s="24" t="s">
        <v>707</v>
      </c>
      <c r="I102" s="23">
        <v>3</v>
      </c>
      <c r="J102" s="23">
        <v>1160</v>
      </c>
      <c r="K102" s="23">
        <v>5</v>
      </c>
      <c r="L102" s="51">
        <v>3</v>
      </c>
      <c r="M102" s="51">
        <v>1160</v>
      </c>
      <c r="N102" s="51">
        <v>5</v>
      </c>
      <c r="O102" s="31" t="s">
        <v>724</v>
      </c>
      <c r="P102" s="24">
        <v>1</v>
      </c>
      <c r="Q102" s="23" t="s">
        <v>717</v>
      </c>
      <c r="R102" s="25" t="s">
        <v>718</v>
      </c>
      <c r="T102" s="23">
        <f>表1_8[[#This Row],[客户编号]]</f>
        <v>0</v>
      </c>
      <c r="U102" s="23" t="str">
        <f>表1_8[[#This Row],[MASTER B/L]]</f>
        <v>DJSCSHB2EE91444Q</v>
      </c>
      <c r="V102" s="23">
        <f>表1_8[[#This Row],[件]]</f>
        <v>3</v>
      </c>
      <c r="W102" s="23">
        <f>表1_8[[#This Row],[毛]]</f>
        <v>1160</v>
      </c>
      <c r="X102" s="23">
        <f>表1_8[[#This Row],[体]]</f>
        <v>5</v>
      </c>
      <c r="Y102" s="31" t="str">
        <f>表1_8[[#This Row],[品名]]</f>
        <v>ASSY MUFFLER SUCTION</v>
      </c>
      <c r="Z102" s="31" t="str">
        <f>RIGHT(表1_8[[#This Row],[编]],4)</f>
        <v>1</v>
      </c>
      <c r="AA102" s="23" t="str">
        <f>表1_8[[#This Row],[箱号]]</f>
        <v>DRYU9484110</v>
      </c>
      <c r="AB102" s="25" t="str">
        <f>表1_8[[#This Row],[封号]]</f>
        <v>DJSC716377</v>
      </c>
      <c r="AC102" s="23">
        <f>表2[[#This Row],[件]]</f>
        <v>3</v>
      </c>
      <c r="AD102" s="23">
        <f>表2[[#This Row],[毛]]</f>
        <v>1160</v>
      </c>
      <c r="AE102" s="23">
        <f>表2[[#This Row],[体]]</f>
        <v>5</v>
      </c>
      <c r="AG102" s="23" t="str">
        <f>表1_8[[#This Row],[HOUSE B/L]]</f>
        <v>YJCSHAN1904989</v>
      </c>
      <c r="AH102" s="23" t="str">
        <f>表1_8[[#This Row],[MASTER B/L]]</f>
        <v>DJSCSHB2EE91444Q</v>
      </c>
      <c r="AI102" s="23" t="str">
        <f>"ETD"&amp;TEXT(表1_8[[#This Row],[ETD]],"mmdd")&amp;" "&amp;表1_8[[#This Row],[HOUSE B/L]]&amp;" "&amp;表1_8[[#This Row],[MASTER B/L]]&amp;" CHECK BL"</f>
        <v>ETD0331 YJCSHAN1904989 DJSCSHB2EE91444Q CHECK BL</v>
      </c>
      <c r="AJ102" s="23" t="str">
        <f>"ETD"&amp;TEXT(表1_8[[#This Row],[ETD]],"mmdd")&amp;" "&amp;表1_8[[#This Row],[HOUSE B/L]]&amp;" "&amp;表1_8[[#This Row],[MASTER B/L]]&amp;" 报关单"</f>
        <v>ETD0331 YJCSHAN1904989 DJSCSHB2EE91444Q 报关单</v>
      </c>
      <c r="AK102" s="23" t="str">
        <f>"ETD"&amp;TEXT(表1_8[[#This Row],[ETD]],"mmdd")&amp;" "&amp;表1_8[[#This Row],[HOUSE B/L]]&amp;" "&amp;表1_8[[#This Row],[MASTER B/L]]&amp;" 放行单"</f>
        <v>ETD0331 YJCSHAN1904989 DJSCSHB2EE91444Q 放行单</v>
      </c>
      <c r="AL102" s="23" t="str">
        <f>"ETD"&amp;TEXT(表1_8[[#This Row],[ETD]],"mmdd")&amp;" "&amp;表1_8[[#This Row],[HOUSE B/L]]&amp;" "&amp;表1_8[[#This Row],[MASTER B/L]]&amp;" SURRENDERED BL"</f>
        <v>ETD0331 YJCSHAN1904989 DJSCSHB2EE91444Q SURRENDERED BL</v>
      </c>
    </row>
    <row r="103" spans="2:38" ht="24" hidden="1" x14ac:dyDescent="0.2">
      <c r="B103" s="22">
        <v>43555</v>
      </c>
      <c r="C103" s="23">
        <v>16</v>
      </c>
      <c r="D103" s="23" t="s">
        <v>312</v>
      </c>
      <c r="E103" s="23"/>
      <c r="F103" s="32"/>
      <c r="G103" s="32" t="s">
        <v>681</v>
      </c>
      <c r="H103" s="24" t="s">
        <v>708</v>
      </c>
      <c r="I103" s="23">
        <v>1</v>
      </c>
      <c r="J103" s="23">
        <v>137</v>
      </c>
      <c r="K103" s="23">
        <v>0.2</v>
      </c>
      <c r="L103" s="51">
        <v>1</v>
      </c>
      <c r="M103" s="51">
        <v>137</v>
      </c>
      <c r="N103" s="51">
        <v>0.2</v>
      </c>
      <c r="O103" s="31" t="s">
        <v>725</v>
      </c>
      <c r="P103" s="24">
        <v>1</v>
      </c>
      <c r="Q103" s="23" t="s">
        <v>717</v>
      </c>
      <c r="R103" s="25" t="s">
        <v>718</v>
      </c>
      <c r="T103" s="23">
        <f>表1_8[[#This Row],[客户编号]]</f>
        <v>0</v>
      </c>
      <c r="U103" s="23" t="str">
        <f>表1_8[[#This Row],[MASTER B/L]]</f>
        <v>DJSCSHB2EE91444R</v>
      </c>
      <c r="V103" s="23">
        <f>表1_8[[#This Row],[件]]</f>
        <v>1</v>
      </c>
      <c r="W103" s="23">
        <f>表1_8[[#This Row],[毛]]</f>
        <v>137</v>
      </c>
      <c r="X103" s="23">
        <f>表1_8[[#This Row],[体]]</f>
        <v>0.2</v>
      </c>
      <c r="Y103" s="31" t="str">
        <f>表1_8[[#This Row],[品名]]</f>
        <v>GROMMET ISOLATOR
HEAT SINK</v>
      </c>
      <c r="Z103" s="31" t="str">
        <f>RIGHT(表1_8[[#This Row],[编]],4)</f>
        <v>1</v>
      </c>
      <c r="AA103" s="23" t="str">
        <f>表1_8[[#This Row],[箱号]]</f>
        <v>DRYU9484110</v>
      </c>
      <c r="AB103" s="25" t="str">
        <f>表1_8[[#This Row],[封号]]</f>
        <v>DJSC716377</v>
      </c>
      <c r="AC103" s="23">
        <f>表2[[#This Row],[件]]</f>
        <v>1</v>
      </c>
      <c r="AD103" s="23">
        <f>表2[[#This Row],[毛]]</f>
        <v>137</v>
      </c>
      <c r="AE103" s="23">
        <f>表2[[#This Row],[体]]</f>
        <v>0.2</v>
      </c>
      <c r="AG103" s="23" t="str">
        <f>表1_8[[#This Row],[HOUSE B/L]]</f>
        <v>YJCSHAN1904994</v>
      </c>
      <c r="AH103" s="23" t="str">
        <f>表1_8[[#This Row],[MASTER B/L]]</f>
        <v>DJSCSHB2EE91444R</v>
      </c>
      <c r="AI103" s="23" t="str">
        <f>"ETD"&amp;TEXT(表1_8[[#This Row],[ETD]],"mmdd")&amp;" "&amp;表1_8[[#This Row],[HOUSE B/L]]&amp;" "&amp;表1_8[[#This Row],[MASTER B/L]]&amp;" CHECK BL"</f>
        <v>ETD0331 YJCSHAN1904994 DJSCSHB2EE91444R CHECK BL</v>
      </c>
      <c r="AJ103" s="23" t="str">
        <f>"ETD"&amp;TEXT(表1_8[[#This Row],[ETD]],"mmdd")&amp;" "&amp;表1_8[[#This Row],[HOUSE B/L]]&amp;" "&amp;表1_8[[#This Row],[MASTER B/L]]&amp;" 报关单"</f>
        <v>ETD0331 YJCSHAN1904994 DJSCSHB2EE91444R 报关单</v>
      </c>
      <c r="AK103" s="23" t="str">
        <f>"ETD"&amp;TEXT(表1_8[[#This Row],[ETD]],"mmdd")&amp;" "&amp;表1_8[[#This Row],[HOUSE B/L]]&amp;" "&amp;表1_8[[#This Row],[MASTER B/L]]&amp;" 放行单"</f>
        <v>ETD0331 YJCSHAN1904994 DJSCSHB2EE91444R 放行单</v>
      </c>
      <c r="AL103" s="23" t="str">
        <f>"ETD"&amp;TEXT(表1_8[[#This Row],[ETD]],"mmdd")&amp;" "&amp;表1_8[[#This Row],[HOUSE B/L]]&amp;" "&amp;表1_8[[#This Row],[MASTER B/L]]&amp;" SURRENDERED BL"</f>
        <v>ETD0331 YJCSHAN1904994 DJSCSHB2EE91444R SURRENDERED BL</v>
      </c>
    </row>
    <row r="104" spans="2:38" hidden="1" x14ac:dyDescent="0.2">
      <c r="B104" s="22">
        <v>43555</v>
      </c>
      <c r="C104" s="23">
        <v>17</v>
      </c>
      <c r="D104" s="23" t="s">
        <v>692</v>
      </c>
      <c r="E104" s="24">
        <v>5001</v>
      </c>
      <c r="F104" s="24"/>
      <c r="G104" s="24" t="s">
        <v>694</v>
      </c>
      <c r="H104" s="24" t="s">
        <v>709</v>
      </c>
      <c r="I104" s="23">
        <v>12</v>
      </c>
      <c r="J104" s="23">
        <v>3143</v>
      </c>
      <c r="K104" s="23">
        <v>4.9539999999999997</v>
      </c>
      <c r="L104" s="51">
        <v>12</v>
      </c>
      <c r="M104" s="51">
        <v>3143</v>
      </c>
      <c r="N104" s="51">
        <v>4.9539999999999997</v>
      </c>
      <c r="O104" s="31" t="s">
        <v>731</v>
      </c>
      <c r="P104" s="24">
        <v>2</v>
      </c>
      <c r="Q104" s="23" t="s">
        <v>736</v>
      </c>
      <c r="R104" s="25" t="s">
        <v>737</v>
      </c>
      <c r="T104" s="23">
        <f>表1_8[[#This Row],[客户编号]]</f>
        <v>0</v>
      </c>
      <c r="U104" s="23" t="str">
        <f>表1_8[[#This Row],[MASTER B/L]]</f>
        <v>DJSCSHB2EE91444S</v>
      </c>
      <c r="V104" s="23">
        <f>表1_8[[#This Row],[件]]</f>
        <v>12</v>
      </c>
      <c r="W104" s="23">
        <f>表1_8[[#This Row],[毛]]</f>
        <v>3143</v>
      </c>
      <c r="X104" s="23">
        <f>表1_8[[#This Row],[体]]</f>
        <v>4.9539999999999997</v>
      </c>
      <c r="Y104" s="31" t="str">
        <f>表1_8[[#This Row],[品名]]</f>
        <v>VARIABLE CAM TIMER UNIT</v>
      </c>
      <c r="Z104" s="31" t="str">
        <f>RIGHT(表1_8[[#This Row],[编]],4)</f>
        <v>2</v>
      </c>
      <c r="AA104" s="23" t="str">
        <f>表1_8[[#This Row],[箱号]]</f>
        <v>PHRU8604384</v>
      </c>
      <c r="AB104" s="25" t="str">
        <f>表1_8[[#This Row],[封号]]</f>
        <v>714816</v>
      </c>
      <c r="AC104" s="23">
        <f>表2[[#This Row],[件]]</f>
        <v>12</v>
      </c>
      <c r="AD104" s="23">
        <f>表2[[#This Row],[毛]]</f>
        <v>3143</v>
      </c>
      <c r="AE104" s="23">
        <f>表2[[#This Row],[体]]</f>
        <v>4.9539999999999997</v>
      </c>
      <c r="AG104" s="23" t="str">
        <f>表1_8[[#This Row],[HOUSE B/L]]</f>
        <v>YJCSHAN1905001A</v>
      </c>
      <c r="AH104" s="23" t="str">
        <f>表1_8[[#This Row],[MASTER B/L]]</f>
        <v>DJSCSHB2EE91444S</v>
      </c>
      <c r="AI104" s="23" t="str">
        <f>"ETD"&amp;TEXT(表1_8[[#This Row],[ETD]],"mmdd")&amp;" "&amp;表1_8[[#This Row],[HOUSE B/L]]&amp;" "&amp;表1_8[[#This Row],[MASTER B/L]]&amp;" CHECK BL"</f>
        <v>ETD0331 YJCSHAN1905001A DJSCSHB2EE91444S CHECK BL</v>
      </c>
      <c r="AJ104" s="23" t="str">
        <f>"ETD"&amp;TEXT(表1_8[[#This Row],[ETD]],"mmdd")&amp;" "&amp;表1_8[[#This Row],[HOUSE B/L]]&amp;" "&amp;表1_8[[#This Row],[MASTER B/L]]&amp;" 报关单"</f>
        <v>ETD0331 YJCSHAN1905001A DJSCSHB2EE91444S 报关单</v>
      </c>
      <c r="AK104" s="23" t="str">
        <f>"ETD"&amp;TEXT(表1_8[[#This Row],[ETD]],"mmdd")&amp;" "&amp;表1_8[[#This Row],[HOUSE B/L]]&amp;" "&amp;表1_8[[#This Row],[MASTER B/L]]&amp;" 放行单"</f>
        <v>ETD0331 YJCSHAN1905001A DJSCSHB2EE91444S 放行单</v>
      </c>
      <c r="AL104" s="23" t="str">
        <f>"ETD"&amp;TEXT(表1_8[[#This Row],[ETD]],"mmdd")&amp;" "&amp;表1_8[[#This Row],[HOUSE B/L]]&amp;" "&amp;表1_8[[#This Row],[MASTER B/L]]&amp;" SURRENDERED BL"</f>
        <v>ETD0331 YJCSHAN1905001A DJSCSHB2EE91444S SURRENDERED BL</v>
      </c>
    </row>
    <row r="105" spans="2:38" hidden="1" x14ac:dyDescent="0.2">
      <c r="B105" s="22">
        <v>43555</v>
      </c>
      <c r="C105" s="23">
        <v>18</v>
      </c>
      <c r="D105" s="23" t="s">
        <v>266</v>
      </c>
      <c r="E105" s="23"/>
      <c r="F105" s="24"/>
      <c r="G105" s="24" t="s">
        <v>726</v>
      </c>
      <c r="H105" s="24" t="s">
        <v>710</v>
      </c>
      <c r="I105" s="23">
        <v>56</v>
      </c>
      <c r="J105" s="23">
        <v>795.68</v>
      </c>
      <c r="K105" s="23">
        <v>2.2799999999999998</v>
      </c>
      <c r="L105" s="51">
        <v>2</v>
      </c>
      <c r="M105" s="51">
        <v>795.68</v>
      </c>
      <c r="N105" s="51">
        <v>2.2799999999999998</v>
      </c>
      <c r="O105" s="31" t="s">
        <v>727</v>
      </c>
      <c r="P105" s="24">
        <v>1</v>
      </c>
      <c r="Q105" s="23" t="s">
        <v>717</v>
      </c>
      <c r="R105" s="25" t="s">
        <v>718</v>
      </c>
      <c r="T105" s="23">
        <f>表1_8[[#This Row],[客户编号]]</f>
        <v>0</v>
      </c>
      <c r="U105" s="23" t="str">
        <f>表1_8[[#This Row],[MASTER B/L]]</f>
        <v>DJSCSHB2EE91444T</v>
      </c>
      <c r="V105" s="23">
        <f>表1_8[[#This Row],[件]]</f>
        <v>56</v>
      </c>
      <c r="W105" s="23">
        <f>表1_8[[#This Row],[毛]]</f>
        <v>795.68</v>
      </c>
      <c r="X105" s="23">
        <f>表1_8[[#This Row],[体]]</f>
        <v>2.2799999999999998</v>
      </c>
      <c r="Y105" s="31" t="str">
        <f>表1_8[[#This Row],[品名]]</f>
        <v>POWER SUPPLY CORD SETS</v>
      </c>
      <c r="Z105" s="31" t="str">
        <f>RIGHT(表1_8[[#This Row],[编]],4)</f>
        <v>1</v>
      </c>
      <c r="AA105" s="23" t="str">
        <f>表1_8[[#This Row],[箱号]]</f>
        <v>DRYU9484110</v>
      </c>
      <c r="AB105" s="25" t="str">
        <f>表1_8[[#This Row],[封号]]</f>
        <v>DJSC716377</v>
      </c>
      <c r="AC105" s="23">
        <f>表2[[#This Row],[件]]</f>
        <v>56</v>
      </c>
      <c r="AD105" s="23">
        <f>表2[[#This Row],[毛]]</f>
        <v>795.68</v>
      </c>
      <c r="AE105" s="23">
        <f>表2[[#This Row],[体]]</f>
        <v>2.2799999999999998</v>
      </c>
      <c r="AG105" s="23" t="str">
        <f>表1_8[[#This Row],[HOUSE B/L]]</f>
        <v>YJCSHAN1905025</v>
      </c>
      <c r="AH105" s="23" t="str">
        <f>表1_8[[#This Row],[MASTER B/L]]</f>
        <v>DJSCSHB2EE91444T</v>
      </c>
      <c r="AI105" s="23" t="str">
        <f>"ETD"&amp;TEXT(表1_8[[#This Row],[ETD]],"mmdd")&amp;" "&amp;表1_8[[#This Row],[HOUSE B/L]]&amp;" "&amp;表1_8[[#This Row],[MASTER B/L]]&amp;" CHECK BL"</f>
        <v>ETD0331 YJCSHAN1905025 DJSCSHB2EE91444T CHECK BL</v>
      </c>
      <c r="AJ105" s="23" t="str">
        <f>"ETD"&amp;TEXT(表1_8[[#This Row],[ETD]],"mmdd")&amp;" "&amp;表1_8[[#This Row],[HOUSE B/L]]&amp;" "&amp;表1_8[[#This Row],[MASTER B/L]]&amp;" 报关单"</f>
        <v>ETD0331 YJCSHAN1905025 DJSCSHB2EE91444T 报关单</v>
      </c>
      <c r="AK105" s="23" t="str">
        <f>"ETD"&amp;TEXT(表1_8[[#This Row],[ETD]],"mmdd")&amp;" "&amp;表1_8[[#This Row],[HOUSE B/L]]&amp;" "&amp;表1_8[[#This Row],[MASTER B/L]]&amp;" 放行单"</f>
        <v>ETD0331 YJCSHAN1905025 DJSCSHB2EE91444T 放行单</v>
      </c>
      <c r="AL105" s="23" t="str">
        <f>"ETD"&amp;TEXT(表1_8[[#This Row],[ETD]],"mmdd")&amp;" "&amp;表1_8[[#This Row],[HOUSE B/L]]&amp;" "&amp;表1_8[[#This Row],[MASTER B/L]]&amp;" SURRENDERED BL"</f>
        <v>ETD0331 YJCSHAN1905025 DJSCSHB2EE91444T SURRENDERED BL</v>
      </c>
    </row>
    <row r="106" spans="2:38" hidden="1" x14ac:dyDescent="0.2">
      <c r="B106" s="22">
        <v>43555</v>
      </c>
      <c r="C106" s="23">
        <v>19</v>
      </c>
      <c r="D106" s="23" t="s">
        <v>692</v>
      </c>
      <c r="E106" s="24">
        <v>5001</v>
      </c>
      <c r="F106" s="24"/>
      <c r="G106" s="24" t="s">
        <v>695</v>
      </c>
      <c r="H106" s="24" t="s">
        <v>711</v>
      </c>
      <c r="I106" s="23">
        <v>2</v>
      </c>
      <c r="J106" s="23">
        <v>568</v>
      </c>
      <c r="K106" s="23">
        <v>0.82599999999999996</v>
      </c>
      <c r="L106" s="51">
        <v>2</v>
      </c>
      <c r="M106" s="51">
        <v>568</v>
      </c>
      <c r="N106" s="51">
        <v>0.82599999999999996</v>
      </c>
      <c r="O106" s="31" t="s">
        <v>731</v>
      </c>
      <c r="P106" s="24">
        <v>2</v>
      </c>
      <c r="Q106" s="23" t="s">
        <v>736</v>
      </c>
      <c r="R106" s="25" t="s">
        <v>737</v>
      </c>
      <c r="T106" s="23">
        <f>表1_8[[#This Row],[客户编号]]</f>
        <v>0</v>
      </c>
      <c r="U106" s="23" t="str">
        <f>表1_8[[#This Row],[MASTER B/L]]</f>
        <v>DJSCSHB2EE91444U</v>
      </c>
      <c r="V106" s="23">
        <f>表1_8[[#This Row],[件]]</f>
        <v>2</v>
      </c>
      <c r="W106" s="23">
        <f>表1_8[[#This Row],[毛]]</f>
        <v>568</v>
      </c>
      <c r="X106" s="23">
        <f>表1_8[[#This Row],[体]]</f>
        <v>0.82599999999999996</v>
      </c>
      <c r="Y106" s="31" t="str">
        <f>表1_8[[#This Row],[品名]]</f>
        <v>VARIABLE CAM TIMER UNIT</v>
      </c>
      <c r="Z106" s="31" t="str">
        <f>RIGHT(表1_8[[#This Row],[编]],4)</f>
        <v>2</v>
      </c>
      <c r="AA106" s="23" t="str">
        <f>表1_8[[#This Row],[箱号]]</f>
        <v>PHRU8604384</v>
      </c>
      <c r="AB106" s="25" t="str">
        <f>表1_8[[#This Row],[封号]]</f>
        <v>714816</v>
      </c>
      <c r="AC106" s="23">
        <f>表2[[#This Row],[件]]</f>
        <v>2</v>
      </c>
      <c r="AD106" s="23">
        <f>表2[[#This Row],[毛]]</f>
        <v>568</v>
      </c>
      <c r="AE106" s="23">
        <f>表2[[#This Row],[体]]</f>
        <v>0.82599999999999996</v>
      </c>
      <c r="AG106" s="23" t="str">
        <f>表1_8[[#This Row],[HOUSE B/L]]</f>
        <v>YJCSHAN1905036A</v>
      </c>
      <c r="AH106" s="23" t="str">
        <f>表1_8[[#This Row],[MASTER B/L]]</f>
        <v>DJSCSHB2EE91444U</v>
      </c>
      <c r="AI106" s="23" t="str">
        <f>"ETD"&amp;TEXT(表1_8[[#This Row],[ETD]],"mmdd")&amp;" "&amp;表1_8[[#This Row],[HOUSE B/L]]&amp;" "&amp;表1_8[[#This Row],[MASTER B/L]]&amp;" CHECK BL"</f>
        <v>ETD0331 YJCSHAN1905036A DJSCSHB2EE91444U CHECK BL</v>
      </c>
      <c r="AJ106" s="23" t="str">
        <f>"ETD"&amp;TEXT(表1_8[[#This Row],[ETD]],"mmdd")&amp;" "&amp;表1_8[[#This Row],[HOUSE B/L]]&amp;" "&amp;表1_8[[#This Row],[MASTER B/L]]&amp;" 报关单"</f>
        <v>ETD0331 YJCSHAN1905036A DJSCSHB2EE91444U 报关单</v>
      </c>
      <c r="AK106" s="23" t="str">
        <f>"ETD"&amp;TEXT(表1_8[[#This Row],[ETD]],"mmdd")&amp;" "&amp;表1_8[[#This Row],[HOUSE B/L]]&amp;" "&amp;表1_8[[#This Row],[MASTER B/L]]&amp;" 放行单"</f>
        <v>ETD0331 YJCSHAN1905036A DJSCSHB2EE91444U 放行单</v>
      </c>
      <c r="AL106" s="23" t="str">
        <f>"ETD"&amp;TEXT(表1_8[[#This Row],[ETD]],"mmdd")&amp;" "&amp;表1_8[[#This Row],[HOUSE B/L]]&amp;" "&amp;表1_8[[#This Row],[MASTER B/L]]&amp;" SURRENDERED BL"</f>
        <v>ETD0331 YJCSHAN1905036A DJSCSHB2EE91444U SURRENDERED BL</v>
      </c>
    </row>
    <row r="107" spans="2:38" ht="36" hidden="1" x14ac:dyDescent="0.2">
      <c r="B107" s="22">
        <v>43555</v>
      </c>
      <c r="C107" s="23">
        <v>20</v>
      </c>
      <c r="D107" s="23" t="s">
        <v>323</v>
      </c>
      <c r="E107" s="23"/>
      <c r="F107" s="24"/>
      <c r="G107" s="24" t="s">
        <v>682</v>
      </c>
      <c r="H107" s="24" t="s">
        <v>712</v>
      </c>
      <c r="I107" s="23">
        <v>2</v>
      </c>
      <c r="J107" s="23">
        <v>648</v>
      </c>
      <c r="K107" s="23">
        <v>2.5099999999999998</v>
      </c>
      <c r="L107" s="51">
        <v>2</v>
      </c>
      <c r="M107" s="51">
        <v>648</v>
      </c>
      <c r="N107" s="51">
        <v>2.5099999999999998</v>
      </c>
      <c r="O107" s="31" t="s">
        <v>356</v>
      </c>
      <c r="P107" s="24">
        <v>1</v>
      </c>
      <c r="Q107" s="23" t="s">
        <v>717</v>
      </c>
      <c r="R107" s="25" t="s">
        <v>718</v>
      </c>
      <c r="T107" s="23">
        <f>表1_8[[#This Row],[客户编号]]</f>
        <v>0</v>
      </c>
      <c r="U107" s="23" t="str">
        <f>表1_8[[#This Row],[MASTER B/L]]</f>
        <v>DJSCSHB2EE91444V</v>
      </c>
      <c r="V107" s="23">
        <f>表1_8[[#This Row],[件]]</f>
        <v>2</v>
      </c>
      <c r="W107" s="23">
        <f>表1_8[[#This Row],[毛]]</f>
        <v>648</v>
      </c>
      <c r="X107" s="23">
        <f>表1_8[[#This Row],[体]]</f>
        <v>2.5099999999999998</v>
      </c>
      <c r="Y107" s="31" t="str">
        <f>表1_8[[#This Row],[品名]]</f>
        <v>TAB LEAD
BAF &amp; CAF PP</v>
      </c>
      <c r="Z107" s="31" t="str">
        <f>RIGHT(表1_8[[#This Row],[编]],4)</f>
        <v>1</v>
      </c>
      <c r="AA107" s="23" t="str">
        <f>表1_8[[#This Row],[箱号]]</f>
        <v>DRYU9484110</v>
      </c>
      <c r="AB107" s="25" t="str">
        <f>表1_8[[#This Row],[封号]]</f>
        <v>DJSC716377</v>
      </c>
      <c r="AC107" s="23">
        <f>表2[[#This Row],[件]]</f>
        <v>2</v>
      </c>
      <c r="AD107" s="23">
        <f>表2[[#This Row],[毛]]</f>
        <v>648</v>
      </c>
      <c r="AE107" s="23">
        <f>表2[[#This Row],[体]]</f>
        <v>2.5099999999999998</v>
      </c>
      <c r="AG107" s="23" t="str">
        <f>表1_8[[#This Row],[HOUSE B/L]]</f>
        <v>YJCSHAN1905037</v>
      </c>
      <c r="AH107" s="23" t="str">
        <f>表1_8[[#This Row],[MASTER B/L]]</f>
        <v>DJSCSHB2EE91444V</v>
      </c>
      <c r="AI107" s="23" t="str">
        <f>"ETD"&amp;TEXT(表1_8[[#This Row],[ETD]],"mmdd")&amp;" "&amp;表1_8[[#This Row],[HOUSE B/L]]&amp;" "&amp;表1_8[[#This Row],[MASTER B/L]]&amp;" CHECK BL"</f>
        <v>ETD0331 YJCSHAN1905037 DJSCSHB2EE91444V CHECK BL</v>
      </c>
      <c r="AJ107" s="23" t="str">
        <f>"ETD"&amp;TEXT(表1_8[[#This Row],[ETD]],"mmdd")&amp;" "&amp;表1_8[[#This Row],[HOUSE B/L]]&amp;" "&amp;表1_8[[#This Row],[MASTER B/L]]&amp;" 报关单"</f>
        <v>ETD0331 YJCSHAN1905037 DJSCSHB2EE91444V 报关单</v>
      </c>
      <c r="AK107" s="23" t="str">
        <f>"ETD"&amp;TEXT(表1_8[[#This Row],[ETD]],"mmdd")&amp;" "&amp;表1_8[[#This Row],[HOUSE B/L]]&amp;" "&amp;表1_8[[#This Row],[MASTER B/L]]&amp;" 放行单"</f>
        <v>ETD0331 YJCSHAN1905037 DJSCSHB2EE91444V 放行单</v>
      </c>
      <c r="AL107" s="23" t="str">
        <f>"ETD"&amp;TEXT(表1_8[[#This Row],[ETD]],"mmdd")&amp;" "&amp;表1_8[[#This Row],[HOUSE B/L]]&amp;" "&amp;表1_8[[#This Row],[MASTER B/L]]&amp;" SURRENDERED BL"</f>
        <v>ETD0331 YJCSHAN1905037 DJSCSHB2EE91444V SURRENDERED BL</v>
      </c>
    </row>
    <row r="108" spans="2:38" ht="60" hidden="1" x14ac:dyDescent="0.2">
      <c r="B108" s="22">
        <v>43555</v>
      </c>
      <c r="C108" s="23">
        <v>21</v>
      </c>
      <c r="D108" s="23" t="s">
        <v>693</v>
      </c>
      <c r="E108" s="23"/>
      <c r="F108" s="24"/>
      <c r="G108" s="24" t="s">
        <v>683</v>
      </c>
      <c r="H108" s="24" t="s">
        <v>713</v>
      </c>
      <c r="I108" s="23">
        <v>1</v>
      </c>
      <c r="J108" s="23">
        <v>163.4</v>
      </c>
      <c r="K108" s="23">
        <v>3.33</v>
      </c>
      <c r="L108" s="51">
        <v>1</v>
      </c>
      <c r="M108" s="51">
        <v>163.4</v>
      </c>
      <c r="N108" s="51">
        <v>3.33</v>
      </c>
      <c r="O108" s="31" t="s">
        <v>732</v>
      </c>
      <c r="P108" s="24">
        <v>2</v>
      </c>
      <c r="Q108" s="23" t="s">
        <v>736</v>
      </c>
      <c r="R108" s="25" t="s">
        <v>737</v>
      </c>
      <c r="T108" s="23">
        <f>表1_8[[#This Row],[客户编号]]</f>
        <v>0</v>
      </c>
      <c r="U108" s="23" t="str">
        <f>表1_8[[#This Row],[MASTER B/L]]</f>
        <v>DJSCSHB2EE91444W</v>
      </c>
      <c r="V108" s="23">
        <f>表1_8[[#This Row],[件]]</f>
        <v>1</v>
      </c>
      <c r="W108" s="23">
        <f>表1_8[[#This Row],[毛]]</f>
        <v>163.4</v>
      </c>
      <c r="X108" s="23">
        <f>表1_8[[#This Row],[体]]</f>
        <v>3.33</v>
      </c>
      <c r="Y108" s="31" t="str">
        <f>表1_8[[#This Row],[品名]]</f>
        <v>FR PROTR-TANK
COVER-UNDER ENG
COVER-RR SEAT
BAF &amp; CAF PP</v>
      </c>
      <c r="Z108" s="31" t="str">
        <f>RIGHT(表1_8[[#This Row],[编]],4)</f>
        <v>2</v>
      </c>
      <c r="AA108" s="23" t="str">
        <f>表1_8[[#This Row],[箱号]]</f>
        <v>PHRU8604384</v>
      </c>
      <c r="AB108" s="25" t="str">
        <f>表1_8[[#This Row],[封号]]</f>
        <v>714816</v>
      </c>
      <c r="AC108" s="23">
        <f>表2[[#This Row],[件]]</f>
        <v>1</v>
      </c>
      <c r="AD108" s="23">
        <f>表2[[#This Row],[毛]]</f>
        <v>163.4</v>
      </c>
      <c r="AE108" s="23">
        <f>表2[[#This Row],[体]]</f>
        <v>3.33</v>
      </c>
      <c r="AG108" s="23" t="str">
        <f>表1_8[[#This Row],[HOUSE B/L]]</f>
        <v>YJCSHAN1905054</v>
      </c>
      <c r="AH108" s="23" t="str">
        <f>表1_8[[#This Row],[MASTER B/L]]</f>
        <v>DJSCSHB2EE91444W</v>
      </c>
      <c r="AI108" s="23" t="str">
        <f>"ETD"&amp;TEXT(表1_8[[#This Row],[ETD]],"mmdd")&amp;" "&amp;表1_8[[#This Row],[HOUSE B/L]]&amp;" "&amp;表1_8[[#This Row],[MASTER B/L]]&amp;" CHECK BL"</f>
        <v>ETD0331 YJCSHAN1905054 DJSCSHB2EE91444W CHECK BL</v>
      </c>
      <c r="AJ108" s="23" t="str">
        <f>"ETD"&amp;TEXT(表1_8[[#This Row],[ETD]],"mmdd")&amp;" "&amp;表1_8[[#This Row],[HOUSE B/L]]&amp;" "&amp;表1_8[[#This Row],[MASTER B/L]]&amp;" 报关单"</f>
        <v>ETD0331 YJCSHAN1905054 DJSCSHB2EE91444W 报关单</v>
      </c>
      <c r="AK108" s="23" t="str">
        <f>"ETD"&amp;TEXT(表1_8[[#This Row],[ETD]],"mmdd")&amp;" "&amp;表1_8[[#This Row],[HOUSE B/L]]&amp;" "&amp;表1_8[[#This Row],[MASTER B/L]]&amp;" 放行单"</f>
        <v>ETD0331 YJCSHAN1905054 DJSCSHB2EE91444W 放行单</v>
      </c>
      <c r="AL108" s="23" t="str">
        <f>"ETD"&amp;TEXT(表1_8[[#This Row],[ETD]],"mmdd")&amp;" "&amp;表1_8[[#This Row],[HOUSE B/L]]&amp;" "&amp;表1_8[[#This Row],[MASTER B/L]]&amp;" SURRENDERED BL"</f>
        <v>ETD0331 YJCSHAN1905054 DJSCSHB2EE91444W SURRENDERED BL</v>
      </c>
    </row>
    <row r="109" spans="2:38" hidden="1" x14ac:dyDescent="0.2">
      <c r="B109" s="22">
        <v>43557</v>
      </c>
      <c r="C109" s="23">
        <v>1</v>
      </c>
      <c r="D109" s="23" t="s">
        <v>799</v>
      </c>
      <c r="E109" s="23"/>
      <c r="F109" s="24" t="s">
        <v>803</v>
      </c>
      <c r="G109" s="24" t="s">
        <v>803</v>
      </c>
      <c r="H109" s="24" t="s">
        <v>804</v>
      </c>
      <c r="I109" s="23">
        <v>4</v>
      </c>
      <c r="J109" s="23">
        <v>571</v>
      </c>
      <c r="K109" s="23">
        <v>4.2300000000000004</v>
      </c>
      <c r="L109" s="51">
        <v>4</v>
      </c>
      <c r="M109" s="51">
        <v>571</v>
      </c>
      <c r="N109" s="51">
        <v>4.2300000000000004</v>
      </c>
      <c r="O109" s="31" t="s">
        <v>834</v>
      </c>
      <c r="P109" s="24" t="s">
        <v>851</v>
      </c>
      <c r="Q109" s="23" t="s">
        <v>850</v>
      </c>
      <c r="R109" s="25">
        <v>719481</v>
      </c>
      <c r="T109" s="23" t="str">
        <f>表1_8[[#This Row],[客户编号]]</f>
        <v>YJCSHAN1904174</v>
      </c>
      <c r="U109" s="23" t="str">
        <f>表1_8[[#This Row],[MASTER B/L]]</f>
        <v>DJSCSHBDEE91344A</v>
      </c>
      <c r="V109" s="23">
        <f>表1_8[[#This Row],[件]]</f>
        <v>4</v>
      </c>
      <c r="W109" s="23">
        <f>表1_8[[#This Row],[毛]]</f>
        <v>571</v>
      </c>
      <c r="X109" s="23">
        <f>表1_8[[#This Row],[体]]</f>
        <v>4.2300000000000004</v>
      </c>
      <c r="Y109" s="31" t="str">
        <f>表1_8[[#This Row],[品名]]</f>
        <v>LOCK-FR RH/LH DOOR</v>
      </c>
      <c r="Z109" s="31" t="str">
        <f>RIGHT(表1_8[[#This Row],[编]],4)</f>
        <v>40HQ</v>
      </c>
      <c r="AA109" s="23" t="str">
        <f>表1_8[[#This Row],[箱号]]</f>
        <v>DRYU9464670</v>
      </c>
      <c r="AB109" s="25">
        <f>表1_8[[#This Row],[封号]]</f>
        <v>719481</v>
      </c>
      <c r="AC109" s="23">
        <f>表2[[#This Row],[件]]</f>
        <v>4</v>
      </c>
      <c r="AD109" s="23">
        <f>表2[[#This Row],[毛]]</f>
        <v>571</v>
      </c>
      <c r="AE109" s="23">
        <f>表2[[#This Row],[体]]</f>
        <v>4.2300000000000004</v>
      </c>
      <c r="AG109" s="23" t="str">
        <f>表1_8[[#This Row],[HOUSE B/L]]</f>
        <v>YJCSHAN1904174</v>
      </c>
      <c r="AH109" s="23" t="str">
        <f>表1_8[[#This Row],[MASTER B/L]]</f>
        <v>DJSCSHBDEE91344A</v>
      </c>
      <c r="AI109" s="23" t="str">
        <f>"ETD"&amp;TEXT(表1_8[[#This Row],[ETD]],"mmdd")&amp;" "&amp;表1_8[[#This Row],[HOUSE B/L]]&amp;" "&amp;表1_8[[#This Row],[MASTER B/L]]&amp;" CHECK BL"</f>
        <v>ETD0402 YJCSHAN1904174 DJSCSHBDEE91344A CHECK BL</v>
      </c>
      <c r="AJ109" s="23" t="str">
        <f>"ETD"&amp;TEXT(表1_8[[#This Row],[ETD]],"mmdd")&amp;" "&amp;表1_8[[#This Row],[HOUSE B/L]]&amp;" "&amp;表1_8[[#This Row],[MASTER B/L]]&amp;" 报关单"</f>
        <v>ETD0402 YJCSHAN1904174 DJSCSHBDEE91344A 报关单</v>
      </c>
      <c r="AK109" s="23" t="str">
        <f>"ETD"&amp;TEXT(表1_8[[#This Row],[ETD]],"mmdd")&amp;" "&amp;表1_8[[#This Row],[HOUSE B/L]]&amp;" "&amp;表1_8[[#This Row],[MASTER B/L]]&amp;" 放行单"</f>
        <v>ETD0402 YJCSHAN1904174 DJSCSHBDEE91344A 放行单</v>
      </c>
      <c r="AL109" s="23" t="str">
        <f>"ETD"&amp;TEXT(表1_8[[#This Row],[ETD]],"mmdd")&amp;" "&amp;表1_8[[#This Row],[HOUSE B/L]]&amp;" "&amp;表1_8[[#This Row],[MASTER B/L]]&amp;" SURRENDERED BL"</f>
        <v>ETD0402 YJCSHAN1904174 DJSCSHBDEE91344A SURRENDERED BL</v>
      </c>
    </row>
    <row r="110" spans="2:38" hidden="1" x14ac:dyDescent="0.2">
      <c r="B110" s="22">
        <v>43557</v>
      </c>
      <c r="C110" s="23">
        <v>2</v>
      </c>
      <c r="D110" s="23" t="s">
        <v>61</v>
      </c>
      <c r="E110" s="23"/>
      <c r="F110" s="24" t="s">
        <v>854</v>
      </c>
      <c r="G110" s="24" t="s">
        <v>805</v>
      </c>
      <c r="H110" s="24" t="s">
        <v>872</v>
      </c>
      <c r="I110" s="23">
        <v>25</v>
      </c>
      <c r="J110" s="23">
        <v>300.55</v>
      </c>
      <c r="K110" s="23">
        <v>1.01</v>
      </c>
      <c r="L110" s="51">
        <v>1</v>
      </c>
      <c r="M110" s="51">
        <v>300.55</v>
      </c>
      <c r="N110" s="51">
        <v>1.01</v>
      </c>
      <c r="O110" s="31" t="s">
        <v>835</v>
      </c>
      <c r="P110" s="24" t="s">
        <v>851</v>
      </c>
      <c r="Q110" s="23" t="s">
        <v>850</v>
      </c>
      <c r="R110" s="25">
        <v>719481</v>
      </c>
      <c r="T110" s="23" t="str">
        <f>表1_8[[#This Row],[客户编号]]</f>
        <v>YJCSHAN190417401</v>
      </c>
      <c r="U110" s="23" t="str">
        <f>表1_8[[#This Row],[MASTER B/L]]</f>
        <v>DJSCSHBDEE91344B</v>
      </c>
      <c r="V110" s="23">
        <f>表1_8[[#This Row],[件]]</f>
        <v>25</v>
      </c>
      <c r="W110" s="23">
        <f>表1_8[[#This Row],[毛]]</f>
        <v>300.55</v>
      </c>
      <c r="X110" s="23">
        <f>表1_8[[#This Row],[体]]</f>
        <v>1.01</v>
      </c>
      <c r="Y110" s="31" t="str">
        <f>表1_8[[#This Row],[品名]]</f>
        <v>STEPPING MOTOR</v>
      </c>
      <c r="Z110" s="31" t="str">
        <f>RIGHT(表1_8[[#This Row],[编]],4)</f>
        <v>40HQ</v>
      </c>
      <c r="AA110" s="23" t="str">
        <f>表1_8[[#This Row],[箱号]]</f>
        <v>DRYU9464670</v>
      </c>
      <c r="AB110" s="25">
        <f>表1_8[[#This Row],[封号]]</f>
        <v>719481</v>
      </c>
      <c r="AC110" s="23">
        <f>表2[[#This Row],[件]]</f>
        <v>25</v>
      </c>
      <c r="AD110" s="23">
        <f>表2[[#This Row],[毛]]</f>
        <v>300.55</v>
      </c>
      <c r="AE110" s="23">
        <f>表2[[#This Row],[体]]</f>
        <v>1.01</v>
      </c>
      <c r="AG110" s="23" t="str">
        <f>表1_8[[#This Row],[HOUSE B/L]]</f>
        <v>YJCSHAN1904774</v>
      </c>
      <c r="AH110" s="23" t="str">
        <f>表1_8[[#This Row],[MASTER B/L]]</f>
        <v>DJSCSHBDEE91344B</v>
      </c>
      <c r="AI110" s="23" t="str">
        <f>"ETD"&amp;TEXT(表1_8[[#This Row],[ETD]],"mmdd")&amp;" "&amp;表1_8[[#This Row],[HOUSE B/L]]&amp;" "&amp;表1_8[[#This Row],[MASTER B/L]]&amp;" CHECK BL"</f>
        <v>ETD0402 YJCSHAN1904774 DJSCSHBDEE91344B CHECK BL</v>
      </c>
      <c r="AJ110" s="23" t="str">
        <f>"ETD"&amp;TEXT(表1_8[[#This Row],[ETD]],"mmdd")&amp;" "&amp;表1_8[[#This Row],[HOUSE B/L]]&amp;" "&amp;表1_8[[#This Row],[MASTER B/L]]&amp;" 报关单"</f>
        <v>ETD0402 YJCSHAN1904774 DJSCSHBDEE91344B 报关单</v>
      </c>
      <c r="AK110" s="23" t="str">
        <f>"ETD"&amp;TEXT(表1_8[[#This Row],[ETD]],"mmdd")&amp;" "&amp;表1_8[[#This Row],[HOUSE B/L]]&amp;" "&amp;表1_8[[#This Row],[MASTER B/L]]&amp;" 放行单"</f>
        <v>ETD0402 YJCSHAN1904774 DJSCSHBDEE91344B 放行单</v>
      </c>
      <c r="AL110" s="23" t="str">
        <f>"ETD"&amp;TEXT(表1_8[[#This Row],[ETD]],"mmdd")&amp;" "&amp;表1_8[[#This Row],[HOUSE B/L]]&amp;" "&amp;表1_8[[#This Row],[MASTER B/L]]&amp;" SURRENDERED BL"</f>
        <v>ETD0402 YJCSHAN1904774 DJSCSHBDEE91344B SURRENDERED BL</v>
      </c>
    </row>
    <row r="111" spans="2:38" ht="24" hidden="1" x14ac:dyDescent="0.2">
      <c r="B111" s="22">
        <v>43557</v>
      </c>
      <c r="C111" s="23">
        <v>3</v>
      </c>
      <c r="D111" s="23" t="s">
        <v>61</v>
      </c>
      <c r="E111" s="23"/>
      <c r="F111" s="24" t="s">
        <v>858</v>
      </c>
      <c r="G111" s="81" t="s">
        <v>806</v>
      </c>
      <c r="H111" s="24" t="s">
        <v>807</v>
      </c>
      <c r="I111" s="23">
        <v>351</v>
      </c>
      <c r="J111" s="23">
        <v>4295.67</v>
      </c>
      <c r="K111" s="23">
        <v>10.69</v>
      </c>
      <c r="L111" s="51">
        <v>12</v>
      </c>
      <c r="M111" s="51">
        <v>4295.67</v>
      </c>
      <c r="N111" s="51">
        <v>12.89</v>
      </c>
      <c r="O111" s="31" t="s">
        <v>836</v>
      </c>
      <c r="P111" s="24" t="s">
        <v>851</v>
      </c>
      <c r="Q111" s="23" t="s">
        <v>850</v>
      </c>
      <c r="R111" s="25">
        <v>719481</v>
      </c>
      <c r="T111" s="23" t="str">
        <f>表1_8[[#This Row],[客户编号]]</f>
        <v>YJCSHAN190417402</v>
      </c>
      <c r="U111" s="23" t="str">
        <f>表1_8[[#This Row],[MASTER B/L]]</f>
        <v>DJSCSHBDEE91344C</v>
      </c>
      <c r="V111" s="23">
        <f>表1_8[[#This Row],[件]]</f>
        <v>351</v>
      </c>
      <c r="W111" s="23">
        <f>表1_8[[#This Row],[毛]]</f>
        <v>4295.67</v>
      </c>
      <c r="X111" s="23">
        <f>表1_8[[#This Row],[体]]</f>
        <v>10.69</v>
      </c>
      <c r="Y111" s="31" t="str">
        <f>表1_8[[#This Row],[品名]]</f>
        <v>STEPPING MOTOR
SYNCHRONOUS MOTOR</v>
      </c>
      <c r="Z111" s="31" t="str">
        <f>RIGHT(表1_8[[#This Row],[编]],4)</f>
        <v>40HQ</v>
      </c>
      <c r="AA111" s="23" t="str">
        <f>表1_8[[#This Row],[箱号]]</f>
        <v>DRYU9464670</v>
      </c>
      <c r="AB111" s="25">
        <f>表1_8[[#This Row],[封号]]</f>
        <v>719481</v>
      </c>
      <c r="AC111" s="23">
        <f>表2[[#This Row],[件]]</f>
        <v>351</v>
      </c>
      <c r="AD111" s="23">
        <f>表2[[#This Row],[毛]]</f>
        <v>4295.67</v>
      </c>
      <c r="AE111" s="23">
        <f>表2[[#This Row],[体]]</f>
        <v>10.69</v>
      </c>
      <c r="AG111" s="23" t="str">
        <f>表1_8[[#This Row],[HOUSE B/L]]</f>
        <v>YJCSHAN1904776</v>
      </c>
      <c r="AH111" s="23" t="str">
        <f>表1_8[[#This Row],[MASTER B/L]]</f>
        <v>DJSCSHBDEE91344C</v>
      </c>
      <c r="AI111" s="23" t="str">
        <f>"ETD"&amp;TEXT(表1_8[[#This Row],[ETD]],"mmdd")&amp;" "&amp;表1_8[[#This Row],[HOUSE B/L]]&amp;" "&amp;表1_8[[#This Row],[MASTER B/L]]&amp;" CHECK BL"</f>
        <v>ETD0402 YJCSHAN1904776 DJSCSHBDEE91344C CHECK BL</v>
      </c>
      <c r="AJ111" s="23" t="str">
        <f>"ETD"&amp;TEXT(表1_8[[#This Row],[ETD]],"mmdd")&amp;" "&amp;表1_8[[#This Row],[HOUSE B/L]]&amp;" "&amp;表1_8[[#This Row],[MASTER B/L]]&amp;" 报关单"</f>
        <v>ETD0402 YJCSHAN1904776 DJSCSHBDEE91344C 报关单</v>
      </c>
      <c r="AK111" s="23" t="str">
        <f>"ETD"&amp;TEXT(表1_8[[#This Row],[ETD]],"mmdd")&amp;" "&amp;表1_8[[#This Row],[HOUSE B/L]]&amp;" "&amp;表1_8[[#This Row],[MASTER B/L]]&amp;" 放行单"</f>
        <v>ETD0402 YJCSHAN1904776 DJSCSHBDEE91344C 放行单</v>
      </c>
      <c r="AL111" s="23" t="str">
        <f>"ETD"&amp;TEXT(表1_8[[#This Row],[ETD]],"mmdd")&amp;" "&amp;表1_8[[#This Row],[HOUSE B/L]]&amp;" "&amp;表1_8[[#This Row],[MASTER B/L]]&amp;" SURRENDERED BL"</f>
        <v>ETD0402 YJCSHAN1904776 DJSCSHBDEE91344C SURRENDERED BL</v>
      </c>
    </row>
    <row r="112" spans="2:38" hidden="1" x14ac:dyDescent="0.2">
      <c r="B112" s="22">
        <v>43557</v>
      </c>
      <c r="C112" s="23">
        <v>4</v>
      </c>
      <c r="D112" s="23" t="s">
        <v>61</v>
      </c>
      <c r="E112" s="23"/>
      <c r="F112" s="24" t="s">
        <v>859</v>
      </c>
      <c r="G112" s="81" t="s">
        <v>808</v>
      </c>
      <c r="H112" s="24" t="s">
        <v>809</v>
      </c>
      <c r="I112" s="23">
        <v>286</v>
      </c>
      <c r="J112" s="23">
        <v>3626.8</v>
      </c>
      <c r="K112" s="23">
        <v>7.24</v>
      </c>
      <c r="L112" s="51">
        <v>8</v>
      </c>
      <c r="M112" s="51">
        <v>3626.8</v>
      </c>
      <c r="N112" s="51">
        <v>9.1</v>
      </c>
      <c r="O112" s="31" t="s">
        <v>835</v>
      </c>
      <c r="P112" s="24" t="s">
        <v>849</v>
      </c>
      <c r="Q112" s="23" t="s">
        <v>848</v>
      </c>
      <c r="R112" s="25">
        <v>719391</v>
      </c>
      <c r="T112" s="23" t="str">
        <f>表1_8[[#This Row],[客户编号]]</f>
        <v>YJCSHAN190417403</v>
      </c>
      <c r="U112" s="23" t="str">
        <f>表1_8[[#This Row],[MASTER B/L]]</f>
        <v>DJSCSHBDEE91344D</v>
      </c>
      <c r="V112" s="23">
        <f>表1_8[[#This Row],[件]]</f>
        <v>286</v>
      </c>
      <c r="W112" s="23">
        <f>表1_8[[#This Row],[毛]]</f>
        <v>3626.8</v>
      </c>
      <c r="X112" s="23">
        <f>表1_8[[#This Row],[体]]</f>
        <v>7.24</v>
      </c>
      <c r="Y112" s="31" t="str">
        <f>表1_8[[#This Row],[品名]]</f>
        <v>STEPPING MOTOR</v>
      </c>
      <c r="Z112" s="31" t="str">
        <f>RIGHT(表1_8[[#This Row],[编]],4)</f>
        <v>20GP</v>
      </c>
      <c r="AA112" s="23" t="str">
        <f>表1_8[[#This Row],[箱号]]</f>
        <v>DJLU2182234</v>
      </c>
      <c r="AB112" s="25">
        <f>表1_8[[#This Row],[封号]]</f>
        <v>719391</v>
      </c>
      <c r="AC112" s="23">
        <f>表2[[#This Row],[件]]</f>
        <v>286</v>
      </c>
      <c r="AD112" s="23">
        <f>表2[[#This Row],[毛]]</f>
        <v>3626.8</v>
      </c>
      <c r="AE112" s="23">
        <f>表2[[#This Row],[体]]</f>
        <v>7.24</v>
      </c>
      <c r="AG112" s="23" t="str">
        <f>表1_8[[#This Row],[HOUSE B/L]]</f>
        <v>YJCSHAN1904777</v>
      </c>
      <c r="AH112" s="23" t="str">
        <f>表1_8[[#This Row],[MASTER B/L]]</f>
        <v>DJSCSHBDEE91344D</v>
      </c>
      <c r="AI112" s="23" t="str">
        <f>"ETD"&amp;TEXT(表1_8[[#This Row],[ETD]],"mmdd")&amp;" "&amp;表1_8[[#This Row],[HOUSE B/L]]&amp;" "&amp;表1_8[[#This Row],[MASTER B/L]]&amp;" CHECK BL"</f>
        <v>ETD0402 YJCSHAN1904777 DJSCSHBDEE91344D CHECK BL</v>
      </c>
      <c r="AJ112" s="23" t="str">
        <f>"ETD"&amp;TEXT(表1_8[[#This Row],[ETD]],"mmdd")&amp;" "&amp;表1_8[[#This Row],[HOUSE B/L]]&amp;" "&amp;表1_8[[#This Row],[MASTER B/L]]&amp;" 报关单"</f>
        <v>ETD0402 YJCSHAN1904777 DJSCSHBDEE91344D 报关单</v>
      </c>
      <c r="AK112" s="23" t="str">
        <f>"ETD"&amp;TEXT(表1_8[[#This Row],[ETD]],"mmdd")&amp;" "&amp;表1_8[[#This Row],[HOUSE B/L]]&amp;" "&amp;表1_8[[#This Row],[MASTER B/L]]&amp;" 放行单"</f>
        <v>ETD0402 YJCSHAN1904777 DJSCSHBDEE91344D 放行单</v>
      </c>
      <c r="AL112" s="23" t="str">
        <f>"ETD"&amp;TEXT(表1_8[[#This Row],[ETD]],"mmdd")&amp;" "&amp;表1_8[[#This Row],[HOUSE B/L]]&amp;" "&amp;表1_8[[#This Row],[MASTER B/L]]&amp;" SURRENDERED BL"</f>
        <v>ETD0402 YJCSHAN1904777 DJSCSHBDEE91344D SURRENDERED BL</v>
      </c>
    </row>
    <row r="113" spans="2:38" hidden="1" x14ac:dyDescent="0.2">
      <c r="B113" s="22">
        <v>43557</v>
      </c>
      <c r="C113" s="23">
        <v>5</v>
      </c>
      <c r="D113" s="23" t="s">
        <v>691</v>
      </c>
      <c r="E113" s="23"/>
      <c r="F113" s="24" t="s">
        <v>860</v>
      </c>
      <c r="G113" s="81" t="s">
        <v>810</v>
      </c>
      <c r="H113" s="24" t="s">
        <v>811</v>
      </c>
      <c r="I113" s="23">
        <v>4</v>
      </c>
      <c r="J113" s="23">
        <v>784</v>
      </c>
      <c r="K113" s="23">
        <v>4.6100000000000003</v>
      </c>
      <c r="L113" s="51">
        <v>4</v>
      </c>
      <c r="M113" s="51">
        <v>784</v>
      </c>
      <c r="N113" s="51">
        <v>4.6100000000000003</v>
      </c>
      <c r="O113" s="31" t="s">
        <v>837</v>
      </c>
      <c r="P113" s="24" t="s">
        <v>851</v>
      </c>
      <c r="Q113" s="23" t="s">
        <v>850</v>
      </c>
      <c r="R113" s="25">
        <v>719481</v>
      </c>
      <c r="T113" s="23" t="str">
        <f>表1_8[[#This Row],[客户编号]]</f>
        <v>YJCSHAN190417404</v>
      </c>
      <c r="U113" s="23" t="str">
        <f>表1_8[[#This Row],[MASTER B/L]]</f>
        <v>DJSCSHBDEE91344E</v>
      </c>
      <c r="V113" s="23">
        <f>表1_8[[#This Row],[件]]</f>
        <v>4</v>
      </c>
      <c r="W113" s="23">
        <f>表1_8[[#This Row],[毛]]</f>
        <v>784</v>
      </c>
      <c r="X113" s="23">
        <f>表1_8[[#This Row],[体]]</f>
        <v>4.6100000000000003</v>
      </c>
      <c r="Y113" s="31" t="str">
        <f>表1_8[[#This Row],[品名]]</f>
        <v>LOCK KIT</v>
      </c>
      <c r="Z113" s="31" t="str">
        <f>RIGHT(表1_8[[#This Row],[编]],4)</f>
        <v>40HQ</v>
      </c>
      <c r="AA113" s="23" t="str">
        <f>表1_8[[#This Row],[箱号]]</f>
        <v>DRYU9464670</v>
      </c>
      <c r="AB113" s="25">
        <f>表1_8[[#This Row],[封号]]</f>
        <v>719481</v>
      </c>
      <c r="AC113" s="23">
        <f>表2[[#This Row],[件]]</f>
        <v>4</v>
      </c>
      <c r="AD113" s="23">
        <f>表2[[#This Row],[毛]]</f>
        <v>784</v>
      </c>
      <c r="AE113" s="23">
        <f>表2[[#This Row],[体]]</f>
        <v>4.6100000000000003</v>
      </c>
      <c r="AG113" s="23" t="str">
        <f>表1_8[[#This Row],[HOUSE B/L]]</f>
        <v>YJCSHAN1904781</v>
      </c>
      <c r="AH113" s="23" t="str">
        <f>表1_8[[#This Row],[MASTER B/L]]</f>
        <v>DJSCSHBDEE91344E</v>
      </c>
      <c r="AI113" s="23" t="str">
        <f>"ETD"&amp;TEXT(表1_8[[#This Row],[ETD]],"mmdd")&amp;" "&amp;表1_8[[#This Row],[HOUSE B/L]]&amp;" "&amp;表1_8[[#This Row],[MASTER B/L]]&amp;" CHECK BL"</f>
        <v>ETD0402 YJCSHAN1904781 DJSCSHBDEE91344E CHECK BL</v>
      </c>
      <c r="AJ113" s="23" t="str">
        <f>"ETD"&amp;TEXT(表1_8[[#This Row],[ETD]],"mmdd")&amp;" "&amp;表1_8[[#This Row],[HOUSE B/L]]&amp;" "&amp;表1_8[[#This Row],[MASTER B/L]]&amp;" 报关单"</f>
        <v>ETD0402 YJCSHAN1904781 DJSCSHBDEE91344E 报关单</v>
      </c>
      <c r="AK113" s="23" t="str">
        <f>"ETD"&amp;TEXT(表1_8[[#This Row],[ETD]],"mmdd")&amp;" "&amp;表1_8[[#This Row],[HOUSE B/L]]&amp;" "&amp;表1_8[[#This Row],[MASTER B/L]]&amp;" 放行单"</f>
        <v>ETD0402 YJCSHAN1904781 DJSCSHBDEE91344E 放行单</v>
      </c>
      <c r="AL113" s="23" t="str">
        <f>"ETD"&amp;TEXT(表1_8[[#This Row],[ETD]],"mmdd")&amp;" "&amp;表1_8[[#This Row],[HOUSE B/L]]&amp;" "&amp;表1_8[[#This Row],[MASTER B/L]]&amp;" SURRENDERED BL"</f>
        <v>ETD0402 YJCSHAN1904781 DJSCSHBDEE91344E SURRENDERED BL</v>
      </c>
    </row>
    <row r="114" spans="2:38" hidden="1" x14ac:dyDescent="0.2">
      <c r="B114" s="22">
        <v>43557</v>
      </c>
      <c r="C114" s="23">
        <v>6</v>
      </c>
      <c r="D114" s="23" t="s">
        <v>684</v>
      </c>
      <c r="E114" s="23"/>
      <c r="F114" s="24" t="s">
        <v>861</v>
      </c>
      <c r="G114" s="81" t="s">
        <v>812</v>
      </c>
      <c r="H114" s="24" t="s">
        <v>813</v>
      </c>
      <c r="I114" s="23">
        <v>2</v>
      </c>
      <c r="J114" s="23">
        <v>510</v>
      </c>
      <c r="K114" s="23">
        <v>1.569</v>
      </c>
      <c r="L114" s="51">
        <v>2</v>
      </c>
      <c r="M114" s="51">
        <v>510</v>
      </c>
      <c r="N114" s="51">
        <v>1.569</v>
      </c>
      <c r="O114" s="31" t="s">
        <v>838</v>
      </c>
      <c r="P114" s="24" t="s">
        <v>851</v>
      </c>
      <c r="Q114" s="23" t="s">
        <v>850</v>
      </c>
      <c r="R114" s="25">
        <v>719481</v>
      </c>
      <c r="T114" s="23" t="str">
        <f>表1_8[[#This Row],[客户编号]]</f>
        <v>YJCSHAN190417405</v>
      </c>
      <c r="U114" s="23" t="str">
        <f>表1_8[[#This Row],[MASTER B/L]]</f>
        <v>DJSCSHBDEE91344F</v>
      </c>
      <c r="V114" s="23">
        <f>表1_8[[#This Row],[件]]</f>
        <v>2</v>
      </c>
      <c r="W114" s="23">
        <f>表1_8[[#This Row],[毛]]</f>
        <v>510</v>
      </c>
      <c r="X114" s="23">
        <f>表1_8[[#This Row],[体]]</f>
        <v>1.569</v>
      </c>
      <c r="Y114" s="31" t="str">
        <f>表1_8[[#This Row],[品名]]</f>
        <v>PLASTIC CONNECTER</v>
      </c>
      <c r="Z114" s="31" t="str">
        <f>RIGHT(表1_8[[#This Row],[编]],4)</f>
        <v>40HQ</v>
      </c>
      <c r="AA114" s="23" t="str">
        <f>表1_8[[#This Row],[箱号]]</f>
        <v>DRYU9464670</v>
      </c>
      <c r="AB114" s="25">
        <f>表1_8[[#This Row],[封号]]</f>
        <v>719481</v>
      </c>
      <c r="AC114" s="23">
        <f>表2[[#This Row],[件]]</f>
        <v>2</v>
      </c>
      <c r="AD114" s="23">
        <f>表2[[#This Row],[毛]]</f>
        <v>510</v>
      </c>
      <c r="AE114" s="23">
        <f>表2[[#This Row],[体]]</f>
        <v>1.569</v>
      </c>
      <c r="AG114" s="23" t="str">
        <f>表1_8[[#This Row],[HOUSE B/L]]</f>
        <v>YJCSHAN1904789</v>
      </c>
      <c r="AH114" s="23" t="str">
        <f>表1_8[[#This Row],[MASTER B/L]]</f>
        <v>DJSCSHBDEE91344F</v>
      </c>
      <c r="AI114" s="23" t="str">
        <f>"ETD"&amp;TEXT(表1_8[[#This Row],[ETD]],"mmdd")&amp;" "&amp;表1_8[[#This Row],[HOUSE B/L]]&amp;" "&amp;表1_8[[#This Row],[MASTER B/L]]&amp;" CHECK BL"</f>
        <v>ETD0402 YJCSHAN1904789 DJSCSHBDEE91344F CHECK BL</v>
      </c>
      <c r="AJ114" s="23" t="str">
        <f>"ETD"&amp;TEXT(表1_8[[#This Row],[ETD]],"mmdd")&amp;" "&amp;表1_8[[#This Row],[HOUSE B/L]]&amp;" "&amp;表1_8[[#This Row],[MASTER B/L]]&amp;" 报关单"</f>
        <v>ETD0402 YJCSHAN1904789 DJSCSHBDEE91344F 报关单</v>
      </c>
      <c r="AK114" s="23" t="str">
        <f>"ETD"&amp;TEXT(表1_8[[#This Row],[ETD]],"mmdd")&amp;" "&amp;表1_8[[#This Row],[HOUSE B/L]]&amp;" "&amp;表1_8[[#This Row],[MASTER B/L]]&amp;" 放行单"</f>
        <v>ETD0402 YJCSHAN1904789 DJSCSHBDEE91344F 放行单</v>
      </c>
      <c r="AL114" s="23" t="str">
        <f>"ETD"&amp;TEXT(表1_8[[#This Row],[ETD]],"mmdd")&amp;" "&amp;表1_8[[#This Row],[HOUSE B/L]]&amp;" "&amp;表1_8[[#This Row],[MASTER B/L]]&amp;" SURRENDERED BL"</f>
        <v>ETD0402 YJCSHAN1904789 DJSCSHBDEE91344F SURRENDERED BL</v>
      </c>
    </row>
    <row r="115" spans="2:38" hidden="1" x14ac:dyDescent="0.2">
      <c r="B115" s="22">
        <v>43557</v>
      </c>
      <c r="C115" s="23">
        <v>7</v>
      </c>
      <c r="D115" s="23" t="s">
        <v>363</v>
      </c>
      <c r="E115" s="23"/>
      <c r="F115" s="24" t="s">
        <v>862</v>
      </c>
      <c r="G115" s="81" t="s">
        <v>814</v>
      </c>
      <c r="H115" s="24" t="s">
        <v>815</v>
      </c>
      <c r="I115" s="23">
        <v>2</v>
      </c>
      <c r="J115" s="23">
        <v>860</v>
      </c>
      <c r="K115" s="23">
        <v>0.8</v>
      </c>
      <c r="L115" s="51">
        <v>2</v>
      </c>
      <c r="M115" s="51">
        <v>860</v>
      </c>
      <c r="N115" s="51">
        <v>0.8</v>
      </c>
      <c r="O115" s="31" t="s">
        <v>839</v>
      </c>
      <c r="P115" s="24" t="s">
        <v>851</v>
      </c>
      <c r="Q115" s="23" t="s">
        <v>850</v>
      </c>
      <c r="R115" s="25">
        <v>719481</v>
      </c>
      <c r="T115" s="23" t="str">
        <f>表1_8[[#This Row],[客户编号]]</f>
        <v>YJCSHAN190417406</v>
      </c>
      <c r="U115" s="23" t="str">
        <f>表1_8[[#This Row],[MASTER B/L]]</f>
        <v>DJSCSHBDEE91344G</v>
      </c>
      <c r="V115" s="23">
        <f>表1_8[[#This Row],[件]]</f>
        <v>2</v>
      </c>
      <c r="W115" s="23">
        <f>表1_8[[#This Row],[毛]]</f>
        <v>860</v>
      </c>
      <c r="X115" s="23">
        <f>表1_8[[#This Row],[体]]</f>
        <v>0.8</v>
      </c>
      <c r="Y115" s="31" t="str">
        <f>表1_8[[#This Row],[品名]]</f>
        <v>DEEP GROOVE BALL BEARING</v>
      </c>
      <c r="Z115" s="31" t="str">
        <f>RIGHT(表1_8[[#This Row],[编]],4)</f>
        <v>40HQ</v>
      </c>
      <c r="AA115" s="23" t="str">
        <f>表1_8[[#This Row],[箱号]]</f>
        <v>DRYU9464670</v>
      </c>
      <c r="AB115" s="25">
        <f>表1_8[[#This Row],[封号]]</f>
        <v>719481</v>
      </c>
      <c r="AC115" s="23">
        <f>表2[[#This Row],[件]]</f>
        <v>2</v>
      </c>
      <c r="AD115" s="23">
        <f>表2[[#This Row],[毛]]</f>
        <v>860</v>
      </c>
      <c r="AE115" s="23">
        <f>表2[[#This Row],[体]]</f>
        <v>0.8</v>
      </c>
      <c r="AG115" s="23" t="str">
        <f>表1_8[[#This Row],[HOUSE B/L]]</f>
        <v>YJCSHAN1904897</v>
      </c>
      <c r="AH115" s="23" t="str">
        <f>表1_8[[#This Row],[MASTER B/L]]</f>
        <v>DJSCSHBDEE91344G</v>
      </c>
      <c r="AI115" s="23" t="str">
        <f>"ETD"&amp;TEXT(表1_8[[#This Row],[ETD]],"mmdd")&amp;" "&amp;表1_8[[#This Row],[HOUSE B/L]]&amp;" "&amp;表1_8[[#This Row],[MASTER B/L]]&amp;" CHECK BL"</f>
        <v>ETD0402 YJCSHAN1904897 DJSCSHBDEE91344G CHECK BL</v>
      </c>
      <c r="AJ115" s="23" t="str">
        <f>"ETD"&amp;TEXT(表1_8[[#This Row],[ETD]],"mmdd")&amp;" "&amp;表1_8[[#This Row],[HOUSE B/L]]&amp;" "&amp;表1_8[[#This Row],[MASTER B/L]]&amp;" 报关单"</f>
        <v>ETD0402 YJCSHAN1904897 DJSCSHBDEE91344G 报关单</v>
      </c>
      <c r="AK115" s="23" t="str">
        <f>"ETD"&amp;TEXT(表1_8[[#This Row],[ETD]],"mmdd")&amp;" "&amp;表1_8[[#This Row],[HOUSE B/L]]&amp;" "&amp;表1_8[[#This Row],[MASTER B/L]]&amp;" 放行单"</f>
        <v>ETD0402 YJCSHAN1904897 DJSCSHBDEE91344G 放行单</v>
      </c>
      <c r="AL115" s="23" t="str">
        <f>"ETD"&amp;TEXT(表1_8[[#This Row],[ETD]],"mmdd")&amp;" "&amp;表1_8[[#This Row],[HOUSE B/L]]&amp;" "&amp;表1_8[[#This Row],[MASTER B/L]]&amp;" SURRENDERED BL"</f>
        <v>ETD0402 YJCSHAN1904897 DJSCSHBDEE91344G SURRENDERED BL</v>
      </c>
    </row>
    <row r="116" spans="2:38" ht="24" hidden="1" x14ac:dyDescent="0.2">
      <c r="B116" s="22">
        <v>43557</v>
      </c>
      <c r="C116" s="23">
        <v>8</v>
      </c>
      <c r="D116" s="23" t="s">
        <v>117</v>
      </c>
      <c r="E116" s="23"/>
      <c r="F116" s="24" t="s">
        <v>863</v>
      </c>
      <c r="G116" s="81" t="s">
        <v>816</v>
      </c>
      <c r="H116" s="24" t="s">
        <v>817</v>
      </c>
      <c r="I116" s="23">
        <v>1</v>
      </c>
      <c r="J116" s="23">
        <v>46</v>
      </c>
      <c r="K116" s="23">
        <v>1.2</v>
      </c>
      <c r="L116" s="51">
        <v>1</v>
      </c>
      <c r="M116" s="51">
        <v>46</v>
      </c>
      <c r="N116" s="51">
        <v>1.2</v>
      </c>
      <c r="O116" s="31" t="s">
        <v>840</v>
      </c>
      <c r="P116" s="24" t="s">
        <v>849</v>
      </c>
      <c r="Q116" s="23" t="s">
        <v>848</v>
      </c>
      <c r="R116" s="25">
        <v>719391</v>
      </c>
      <c r="T116" s="23" t="str">
        <f>表1_8[[#This Row],[客户编号]]</f>
        <v>YJCSHAN190417407</v>
      </c>
      <c r="U116" s="23" t="str">
        <f>表1_8[[#This Row],[MASTER B/L]]</f>
        <v>DJSCSHBDEE91344H</v>
      </c>
      <c r="V116" s="23">
        <f>表1_8[[#This Row],[件]]</f>
        <v>1</v>
      </c>
      <c r="W116" s="23">
        <f>表1_8[[#This Row],[毛]]</f>
        <v>46</v>
      </c>
      <c r="X116" s="23">
        <f>表1_8[[#This Row],[体]]</f>
        <v>1.2</v>
      </c>
      <c r="Y116" s="31" t="str">
        <f>表1_8[[#This Row],[品名]]</f>
        <v>TUBE-RAD INLET
TUBE-BLOWBY INLET</v>
      </c>
      <c r="Z116" s="31" t="str">
        <f>RIGHT(表1_8[[#This Row],[编]],4)</f>
        <v>20GP</v>
      </c>
      <c r="AA116" s="23" t="str">
        <f>表1_8[[#This Row],[箱号]]</f>
        <v>DJLU2182234</v>
      </c>
      <c r="AB116" s="25">
        <f>表1_8[[#This Row],[封号]]</f>
        <v>719391</v>
      </c>
      <c r="AC116" s="23">
        <f>表2[[#This Row],[件]]</f>
        <v>1</v>
      </c>
      <c r="AD116" s="23">
        <f>表2[[#This Row],[毛]]</f>
        <v>46</v>
      </c>
      <c r="AE116" s="23">
        <f>表2[[#This Row],[体]]</f>
        <v>1.2</v>
      </c>
      <c r="AG116" s="23" t="str">
        <f>表1_8[[#This Row],[HOUSE B/L]]</f>
        <v>YJCSHAN1905000</v>
      </c>
      <c r="AH116" s="23" t="str">
        <f>表1_8[[#This Row],[MASTER B/L]]</f>
        <v>DJSCSHBDEE91344H</v>
      </c>
      <c r="AI116" s="23" t="str">
        <f>"ETD"&amp;TEXT(表1_8[[#This Row],[ETD]],"mmdd")&amp;" "&amp;表1_8[[#This Row],[HOUSE B/L]]&amp;" "&amp;表1_8[[#This Row],[MASTER B/L]]&amp;" CHECK BL"</f>
        <v>ETD0402 YJCSHAN1905000 DJSCSHBDEE91344H CHECK BL</v>
      </c>
      <c r="AJ116" s="23" t="str">
        <f>"ETD"&amp;TEXT(表1_8[[#This Row],[ETD]],"mmdd")&amp;" "&amp;表1_8[[#This Row],[HOUSE B/L]]&amp;" "&amp;表1_8[[#This Row],[MASTER B/L]]&amp;" 报关单"</f>
        <v>ETD0402 YJCSHAN1905000 DJSCSHBDEE91344H 报关单</v>
      </c>
      <c r="AK116" s="23" t="str">
        <f>"ETD"&amp;TEXT(表1_8[[#This Row],[ETD]],"mmdd")&amp;" "&amp;表1_8[[#This Row],[HOUSE B/L]]&amp;" "&amp;表1_8[[#This Row],[MASTER B/L]]&amp;" 放行单"</f>
        <v>ETD0402 YJCSHAN1905000 DJSCSHBDEE91344H 放行单</v>
      </c>
      <c r="AL116" s="23" t="str">
        <f>"ETD"&amp;TEXT(表1_8[[#This Row],[ETD]],"mmdd")&amp;" "&amp;表1_8[[#This Row],[HOUSE B/L]]&amp;" "&amp;表1_8[[#This Row],[MASTER B/L]]&amp;" SURRENDERED BL"</f>
        <v>ETD0402 YJCSHAN1905000 DJSCSHBDEE91344H SURRENDERED BL</v>
      </c>
    </row>
    <row r="117" spans="2:38" ht="24" hidden="1" x14ac:dyDescent="0.2">
      <c r="B117" s="22">
        <v>43557</v>
      </c>
      <c r="C117" s="23">
        <v>9</v>
      </c>
      <c r="D117" s="23" t="s">
        <v>800</v>
      </c>
      <c r="E117" s="23"/>
      <c r="F117" s="24" t="s">
        <v>864</v>
      </c>
      <c r="G117" s="81" t="s">
        <v>818</v>
      </c>
      <c r="H117" s="24" t="s">
        <v>819</v>
      </c>
      <c r="I117" s="23">
        <v>2</v>
      </c>
      <c r="J117" s="23">
        <v>952</v>
      </c>
      <c r="K117" s="23">
        <v>2.7</v>
      </c>
      <c r="L117" s="51">
        <v>2</v>
      </c>
      <c r="M117" s="51">
        <v>952</v>
      </c>
      <c r="N117" s="51">
        <v>2.7</v>
      </c>
      <c r="O117" s="31" t="s">
        <v>841</v>
      </c>
      <c r="P117" s="24" t="s">
        <v>851</v>
      </c>
      <c r="Q117" s="23" t="s">
        <v>850</v>
      </c>
      <c r="R117" s="25">
        <v>719481</v>
      </c>
      <c r="T117" s="23" t="str">
        <f>表1_8[[#This Row],[客户编号]]</f>
        <v>YJCSHAN190417408</v>
      </c>
      <c r="U117" s="23" t="str">
        <f>表1_8[[#This Row],[MASTER B/L]]</f>
        <v>DJSCSHBDEE91344J</v>
      </c>
      <c r="V117" s="23">
        <f>表1_8[[#This Row],[件]]</f>
        <v>2</v>
      </c>
      <c r="W117" s="23">
        <f>表1_8[[#This Row],[毛]]</f>
        <v>952</v>
      </c>
      <c r="X117" s="23">
        <f>表1_8[[#This Row],[体]]</f>
        <v>2.7</v>
      </c>
      <c r="Y117" s="31" t="str">
        <f>表1_8[[#This Row],[品名]]</f>
        <v>COIL
ELECTRONIC EXPANSION VALVE</v>
      </c>
      <c r="Z117" s="31" t="str">
        <f>RIGHT(表1_8[[#This Row],[编]],4)</f>
        <v>40HQ</v>
      </c>
      <c r="AA117" s="23" t="str">
        <f>表1_8[[#This Row],[箱号]]</f>
        <v>DRYU9464670</v>
      </c>
      <c r="AB117" s="25">
        <f>表1_8[[#This Row],[封号]]</f>
        <v>719481</v>
      </c>
      <c r="AC117" s="23">
        <f>表2[[#This Row],[件]]</f>
        <v>2</v>
      </c>
      <c r="AD117" s="23">
        <f>表2[[#This Row],[毛]]</f>
        <v>952</v>
      </c>
      <c r="AE117" s="23">
        <f>表2[[#This Row],[体]]</f>
        <v>2.7</v>
      </c>
      <c r="AG117" s="23" t="str">
        <f>表1_8[[#This Row],[HOUSE B/L]]</f>
        <v>YJCSHAN1905052</v>
      </c>
      <c r="AH117" s="23" t="str">
        <f>表1_8[[#This Row],[MASTER B/L]]</f>
        <v>DJSCSHBDEE91344J</v>
      </c>
      <c r="AI117" s="23" t="str">
        <f>"ETD"&amp;TEXT(表1_8[[#This Row],[ETD]],"mmdd")&amp;" "&amp;表1_8[[#This Row],[HOUSE B/L]]&amp;" "&amp;表1_8[[#This Row],[MASTER B/L]]&amp;" CHECK BL"</f>
        <v>ETD0402 YJCSHAN1905052 DJSCSHBDEE91344J CHECK BL</v>
      </c>
      <c r="AJ117" s="23" t="str">
        <f>"ETD"&amp;TEXT(表1_8[[#This Row],[ETD]],"mmdd")&amp;" "&amp;表1_8[[#This Row],[HOUSE B/L]]&amp;" "&amp;表1_8[[#This Row],[MASTER B/L]]&amp;" 报关单"</f>
        <v>ETD0402 YJCSHAN1905052 DJSCSHBDEE91344J 报关单</v>
      </c>
      <c r="AK117" s="23" t="str">
        <f>"ETD"&amp;TEXT(表1_8[[#This Row],[ETD]],"mmdd")&amp;" "&amp;表1_8[[#This Row],[HOUSE B/L]]&amp;" "&amp;表1_8[[#This Row],[MASTER B/L]]&amp;" 放行单"</f>
        <v>ETD0402 YJCSHAN1905052 DJSCSHBDEE91344J 放行单</v>
      </c>
      <c r="AL117" s="23" t="str">
        <f>"ETD"&amp;TEXT(表1_8[[#This Row],[ETD]],"mmdd")&amp;" "&amp;表1_8[[#This Row],[HOUSE B/L]]&amp;" "&amp;表1_8[[#This Row],[MASTER B/L]]&amp;" SURRENDERED BL"</f>
        <v>ETD0402 YJCSHAN1905052 DJSCSHBDEE91344J SURRENDERED BL</v>
      </c>
    </row>
    <row r="118" spans="2:38" hidden="1" x14ac:dyDescent="0.2">
      <c r="B118" s="22">
        <v>43557</v>
      </c>
      <c r="C118" s="23">
        <v>10</v>
      </c>
      <c r="D118" s="23" t="s">
        <v>297</v>
      </c>
      <c r="E118" s="23"/>
      <c r="F118" s="24" t="s">
        <v>865</v>
      </c>
      <c r="G118" s="81" t="s">
        <v>820</v>
      </c>
      <c r="H118" s="24" t="s">
        <v>821</v>
      </c>
      <c r="I118" s="23">
        <v>1</v>
      </c>
      <c r="J118" s="23">
        <v>112</v>
      </c>
      <c r="K118" s="23">
        <v>0.98</v>
      </c>
      <c r="L118" s="51">
        <v>1</v>
      </c>
      <c r="M118" s="51">
        <v>112</v>
      </c>
      <c r="N118" s="51">
        <v>0.98</v>
      </c>
      <c r="O118" s="31" t="s">
        <v>842</v>
      </c>
      <c r="P118" s="24" t="s">
        <v>849</v>
      </c>
      <c r="Q118" s="23" t="s">
        <v>848</v>
      </c>
      <c r="R118" s="25">
        <v>719391</v>
      </c>
      <c r="T118" s="23" t="str">
        <f>表1_8[[#This Row],[客户编号]]</f>
        <v>YJCSHAN190417409</v>
      </c>
      <c r="U118" s="23" t="str">
        <f>表1_8[[#This Row],[MASTER B/L]]</f>
        <v>DJSCSHBDEE91344K</v>
      </c>
      <c r="V118" s="23">
        <f>表1_8[[#This Row],[件]]</f>
        <v>1</v>
      </c>
      <c r="W118" s="23">
        <f>表1_8[[#This Row],[毛]]</f>
        <v>112</v>
      </c>
      <c r="X118" s="23">
        <f>表1_8[[#This Row],[体]]</f>
        <v>0.98</v>
      </c>
      <c r="Y118" s="31" t="str">
        <f>表1_8[[#This Row],[品名]]</f>
        <v>PMA SENSOR</v>
      </c>
      <c r="Z118" s="31" t="str">
        <f>RIGHT(表1_8[[#This Row],[编]],4)</f>
        <v>20GP</v>
      </c>
      <c r="AA118" s="23" t="str">
        <f>表1_8[[#This Row],[箱号]]</f>
        <v>DJLU2182234</v>
      </c>
      <c r="AB118" s="25">
        <f>表1_8[[#This Row],[封号]]</f>
        <v>719391</v>
      </c>
      <c r="AC118" s="23">
        <f>表2[[#This Row],[件]]</f>
        <v>1</v>
      </c>
      <c r="AD118" s="23">
        <f>表2[[#This Row],[毛]]</f>
        <v>112</v>
      </c>
      <c r="AE118" s="23">
        <f>表2[[#This Row],[体]]</f>
        <v>0.98</v>
      </c>
      <c r="AG118" s="23" t="str">
        <f>表1_8[[#This Row],[HOUSE B/L]]</f>
        <v>YJCSHAN1905057</v>
      </c>
      <c r="AH118" s="23" t="str">
        <f>表1_8[[#This Row],[MASTER B/L]]</f>
        <v>DJSCSHBDEE91344K</v>
      </c>
      <c r="AI118" s="23" t="str">
        <f>"ETD"&amp;TEXT(表1_8[[#This Row],[ETD]],"mmdd")&amp;" "&amp;表1_8[[#This Row],[HOUSE B/L]]&amp;" "&amp;表1_8[[#This Row],[MASTER B/L]]&amp;" CHECK BL"</f>
        <v>ETD0402 YJCSHAN1905057 DJSCSHBDEE91344K CHECK BL</v>
      </c>
      <c r="AJ118" s="23" t="str">
        <f>"ETD"&amp;TEXT(表1_8[[#This Row],[ETD]],"mmdd")&amp;" "&amp;表1_8[[#This Row],[HOUSE B/L]]&amp;" "&amp;表1_8[[#This Row],[MASTER B/L]]&amp;" 报关单"</f>
        <v>ETD0402 YJCSHAN1905057 DJSCSHBDEE91344K 报关单</v>
      </c>
      <c r="AK118" s="23" t="str">
        <f>"ETD"&amp;TEXT(表1_8[[#This Row],[ETD]],"mmdd")&amp;" "&amp;表1_8[[#This Row],[HOUSE B/L]]&amp;" "&amp;表1_8[[#This Row],[MASTER B/L]]&amp;" 放行单"</f>
        <v>ETD0402 YJCSHAN1905057 DJSCSHBDEE91344K 放行单</v>
      </c>
      <c r="AL118" s="23" t="str">
        <f>"ETD"&amp;TEXT(表1_8[[#This Row],[ETD]],"mmdd")&amp;" "&amp;表1_8[[#This Row],[HOUSE B/L]]&amp;" "&amp;表1_8[[#This Row],[MASTER B/L]]&amp;" SURRENDERED BL"</f>
        <v>ETD0402 YJCSHAN1905057 DJSCSHBDEE91344K SURRENDERED BL</v>
      </c>
    </row>
    <row r="119" spans="2:38" ht="24" hidden="1" x14ac:dyDescent="0.2">
      <c r="B119" s="22">
        <v>43557</v>
      </c>
      <c r="C119" s="23">
        <v>11</v>
      </c>
      <c r="D119" s="23" t="s">
        <v>801</v>
      </c>
      <c r="E119" s="23"/>
      <c r="F119" s="24" t="s">
        <v>866</v>
      </c>
      <c r="G119" s="81" t="s">
        <v>822</v>
      </c>
      <c r="H119" s="24" t="s">
        <v>823</v>
      </c>
      <c r="I119" s="23">
        <v>3</v>
      </c>
      <c r="J119" s="23">
        <v>905</v>
      </c>
      <c r="K119" s="23">
        <v>2.5</v>
      </c>
      <c r="L119" s="51">
        <v>3</v>
      </c>
      <c r="M119" s="51">
        <v>905</v>
      </c>
      <c r="N119" s="51">
        <v>2.5</v>
      </c>
      <c r="O119" s="31" t="s">
        <v>843</v>
      </c>
      <c r="P119" s="24" t="s">
        <v>851</v>
      </c>
      <c r="Q119" s="23" t="s">
        <v>850</v>
      </c>
      <c r="R119" s="25">
        <v>719481</v>
      </c>
      <c r="T119" s="23" t="str">
        <f>表1_8[[#This Row],[客户编号]]</f>
        <v>YJCSHAN190417410</v>
      </c>
      <c r="U119" s="23" t="str">
        <f>表1_8[[#This Row],[MASTER B/L]]</f>
        <v>DJSCSHBDEE91344L</v>
      </c>
      <c r="V119" s="23">
        <f>表1_8[[#This Row],[件]]</f>
        <v>3</v>
      </c>
      <c r="W119" s="23">
        <f>表1_8[[#This Row],[毛]]</f>
        <v>905</v>
      </c>
      <c r="X119" s="23">
        <f>表1_8[[#This Row],[体]]</f>
        <v>2.5</v>
      </c>
      <c r="Y119" s="31" t="str">
        <f>表1_8[[#This Row],[品名]]</f>
        <v>COIL
SERVICE VALVE</v>
      </c>
      <c r="Z119" s="31" t="str">
        <f>RIGHT(表1_8[[#This Row],[编]],4)</f>
        <v>40HQ</v>
      </c>
      <c r="AA119" s="23" t="str">
        <f>表1_8[[#This Row],[箱号]]</f>
        <v>DRYU9464670</v>
      </c>
      <c r="AB119" s="25">
        <f>表1_8[[#This Row],[封号]]</f>
        <v>719481</v>
      </c>
      <c r="AC119" s="23">
        <f>表2[[#This Row],[件]]</f>
        <v>3</v>
      </c>
      <c r="AD119" s="23">
        <f>表2[[#This Row],[毛]]</f>
        <v>905</v>
      </c>
      <c r="AE119" s="23">
        <f>表2[[#This Row],[体]]</f>
        <v>2.5</v>
      </c>
      <c r="AG119" s="23" t="str">
        <f>表1_8[[#This Row],[HOUSE B/L]]</f>
        <v>YJCSHAN1904945</v>
      </c>
      <c r="AH119" s="23" t="str">
        <f>表1_8[[#This Row],[MASTER B/L]]</f>
        <v>DJSCSHBDEE91344L</v>
      </c>
      <c r="AI119" s="23" t="str">
        <f>"ETD"&amp;TEXT(表1_8[[#This Row],[ETD]],"mmdd")&amp;" "&amp;表1_8[[#This Row],[HOUSE B/L]]&amp;" "&amp;表1_8[[#This Row],[MASTER B/L]]&amp;" CHECK BL"</f>
        <v>ETD0402 YJCSHAN1904945 DJSCSHBDEE91344L CHECK BL</v>
      </c>
      <c r="AJ119" s="23" t="str">
        <f>"ETD"&amp;TEXT(表1_8[[#This Row],[ETD]],"mmdd")&amp;" "&amp;表1_8[[#This Row],[HOUSE B/L]]&amp;" "&amp;表1_8[[#This Row],[MASTER B/L]]&amp;" 报关单"</f>
        <v>ETD0402 YJCSHAN1904945 DJSCSHBDEE91344L 报关单</v>
      </c>
      <c r="AK119" s="23" t="str">
        <f>"ETD"&amp;TEXT(表1_8[[#This Row],[ETD]],"mmdd")&amp;" "&amp;表1_8[[#This Row],[HOUSE B/L]]&amp;" "&amp;表1_8[[#This Row],[MASTER B/L]]&amp;" 放行单"</f>
        <v>ETD0402 YJCSHAN1904945 DJSCSHBDEE91344L 放行单</v>
      </c>
      <c r="AL119" s="23" t="str">
        <f>"ETD"&amp;TEXT(表1_8[[#This Row],[ETD]],"mmdd")&amp;" "&amp;表1_8[[#This Row],[HOUSE B/L]]&amp;" "&amp;表1_8[[#This Row],[MASTER B/L]]&amp;" SURRENDERED BL"</f>
        <v>ETD0402 YJCSHAN1904945 DJSCSHBDEE91344L SURRENDERED BL</v>
      </c>
    </row>
    <row r="120" spans="2:38" hidden="1" x14ac:dyDescent="0.2">
      <c r="B120" s="22">
        <v>43557</v>
      </c>
      <c r="C120" s="23">
        <v>12</v>
      </c>
      <c r="D120" s="23" t="s">
        <v>802</v>
      </c>
      <c r="E120" s="23"/>
      <c r="F120" s="24" t="s">
        <v>867</v>
      </c>
      <c r="G120" s="81" t="s">
        <v>824</v>
      </c>
      <c r="H120" s="24" t="s">
        <v>825</v>
      </c>
      <c r="I120" s="23">
        <v>21</v>
      </c>
      <c r="J120" s="23">
        <v>296</v>
      </c>
      <c r="K120" s="23">
        <v>2</v>
      </c>
      <c r="L120" s="51">
        <v>1</v>
      </c>
      <c r="M120" s="51">
        <v>296</v>
      </c>
      <c r="N120" s="51">
        <v>2</v>
      </c>
      <c r="O120" s="31" t="s">
        <v>844</v>
      </c>
      <c r="P120" s="24" t="s">
        <v>851</v>
      </c>
      <c r="Q120" s="23" t="s">
        <v>850</v>
      </c>
      <c r="R120" s="25">
        <v>719481</v>
      </c>
      <c r="T120" s="23" t="str">
        <f>表1_8[[#This Row],[客户编号]]</f>
        <v>YJCSHAN190417411</v>
      </c>
      <c r="U120" s="23" t="str">
        <f>表1_8[[#This Row],[MASTER B/L]]</f>
        <v>DJSCSHBDEE91344M</v>
      </c>
      <c r="V120" s="23">
        <f>表1_8[[#This Row],[件]]</f>
        <v>21</v>
      </c>
      <c r="W120" s="23">
        <f>表1_8[[#This Row],[毛]]</f>
        <v>296</v>
      </c>
      <c r="X120" s="23">
        <f>表1_8[[#This Row],[体]]</f>
        <v>2</v>
      </c>
      <c r="Y120" s="31" t="str">
        <f>表1_8[[#This Row],[品名]]</f>
        <v>HOT KNIFE</v>
      </c>
      <c r="Z120" s="31" t="str">
        <f>RIGHT(表1_8[[#This Row],[编]],4)</f>
        <v>40HQ</v>
      </c>
      <c r="AA120" s="23" t="str">
        <f>表1_8[[#This Row],[箱号]]</f>
        <v>DRYU9464670</v>
      </c>
      <c r="AB120" s="25">
        <f>表1_8[[#This Row],[封号]]</f>
        <v>719481</v>
      </c>
      <c r="AC120" s="23">
        <f>表2[[#This Row],[件]]</f>
        <v>21</v>
      </c>
      <c r="AD120" s="23">
        <f>表2[[#This Row],[毛]]</f>
        <v>296</v>
      </c>
      <c r="AE120" s="23">
        <f>表2[[#This Row],[体]]</f>
        <v>2</v>
      </c>
      <c r="AG120" s="23" t="str">
        <f>表1_8[[#This Row],[HOUSE B/L]]</f>
        <v>YJCSHAN1905107</v>
      </c>
      <c r="AH120" s="23" t="str">
        <f>表1_8[[#This Row],[MASTER B/L]]</f>
        <v>DJSCSHBDEE91344M</v>
      </c>
      <c r="AI120" s="23" t="str">
        <f>"ETD"&amp;TEXT(表1_8[[#This Row],[ETD]],"mmdd")&amp;" "&amp;表1_8[[#This Row],[HOUSE B/L]]&amp;" "&amp;表1_8[[#This Row],[MASTER B/L]]&amp;" CHECK BL"</f>
        <v>ETD0402 YJCSHAN1905107 DJSCSHBDEE91344M CHECK BL</v>
      </c>
      <c r="AJ120" s="23" t="str">
        <f>"ETD"&amp;TEXT(表1_8[[#This Row],[ETD]],"mmdd")&amp;" "&amp;表1_8[[#This Row],[HOUSE B/L]]&amp;" "&amp;表1_8[[#This Row],[MASTER B/L]]&amp;" 报关单"</f>
        <v>ETD0402 YJCSHAN1905107 DJSCSHBDEE91344M 报关单</v>
      </c>
      <c r="AK120" s="23" t="str">
        <f>"ETD"&amp;TEXT(表1_8[[#This Row],[ETD]],"mmdd")&amp;" "&amp;表1_8[[#This Row],[HOUSE B/L]]&amp;" "&amp;表1_8[[#This Row],[MASTER B/L]]&amp;" 放行单"</f>
        <v>ETD0402 YJCSHAN1905107 DJSCSHBDEE91344M 放行单</v>
      </c>
      <c r="AL120" s="23" t="str">
        <f>"ETD"&amp;TEXT(表1_8[[#This Row],[ETD]],"mmdd")&amp;" "&amp;表1_8[[#This Row],[HOUSE B/L]]&amp;" "&amp;表1_8[[#This Row],[MASTER B/L]]&amp;" SURRENDERED BL"</f>
        <v>ETD0402 YJCSHAN1905107 DJSCSHBDEE91344M SURRENDERED BL</v>
      </c>
    </row>
    <row r="121" spans="2:38" hidden="1" x14ac:dyDescent="0.2">
      <c r="B121" s="22">
        <v>43557</v>
      </c>
      <c r="C121" s="23">
        <v>13</v>
      </c>
      <c r="D121" s="23" t="s">
        <v>297</v>
      </c>
      <c r="E121" s="23"/>
      <c r="F121" s="24" t="s">
        <v>868</v>
      </c>
      <c r="G121" s="81" t="s">
        <v>826</v>
      </c>
      <c r="H121" s="24" t="s">
        <v>827</v>
      </c>
      <c r="I121" s="23">
        <v>2</v>
      </c>
      <c r="J121" s="23">
        <v>206</v>
      </c>
      <c r="K121" s="23">
        <v>1.97</v>
      </c>
      <c r="L121" s="51">
        <v>2</v>
      </c>
      <c r="M121" s="51">
        <v>206</v>
      </c>
      <c r="N121" s="51">
        <v>1.97</v>
      </c>
      <c r="O121" s="31" t="s">
        <v>845</v>
      </c>
      <c r="P121" s="24" t="s">
        <v>851</v>
      </c>
      <c r="Q121" s="23" t="s">
        <v>850</v>
      </c>
      <c r="R121" s="25">
        <v>719481</v>
      </c>
      <c r="T121" s="23" t="str">
        <f>表1_8[[#This Row],[客户编号]]</f>
        <v>YJCSHAN190417412</v>
      </c>
      <c r="U121" s="23" t="str">
        <f>表1_8[[#This Row],[MASTER B/L]]</f>
        <v>DJSCSHBDEE91344N</v>
      </c>
      <c r="V121" s="23">
        <f>表1_8[[#This Row],[件]]</f>
        <v>2</v>
      </c>
      <c r="W121" s="23">
        <f>表1_8[[#This Row],[毛]]</f>
        <v>206</v>
      </c>
      <c r="X121" s="23">
        <f>表1_8[[#This Row],[体]]</f>
        <v>1.97</v>
      </c>
      <c r="Y121" s="31" t="str">
        <f>表1_8[[#This Row],[品名]]</f>
        <v>PMA ECU</v>
      </c>
      <c r="Z121" s="31" t="str">
        <f>RIGHT(表1_8[[#This Row],[编]],4)</f>
        <v>40HQ</v>
      </c>
      <c r="AA121" s="23" t="str">
        <f>表1_8[[#This Row],[箱号]]</f>
        <v>DRYU9464670</v>
      </c>
      <c r="AB121" s="25">
        <f>表1_8[[#This Row],[封号]]</f>
        <v>719481</v>
      </c>
      <c r="AC121" s="23">
        <f>表2[[#This Row],[件]]</f>
        <v>2</v>
      </c>
      <c r="AD121" s="23">
        <f>表2[[#This Row],[毛]]</f>
        <v>206</v>
      </c>
      <c r="AE121" s="23">
        <f>表2[[#This Row],[体]]</f>
        <v>1.97</v>
      </c>
      <c r="AG121" s="23" t="str">
        <f>表1_8[[#This Row],[HOUSE B/L]]</f>
        <v>YJCSHAN1904839</v>
      </c>
      <c r="AH121" s="23" t="str">
        <f>表1_8[[#This Row],[MASTER B/L]]</f>
        <v>DJSCSHBDEE91344N</v>
      </c>
      <c r="AI121" s="23" t="str">
        <f>"ETD"&amp;TEXT(表1_8[[#This Row],[ETD]],"mmdd")&amp;" "&amp;表1_8[[#This Row],[HOUSE B/L]]&amp;" "&amp;表1_8[[#This Row],[MASTER B/L]]&amp;" CHECK BL"</f>
        <v>ETD0402 YJCSHAN1904839 DJSCSHBDEE91344N CHECK BL</v>
      </c>
      <c r="AJ121" s="23" t="str">
        <f>"ETD"&amp;TEXT(表1_8[[#This Row],[ETD]],"mmdd")&amp;" "&amp;表1_8[[#This Row],[HOUSE B/L]]&amp;" "&amp;表1_8[[#This Row],[MASTER B/L]]&amp;" 报关单"</f>
        <v>ETD0402 YJCSHAN1904839 DJSCSHBDEE91344N 报关单</v>
      </c>
      <c r="AK121" s="23" t="str">
        <f>"ETD"&amp;TEXT(表1_8[[#This Row],[ETD]],"mmdd")&amp;" "&amp;表1_8[[#This Row],[HOUSE B/L]]&amp;" "&amp;表1_8[[#This Row],[MASTER B/L]]&amp;" 放行单"</f>
        <v>ETD0402 YJCSHAN1904839 DJSCSHBDEE91344N 放行单</v>
      </c>
      <c r="AL121" s="23" t="str">
        <f>"ETD"&amp;TEXT(表1_8[[#This Row],[ETD]],"mmdd")&amp;" "&amp;表1_8[[#This Row],[HOUSE B/L]]&amp;" "&amp;表1_8[[#This Row],[MASTER B/L]]&amp;" SURRENDERED BL"</f>
        <v>ETD0402 YJCSHAN1904839 DJSCSHBDEE91344N SURRENDERED BL</v>
      </c>
    </row>
    <row r="122" spans="2:38" ht="36" hidden="1" x14ac:dyDescent="0.2">
      <c r="B122" s="22">
        <v>43557</v>
      </c>
      <c r="C122" s="23">
        <v>14</v>
      </c>
      <c r="D122" s="23" t="s">
        <v>266</v>
      </c>
      <c r="E122" s="23"/>
      <c r="F122" s="24" t="s">
        <v>869</v>
      </c>
      <c r="G122" s="81" t="s">
        <v>828</v>
      </c>
      <c r="H122" s="24" t="s">
        <v>829</v>
      </c>
      <c r="I122" s="23">
        <v>70</v>
      </c>
      <c r="J122" s="23">
        <v>997.46</v>
      </c>
      <c r="K122" s="23">
        <v>2.81</v>
      </c>
      <c r="L122" s="51">
        <v>2</v>
      </c>
      <c r="M122" s="51">
        <v>997.46</v>
      </c>
      <c r="N122" s="51">
        <v>2.81</v>
      </c>
      <c r="O122" s="31" t="s">
        <v>856</v>
      </c>
      <c r="P122" s="24" t="s">
        <v>851</v>
      </c>
      <c r="Q122" s="23" t="s">
        <v>850</v>
      </c>
      <c r="R122" s="25">
        <v>719481</v>
      </c>
      <c r="T122" s="23" t="str">
        <f>表1_8[[#This Row],[客户编号]]</f>
        <v>YJCSHAN190417413</v>
      </c>
      <c r="U122" s="23" t="str">
        <f>表1_8[[#This Row],[MASTER B/L]]</f>
        <v>DJSCSHBDEE91344P</v>
      </c>
      <c r="V122" s="23">
        <f>表1_8[[#This Row],[件]]</f>
        <v>70</v>
      </c>
      <c r="W122" s="23">
        <f>表1_8[[#This Row],[毛]]</f>
        <v>997.46</v>
      </c>
      <c r="X122" s="23">
        <f>表1_8[[#This Row],[体]]</f>
        <v>2.81</v>
      </c>
      <c r="Y122" s="31" t="str">
        <f>表1_8[[#This Row],[品名]]</f>
        <v>POWER SUPPLY CORD SETS
BAF &amp; CAF PP</v>
      </c>
      <c r="Z122" s="31" t="str">
        <f>RIGHT(表1_8[[#This Row],[编]],4)</f>
        <v>40HQ</v>
      </c>
      <c r="AA122" s="23" t="str">
        <f>表1_8[[#This Row],[箱号]]</f>
        <v>DRYU9464670</v>
      </c>
      <c r="AB122" s="25">
        <f>表1_8[[#This Row],[封号]]</f>
        <v>719481</v>
      </c>
      <c r="AC122" s="23">
        <f>表2[[#This Row],[件]]</f>
        <v>70</v>
      </c>
      <c r="AD122" s="23">
        <f>表2[[#This Row],[毛]]</f>
        <v>997.46</v>
      </c>
      <c r="AE122" s="23">
        <f>表2[[#This Row],[体]]</f>
        <v>2.81</v>
      </c>
      <c r="AG122" s="23" t="str">
        <f>表1_8[[#This Row],[HOUSE B/L]]</f>
        <v>YJCSHAN1905112</v>
      </c>
      <c r="AH122" s="23" t="str">
        <f>表1_8[[#This Row],[MASTER B/L]]</f>
        <v>DJSCSHBDEE91344P</v>
      </c>
      <c r="AI122" s="23" t="str">
        <f>"ETD"&amp;TEXT(表1_8[[#This Row],[ETD]],"mmdd")&amp;" "&amp;表1_8[[#This Row],[HOUSE B/L]]&amp;" "&amp;表1_8[[#This Row],[MASTER B/L]]&amp;" CHECK BL"</f>
        <v>ETD0402 YJCSHAN1905112 DJSCSHBDEE91344P CHECK BL</v>
      </c>
      <c r="AJ122" s="23" t="str">
        <f>"ETD"&amp;TEXT(表1_8[[#This Row],[ETD]],"mmdd")&amp;" "&amp;表1_8[[#This Row],[HOUSE B/L]]&amp;" "&amp;表1_8[[#This Row],[MASTER B/L]]&amp;" 报关单"</f>
        <v>ETD0402 YJCSHAN1905112 DJSCSHBDEE91344P 报关单</v>
      </c>
      <c r="AK122" s="23" t="str">
        <f>"ETD"&amp;TEXT(表1_8[[#This Row],[ETD]],"mmdd")&amp;" "&amp;表1_8[[#This Row],[HOUSE B/L]]&amp;" "&amp;表1_8[[#This Row],[MASTER B/L]]&amp;" 放行单"</f>
        <v>ETD0402 YJCSHAN1905112 DJSCSHBDEE91344P 放行单</v>
      </c>
      <c r="AL122" s="23" t="str">
        <f>"ETD"&amp;TEXT(表1_8[[#This Row],[ETD]],"mmdd")&amp;" "&amp;表1_8[[#This Row],[HOUSE B/L]]&amp;" "&amp;表1_8[[#This Row],[MASTER B/L]]&amp;" SURRENDERED BL"</f>
        <v>ETD0402 YJCSHAN1905112 DJSCSHBDEE91344P SURRENDERED BL</v>
      </c>
    </row>
    <row r="123" spans="2:38" hidden="1" x14ac:dyDescent="0.2">
      <c r="B123" s="22">
        <v>43557</v>
      </c>
      <c r="C123" s="23">
        <v>15</v>
      </c>
      <c r="D123" s="23" t="s">
        <v>115</v>
      </c>
      <c r="E123" s="23"/>
      <c r="F123" s="24" t="s">
        <v>870</v>
      </c>
      <c r="G123" s="81" t="s">
        <v>830</v>
      </c>
      <c r="H123" s="24" t="s">
        <v>831</v>
      </c>
      <c r="I123" s="23">
        <v>1</v>
      </c>
      <c r="J123" s="23">
        <v>100</v>
      </c>
      <c r="K123" s="23">
        <v>0.24</v>
      </c>
      <c r="L123" s="51">
        <v>1</v>
      </c>
      <c r="M123" s="51">
        <v>100</v>
      </c>
      <c r="N123" s="51">
        <v>0.24</v>
      </c>
      <c r="O123" s="31" t="s">
        <v>846</v>
      </c>
      <c r="P123" s="24" t="s">
        <v>849</v>
      </c>
      <c r="Q123" s="23" t="s">
        <v>848</v>
      </c>
      <c r="R123" s="25">
        <v>719391</v>
      </c>
      <c r="T123" s="23" t="str">
        <f>表1_8[[#This Row],[客户编号]]</f>
        <v>YJCSHAN190417414</v>
      </c>
      <c r="U123" s="23" t="str">
        <f>表1_8[[#This Row],[MASTER B/L]]</f>
        <v>DJSCSHBDEE91344Q</v>
      </c>
      <c r="V123" s="23">
        <f>表1_8[[#This Row],[件]]</f>
        <v>1</v>
      </c>
      <c r="W123" s="23">
        <f>表1_8[[#This Row],[毛]]</f>
        <v>100</v>
      </c>
      <c r="X123" s="23">
        <f>表1_8[[#This Row],[体]]</f>
        <v>0.24</v>
      </c>
      <c r="Y123" s="31" t="str">
        <f>表1_8[[#This Row],[品名]]</f>
        <v>GRAPHITE</v>
      </c>
      <c r="Z123" s="31" t="str">
        <f>RIGHT(表1_8[[#This Row],[编]],4)</f>
        <v>20GP</v>
      </c>
      <c r="AA123" s="23" t="str">
        <f>表1_8[[#This Row],[箱号]]</f>
        <v>DJLU2182234</v>
      </c>
      <c r="AB123" s="25">
        <f>表1_8[[#This Row],[封号]]</f>
        <v>719391</v>
      </c>
      <c r="AC123" s="23">
        <f>表2[[#This Row],[件]]</f>
        <v>1</v>
      </c>
      <c r="AD123" s="23">
        <f>表2[[#This Row],[毛]]</f>
        <v>100</v>
      </c>
      <c r="AE123" s="23">
        <f>表2[[#This Row],[体]]</f>
        <v>0.24</v>
      </c>
      <c r="AG123" s="23" t="str">
        <f>表1_8[[#This Row],[HOUSE B/L]]</f>
        <v>YJCSHAN1905155</v>
      </c>
      <c r="AH123" s="23" t="str">
        <f>表1_8[[#This Row],[MASTER B/L]]</f>
        <v>DJSCSHBDEE91344Q</v>
      </c>
      <c r="AI123" s="23" t="str">
        <f>"ETD"&amp;TEXT(表1_8[[#This Row],[ETD]],"mmdd")&amp;" "&amp;表1_8[[#This Row],[HOUSE B/L]]&amp;" "&amp;表1_8[[#This Row],[MASTER B/L]]&amp;" CHECK BL"</f>
        <v>ETD0402 YJCSHAN1905155 DJSCSHBDEE91344Q CHECK BL</v>
      </c>
      <c r="AJ123" s="23" t="str">
        <f>"ETD"&amp;TEXT(表1_8[[#This Row],[ETD]],"mmdd")&amp;" "&amp;表1_8[[#This Row],[HOUSE B/L]]&amp;" "&amp;表1_8[[#This Row],[MASTER B/L]]&amp;" 报关单"</f>
        <v>ETD0402 YJCSHAN1905155 DJSCSHBDEE91344Q 报关单</v>
      </c>
      <c r="AK123" s="23" t="str">
        <f>"ETD"&amp;TEXT(表1_8[[#This Row],[ETD]],"mmdd")&amp;" "&amp;表1_8[[#This Row],[HOUSE B/L]]&amp;" "&amp;表1_8[[#This Row],[MASTER B/L]]&amp;" 放行单"</f>
        <v>ETD0402 YJCSHAN1905155 DJSCSHBDEE91344Q 放行单</v>
      </c>
      <c r="AL123" s="23" t="str">
        <f>"ETD"&amp;TEXT(表1_8[[#This Row],[ETD]],"mmdd")&amp;" "&amp;表1_8[[#This Row],[HOUSE B/L]]&amp;" "&amp;表1_8[[#This Row],[MASTER B/L]]&amp;" SURRENDERED BL"</f>
        <v>ETD0402 YJCSHAN1905155 DJSCSHBDEE91344Q SURRENDERED BL</v>
      </c>
    </row>
    <row r="124" spans="2:38" ht="36" hidden="1" x14ac:dyDescent="0.2">
      <c r="B124" s="22">
        <v>43557</v>
      </c>
      <c r="C124" s="23">
        <v>16</v>
      </c>
      <c r="D124" s="23" t="s">
        <v>115</v>
      </c>
      <c r="E124" s="23"/>
      <c r="F124" s="24" t="s">
        <v>871</v>
      </c>
      <c r="G124" s="81" t="s">
        <v>832</v>
      </c>
      <c r="H124" s="24" t="s">
        <v>833</v>
      </c>
      <c r="I124" s="23">
        <v>1</v>
      </c>
      <c r="J124" s="23">
        <v>500</v>
      </c>
      <c r="K124" s="23">
        <v>1.2</v>
      </c>
      <c r="L124" s="51">
        <v>1</v>
      </c>
      <c r="M124" s="51">
        <v>500</v>
      </c>
      <c r="N124" s="51">
        <v>1.2</v>
      </c>
      <c r="O124" s="31" t="s">
        <v>855</v>
      </c>
      <c r="P124" s="24" t="s">
        <v>849</v>
      </c>
      <c r="Q124" s="23" t="s">
        <v>848</v>
      </c>
      <c r="R124" s="25">
        <v>719391</v>
      </c>
      <c r="T124" s="23" t="str">
        <f>表1_8[[#This Row],[客户编号]]</f>
        <v>YJCSHAN190417415</v>
      </c>
      <c r="U124" s="23" t="str">
        <f>表1_8[[#This Row],[MASTER B/L]]</f>
        <v>DJSCSHBDEE91344R</v>
      </c>
      <c r="V124" s="23">
        <f>表1_8[[#This Row],[件]]</f>
        <v>1</v>
      </c>
      <c r="W124" s="23">
        <f>表1_8[[#This Row],[毛]]</f>
        <v>500</v>
      </c>
      <c r="X124" s="23">
        <f>表1_8[[#This Row],[体]]</f>
        <v>1.2</v>
      </c>
      <c r="Y124" s="31" t="str">
        <f>表1_8[[#This Row],[品名]]</f>
        <v>GRAPHITE
BAF &amp; CAF PP</v>
      </c>
      <c r="Z124" s="31" t="str">
        <f>RIGHT(表1_8[[#This Row],[编]],4)</f>
        <v>20GP</v>
      </c>
      <c r="AA124" s="23" t="str">
        <f>表1_8[[#This Row],[箱号]]</f>
        <v>DJLU2182234</v>
      </c>
      <c r="AB124" s="25">
        <f>表1_8[[#This Row],[封号]]</f>
        <v>719391</v>
      </c>
      <c r="AC124" s="23">
        <f>表2[[#This Row],[件]]</f>
        <v>1</v>
      </c>
      <c r="AD124" s="23">
        <f>表2[[#This Row],[毛]]</f>
        <v>500</v>
      </c>
      <c r="AE124" s="23">
        <f>表2[[#This Row],[体]]</f>
        <v>1.2</v>
      </c>
      <c r="AG124" s="23" t="str">
        <f>表1_8[[#This Row],[HOUSE B/L]]</f>
        <v>YJCSHAN1905156</v>
      </c>
      <c r="AH124" s="23" t="str">
        <f>表1_8[[#This Row],[MASTER B/L]]</f>
        <v>DJSCSHBDEE91344R</v>
      </c>
      <c r="AI124" s="23" t="str">
        <f>"ETD"&amp;TEXT(表1_8[[#This Row],[ETD]],"mmdd")&amp;" "&amp;表1_8[[#This Row],[HOUSE B/L]]&amp;" "&amp;表1_8[[#This Row],[MASTER B/L]]&amp;" CHECK BL"</f>
        <v>ETD0402 YJCSHAN1905156 DJSCSHBDEE91344R CHECK BL</v>
      </c>
      <c r="AJ124" s="23" t="str">
        <f>"ETD"&amp;TEXT(表1_8[[#This Row],[ETD]],"mmdd")&amp;" "&amp;表1_8[[#This Row],[HOUSE B/L]]&amp;" "&amp;表1_8[[#This Row],[MASTER B/L]]&amp;" 报关单"</f>
        <v>ETD0402 YJCSHAN1905156 DJSCSHBDEE91344R 报关单</v>
      </c>
      <c r="AK124" s="23" t="str">
        <f>"ETD"&amp;TEXT(表1_8[[#This Row],[ETD]],"mmdd")&amp;" "&amp;表1_8[[#This Row],[HOUSE B/L]]&amp;" "&amp;表1_8[[#This Row],[MASTER B/L]]&amp;" 放行单"</f>
        <v>ETD0402 YJCSHAN1905156 DJSCSHBDEE91344R 放行单</v>
      </c>
      <c r="AL124" s="23" t="str">
        <f>"ETD"&amp;TEXT(表1_8[[#This Row],[ETD]],"mmdd")&amp;" "&amp;表1_8[[#This Row],[HOUSE B/L]]&amp;" "&amp;表1_8[[#This Row],[MASTER B/L]]&amp;" SURRENDERED BL"</f>
        <v>ETD0402 YJCSHAN1905156 DJSCSHBDEE91344R SURRENDERED BL</v>
      </c>
    </row>
    <row r="125" spans="2:38" hidden="1" x14ac:dyDescent="0.2">
      <c r="B125" s="22">
        <v>43559</v>
      </c>
      <c r="C125" s="23">
        <v>1</v>
      </c>
      <c r="D125" s="82" t="s">
        <v>885</v>
      </c>
      <c r="E125" s="23">
        <v>4791</v>
      </c>
      <c r="F125" s="24" t="s">
        <v>899</v>
      </c>
      <c r="G125" s="24" t="s">
        <v>899</v>
      </c>
      <c r="H125" s="24" t="s">
        <v>921</v>
      </c>
      <c r="I125" s="23">
        <v>5</v>
      </c>
      <c r="J125" s="23">
        <v>450</v>
      </c>
      <c r="K125" s="23">
        <v>5.4</v>
      </c>
      <c r="L125" s="51">
        <v>5</v>
      </c>
      <c r="M125" s="51">
        <v>450</v>
      </c>
      <c r="N125" s="51">
        <v>5.4</v>
      </c>
      <c r="O125" s="31" t="s">
        <v>974</v>
      </c>
      <c r="P125" s="24" t="s">
        <v>951</v>
      </c>
      <c r="Q125" s="23" t="s">
        <v>952</v>
      </c>
      <c r="R125" s="83" t="s">
        <v>953</v>
      </c>
      <c r="T125" s="23" t="str">
        <f>表1_8[[#This Row],[客户编号]]</f>
        <v>YJCSHAN1904791</v>
      </c>
      <c r="U125" s="23" t="str">
        <f>表1_8[[#This Row],[MASTER B/L]]</f>
        <v>DJSCSHBMVE90744A</v>
      </c>
      <c r="V125" s="23">
        <f>表1_8[[#This Row],[件]]</f>
        <v>5</v>
      </c>
      <c r="W125" s="23">
        <f>表1_8[[#This Row],[毛]]</f>
        <v>450</v>
      </c>
      <c r="X125" s="23">
        <f>表1_8[[#This Row],[体]]</f>
        <v>5.4</v>
      </c>
      <c r="Y125" s="31" t="str">
        <f>表1_8[[#This Row],[品名]]</f>
        <v>BEZEL WITHOUT EPB</v>
      </c>
      <c r="Z125" s="31" t="str">
        <f>RIGHT(表1_8[[#This Row],[编]],4)</f>
        <v>40HQ</v>
      </c>
      <c r="AA125" s="23" t="str">
        <f>表1_8[[#This Row],[箱号]]</f>
        <v>DJLU5157997</v>
      </c>
      <c r="AB125" s="25" t="str">
        <f>表1_8[[#This Row],[封号]]</f>
        <v>719467</v>
      </c>
      <c r="AC125" s="23">
        <f>表2[[#This Row],[件]]</f>
        <v>5</v>
      </c>
      <c r="AD125" s="23">
        <f>表2[[#This Row],[毛]]</f>
        <v>450</v>
      </c>
      <c r="AE125" s="23">
        <f>表2[[#This Row],[体]]</f>
        <v>5.4</v>
      </c>
      <c r="AG125" s="23" t="str">
        <f>表1_8[[#This Row],[HOUSE B/L]]</f>
        <v>YJCSHAN1904791</v>
      </c>
      <c r="AH125" s="23" t="str">
        <f>表1_8[[#This Row],[MASTER B/L]]</f>
        <v>DJSCSHBMVE90744A</v>
      </c>
      <c r="AI125" s="23" t="str">
        <f>"ETD"&amp;TEXT(表1_8[[#This Row],[ETD]],"mmdd")&amp;" "&amp;表1_8[[#This Row],[HOUSE B/L]]&amp;" "&amp;表1_8[[#This Row],[MASTER B/L]]&amp;" CHECK BL"</f>
        <v>ETD0404 YJCSHAN1904791 DJSCSHBMVE90744A CHECK BL</v>
      </c>
      <c r="AJ125" s="23" t="str">
        <f>"ETD"&amp;TEXT(表1_8[[#This Row],[ETD]],"mmdd")&amp;" "&amp;表1_8[[#This Row],[HOUSE B/L]]&amp;" "&amp;表1_8[[#This Row],[MASTER B/L]]&amp;" 报关单"</f>
        <v>ETD0404 YJCSHAN1904791 DJSCSHBMVE90744A 报关单</v>
      </c>
      <c r="AK125" s="23" t="str">
        <f>"ETD"&amp;TEXT(表1_8[[#This Row],[ETD]],"mmdd")&amp;" "&amp;表1_8[[#This Row],[HOUSE B/L]]&amp;" "&amp;表1_8[[#This Row],[MASTER B/L]]&amp;" 放行单"</f>
        <v>ETD0404 YJCSHAN1904791 DJSCSHBMVE90744A 放行单</v>
      </c>
      <c r="AL125" s="23" t="str">
        <f>"ETD"&amp;TEXT(表1_8[[#This Row],[ETD]],"mmdd")&amp;" "&amp;表1_8[[#This Row],[HOUSE B/L]]&amp;" "&amp;表1_8[[#This Row],[MASTER B/L]]&amp;" SURRENDERED BL"</f>
        <v>ETD0404 YJCSHAN1904791 DJSCSHBMVE90744A SURRENDERED BL</v>
      </c>
    </row>
    <row r="126" spans="2:38" ht="48" hidden="1" x14ac:dyDescent="0.2">
      <c r="B126" s="22">
        <v>43559</v>
      </c>
      <c r="C126" s="23">
        <v>2</v>
      </c>
      <c r="D126" s="82" t="s">
        <v>885</v>
      </c>
      <c r="E126" s="23">
        <v>4847</v>
      </c>
      <c r="F126" s="24" t="s">
        <v>991</v>
      </c>
      <c r="G126" s="24" t="s">
        <v>900</v>
      </c>
      <c r="H126" s="24" t="s">
        <v>922</v>
      </c>
      <c r="I126" s="23">
        <v>1</v>
      </c>
      <c r="J126" s="23">
        <v>156</v>
      </c>
      <c r="K126" s="23">
        <v>0.91</v>
      </c>
      <c r="L126" s="51">
        <v>1</v>
      </c>
      <c r="M126" s="51">
        <v>156</v>
      </c>
      <c r="N126" s="51">
        <v>0.91</v>
      </c>
      <c r="O126" s="31" t="s">
        <v>954</v>
      </c>
      <c r="P126" s="23" t="s">
        <v>950</v>
      </c>
      <c r="Q126" s="23" t="s">
        <v>948</v>
      </c>
      <c r="R126" s="25" t="s">
        <v>949</v>
      </c>
      <c r="T126" s="23" t="str">
        <f>表1_8[[#This Row],[客户编号]]</f>
        <v>YJCSHAN190479101</v>
      </c>
      <c r="U126" s="23" t="str">
        <f>表1_8[[#This Row],[MASTER B/L]]</f>
        <v>DJSCSHBMVE90744B</v>
      </c>
      <c r="V126" s="23">
        <f>表1_8[[#This Row],[件]]</f>
        <v>1</v>
      </c>
      <c r="W126" s="23">
        <f>表1_8[[#This Row],[毛]]</f>
        <v>156</v>
      </c>
      <c r="X126" s="23">
        <f>表1_8[[#This Row],[体]]</f>
        <v>0.91</v>
      </c>
      <c r="Y126" s="31" t="str">
        <f>表1_8[[#This Row],[品名]]</f>
        <v>GROOVE-LOCK, FORD C519 E-SHIFTER
GEAR-SHAFT, FORD C519 E-SHIFTER
GEAR-CARRIER, C519 E-SHIFTER
GEAR-SPUR, C519 E-SHIFTER</v>
      </c>
      <c r="Z126" s="31" t="str">
        <f>RIGHT(表1_8[[#This Row],[编]],4)</f>
        <v>40HQ</v>
      </c>
      <c r="AA126" s="23" t="str">
        <f>表1_8[[#This Row],[箱号]]</f>
        <v>BEAU4630345</v>
      </c>
      <c r="AB126" s="25" t="str">
        <f>表1_8[[#This Row],[封号]]</f>
        <v>DJSC719335</v>
      </c>
      <c r="AC126" s="23">
        <f>表2[[#This Row],[件]]</f>
        <v>1</v>
      </c>
      <c r="AD126" s="23">
        <f>表2[[#This Row],[毛]]</f>
        <v>156</v>
      </c>
      <c r="AE126" s="23">
        <f>表2[[#This Row],[体]]</f>
        <v>0.91</v>
      </c>
      <c r="AG126" s="23" t="str">
        <f>表1_8[[#This Row],[HOUSE B/L]]</f>
        <v>YJCSHAN1904847</v>
      </c>
      <c r="AH126" s="23" t="str">
        <f>表1_8[[#This Row],[MASTER B/L]]</f>
        <v>DJSCSHBMVE90744B</v>
      </c>
      <c r="AI126" s="23" t="str">
        <f>"ETD"&amp;TEXT(表1_8[[#This Row],[ETD]],"mmdd")&amp;" "&amp;表1_8[[#This Row],[HOUSE B/L]]&amp;" "&amp;表1_8[[#This Row],[MASTER B/L]]&amp;" CHECK BL"</f>
        <v>ETD0404 YJCSHAN1904847 DJSCSHBMVE90744B CHECK BL</v>
      </c>
      <c r="AJ126" s="23" t="str">
        <f>"ETD"&amp;TEXT(表1_8[[#This Row],[ETD]],"mmdd")&amp;" "&amp;表1_8[[#This Row],[HOUSE B/L]]&amp;" "&amp;表1_8[[#This Row],[MASTER B/L]]&amp;" 报关单"</f>
        <v>ETD0404 YJCSHAN1904847 DJSCSHBMVE90744B 报关单</v>
      </c>
      <c r="AK126" s="23" t="str">
        <f>"ETD"&amp;TEXT(表1_8[[#This Row],[ETD]],"mmdd")&amp;" "&amp;表1_8[[#This Row],[HOUSE B/L]]&amp;" "&amp;表1_8[[#This Row],[MASTER B/L]]&amp;" 放行单"</f>
        <v>ETD0404 YJCSHAN1904847 DJSCSHBMVE90744B 放行单</v>
      </c>
      <c r="AL126" s="23" t="str">
        <f>"ETD"&amp;TEXT(表1_8[[#This Row],[ETD]],"mmdd")&amp;" "&amp;表1_8[[#This Row],[HOUSE B/L]]&amp;" "&amp;表1_8[[#This Row],[MASTER B/L]]&amp;" SURRENDERED BL"</f>
        <v>ETD0404 YJCSHAN1904847 DJSCSHBMVE90744B SURRENDERED BL</v>
      </c>
    </row>
    <row r="127" spans="2:38" hidden="1" x14ac:dyDescent="0.2">
      <c r="B127" s="22">
        <v>43559</v>
      </c>
      <c r="C127" s="23">
        <v>3</v>
      </c>
      <c r="D127" s="82" t="s">
        <v>886</v>
      </c>
      <c r="E127" s="23"/>
      <c r="F127" s="24" t="s">
        <v>992</v>
      </c>
      <c r="G127" s="24" t="s">
        <v>901</v>
      </c>
      <c r="H127" s="24" t="s">
        <v>923</v>
      </c>
      <c r="I127" s="23">
        <v>109</v>
      </c>
      <c r="J127" s="23">
        <v>1417</v>
      </c>
      <c r="K127" s="23">
        <v>10</v>
      </c>
      <c r="L127" s="51">
        <v>109</v>
      </c>
      <c r="M127" s="51">
        <v>1417</v>
      </c>
      <c r="N127" s="51">
        <v>10</v>
      </c>
      <c r="O127" s="31" t="s">
        <v>966</v>
      </c>
      <c r="P127" s="24" t="s">
        <v>987</v>
      </c>
      <c r="Q127" s="23" t="s">
        <v>988</v>
      </c>
      <c r="R127" s="25" t="s">
        <v>989</v>
      </c>
      <c r="T127" s="23" t="str">
        <f>表1_8[[#This Row],[客户编号]]</f>
        <v>YJCSHAN190479202</v>
      </c>
      <c r="U127" s="23" t="str">
        <f>表1_8[[#This Row],[MASTER B/L]]</f>
        <v>DJSCSHBMVE90744C</v>
      </c>
      <c r="V127" s="23">
        <f>表1_8[[#This Row],[件]]</f>
        <v>109</v>
      </c>
      <c r="W127" s="23">
        <f>表1_8[[#This Row],[毛]]</f>
        <v>1417</v>
      </c>
      <c r="X127" s="23">
        <f>表1_8[[#This Row],[体]]</f>
        <v>10</v>
      </c>
      <c r="Y127" s="31" t="str">
        <f>表1_8[[#This Row],[品名]]</f>
        <v>KNITTED COATED GLOVE</v>
      </c>
      <c r="Z127" s="31" t="str">
        <f>RIGHT(表1_8[[#This Row],[编]],4)</f>
        <v>40HQ</v>
      </c>
      <c r="AA127" s="23" t="str">
        <f>表1_8[[#This Row],[箱号]]</f>
        <v>TEMU7742943</v>
      </c>
      <c r="AB127" s="25" t="str">
        <f>表1_8[[#This Row],[封号]]</f>
        <v>719227</v>
      </c>
      <c r="AC127" s="23">
        <f>表2[[#This Row],[件]]</f>
        <v>109</v>
      </c>
      <c r="AD127" s="23">
        <f>表2[[#This Row],[毛]]</f>
        <v>1417</v>
      </c>
      <c r="AE127" s="23">
        <f>表2[[#This Row],[体]]</f>
        <v>10</v>
      </c>
      <c r="AG127" s="23" t="str">
        <f>表1_8[[#This Row],[HOUSE B/L]]</f>
        <v>YJCSHAN1904898</v>
      </c>
      <c r="AH127" s="23" t="str">
        <f>表1_8[[#This Row],[MASTER B/L]]</f>
        <v>DJSCSHBMVE90744C</v>
      </c>
      <c r="AI127" s="23" t="str">
        <f>"ETD"&amp;TEXT(表1_8[[#This Row],[ETD]],"mmdd")&amp;" "&amp;表1_8[[#This Row],[HOUSE B/L]]&amp;" "&amp;表1_8[[#This Row],[MASTER B/L]]&amp;" CHECK BL"</f>
        <v>ETD0404 YJCSHAN1904898 DJSCSHBMVE90744C CHECK BL</v>
      </c>
      <c r="AJ127" s="23" t="str">
        <f>"ETD"&amp;TEXT(表1_8[[#This Row],[ETD]],"mmdd")&amp;" "&amp;表1_8[[#This Row],[HOUSE B/L]]&amp;" "&amp;表1_8[[#This Row],[MASTER B/L]]&amp;" 报关单"</f>
        <v>ETD0404 YJCSHAN1904898 DJSCSHBMVE90744C 报关单</v>
      </c>
      <c r="AK127" s="23" t="str">
        <f>"ETD"&amp;TEXT(表1_8[[#This Row],[ETD]],"mmdd")&amp;" "&amp;表1_8[[#This Row],[HOUSE B/L]]&amp;" "&amp;表1_8[[#This Row],[MASTER B/L]]&amp;" 放行单"</f>
        <v>ETD0404 YJCSHAN1904898 DJSCSHBMVE90744C 放行单</v>
      </c>
      <c r="AL127" s="23" t="str">
        <f>"ETD"&amp;TEXT(表1_8[[#This Row],[ETD]],"mmdd")&amp;" "&amp;表1_8[[#This Row],[HOUSE B/L]]&amp;" "&amp;表1_8[[#This Row],[MASTER B/L]]&amp;" SURRENDERED BL"</f>
        <v>ETD0404 YJCSHAN1904898 DJSCSHBMVE90744C SURRENDERED BL</v>
      </c>
    </row>
    <row r="128" spans="2:38" hidden="1" x14ac:dyDescent="0.2">
      <c r="B128" s="22">
        <v>43559</v>
      </c>
      <c r="C128" s="23">
        <v>4</v>
      </c>
      <c r="D128" s="82" t="s">
        <v>887</v>
      </c>
      <c r="E128" s="23"/>
      <c r="F128" s="24" t="s">
        <v>993</v>
      </c>
      <c r="G128" s="24" t="s">
        <v>902</v>
      </c>
      <c r="H128" s="24" t="s">
        <v>924</v>
      </c>
      <c r="I128" s="23">
        <v>4</v>
      </c>
      <c r="J128" s="23">
        <v>1511.6</v>
      </c>
      <c r="K128" s="23">
        <v>2.64</v>
      </c>
      <c r="L128" s="51">
        <v>4</v>
      </c>
      <c r="M128" s="51">
        <v>1511.6</v>
      </c>
      <c r="N128" s="51">
        <v>2.64</v>
      </c>
      <c r="O128" s="31" t="s">
        <v>965</v>
      </c>
      <c r="P128" s="24" t="s">
        <v>980</v>
      </c>
      <c r="Q128" s="23" t="s">
        <v>981</v>
      </c>
      <c r="R128" s="25" t="s">
        <v>982</v>
      </c>
      <c r="T128" s="23" t="str">
        <f>表1_8[[#This Row],[客户编号]]</f>
        <v>YJCSHAN190479303</v>
      </c>
      <c r="U128" s="23" t="str">
        <f>表1_8[[#This Row],[MASTER B/L]]</f>
        <v>DJSCSHBMVE90744D</v>
      </c>
      <c r="V128" s="23">
        <f>表1_8[[#This Row],[件]]</f>
        <v>4</v>
      </c>
      <c r="W128" s="23">
        <f>表1_8[[#This Row],[毛]]</f>
        <v>1511.6</v>
      </c>
      <c r="X128" s="23">
        <f>表1_8[[#This Row],[体]]</f>
        <v>2.64</v>
      </c>
      <c r="Y128" s="31" t="str">
        <f>表1_8[[#This Row],[品名]]</f>
        <v>DOOR HINGE STRAP BODY</v>
      </c>
      <c r="Z128" s="31" t="str">
        <f>RIGHT(表1_8[[#This Row],[编]],4)</f>
        <v>20GP</v>
      </c>
      <c r="AA128" s="23" t="str">
        <f>表1_8[[#This Row],[箱号]]</f>
        <v>PHRU2605784</v>
      </c>
      <c r="AB128" s="25" t="str">
        <f>表1_8[[#This Row],[封号]]</f>
        <v>719419</v>
      </c>
      <c r="AC128" s="23">
        <f>表2[[#This Row],[件]]</f>
        <v>4</v>
      </c>
      <c r="AD128" s="23">
        <f>表2[[#This Row],[毛]]</f>
        <v>1511.6</v>
      </c>
      <c r="AE128" s="23">
        <f>表2[[#This Row],[体]]</f>
        <v>2.64</v>
      </c>
      <c r="AG128" s="23" t="str">
        <f>表1_8[[#This Row],[HOUSE B/L]]</f>
        <v>YJCSHAN1904943</v>
      </c>
      <c r="AH128" s="23" t="str">
        <f>表1_8[[#This Row],[MASTER B/L]]</f>
        <v>DJSCSHBMVE90744D</v>
      </c>
      <c r="AI128" s="23" t="str">
        <f>"ETD"&amp;TEXT(表1_8[[#This Row],[ETD]],"mmdd")&amp;" "&amp;表1_8[[#This Row],[HOUSE B/L]]&amp;" "&amp;表1_8[[#This Row],[MASTER B/L]]&amp;" CHECK BL"</f>
        <v>ETD0404 YJCSHAN1904943 DJSCSHBMVE90744D CHECK BL</v>
      </c>
      <c r="AJ128" s="23" t="str">
        <f>"ETD"&amp;TEXT(表1_8[[#This Row],[ETD]],"mmdd")&amp;" "&amp;表1_8[[#This Row],[HOUSE B/L]]&amp;" "&amp;表1_8[[#This Row],[MASTER B/L]]&amp;" 报关单"</f>
        <v>ETD0404 YJCSHAN1904943 DJSCSHBMVE90744D 报关单</v>
      </c>
      <c r="AK128" s="23" t="str">
        <f>"ETD"&amp;TEXT(表1_8[[#This Row],[ETD]],"mmdd")&amp;" "&amp;表1_8[[#This Row],[HOUSE B/L]]&amp;" "&amp;表1_8[[#This Row],[MASTER B/L]]&amp;" 放行单"</f>
        <v>ETD0404 YJCSHAN1904943 DJSCSHBMVE90744D 放行单</v>
      </c>
      <c r="AL128" s="23" t="str">
        <f>"ETD"&amp;TEXT(表1_8[[#This Row],[ETD]],"mmdd")&amp;" "&amp;表1_8[[#This Row],[HOUSE B/L]]&amp;" "&amp;表1_8[[#This Row],[MASTER B/L]]&amp;" SURRENDERED BL"</f>
        <v>ETD0404 YJCSHAN1904943 DJSCSHBMVE90744D SURRENDERED BL</v>
      </c>
    </row>
    <row r="129" spans="2:38" ht="24" hidden="1" x14ac:dyDescent="0.2">
      <c r="B129" s="22">
        <v>43559</v>
      </c>
      <c r="C129" s="23">
        <v>5</v>
      </c>
      <c r="D129" s="82" t="s">
        <v>888</v>
      </c>
      <c r="E129" s="23"/>
      <c r="F129" s="24" t="s">
        <v>994</v>
      </c>
      <c r="G129" s="24" t="s">
        <v>903</v>
      </c>
      <c r="H129" s="24" t="s">
        <v>925</v>
      </c>
      <c r="I129" s="23">
        <v>3</v>
      </c>
      <c r="J129" s="23">
        <v>511.13</v>
      </c>
      <c r="K129" s="23">
        <v>5.0999999999999996</v>
      </c>
      <c r="L129" s="51">
        <v>3</v>
      </c>
      <c r="M129" s="51">
        <v>511.13</v>
      </c>
      <c r="N129" s="51">
        <v>5.0999999999999996</v>
      </c>
      <c r="O129" s="31" t="s">
        <v>973</v>
      </c>
      <c r="P129" s="24" t="s">
        <v>951</v>
      </c>
      <c r="Q129" s="23" t="s">
        <v>952</v>
      </c>
      <c r="R129" s="83" t="s">
        <v>953</v>
      </c>
      <c r="T129" s="23" t="str">
        <f>表1_8[[#This Row],[客户编号]]</f>
        <v>YJCSHAN190479404</v>
      </c>
      <c r="U129" s="23" t="str">
        <f>表1_8[[#This Row],[MASTER B/L]]</f>
        <v>DJSCSHBMVE90744E</v>
      </c>
      <c r="V129" s="23">
        <f>表1_8[[#This Row],[件]]</f>
        <v>3</v>
      </c>
      <c r="W129" s="23">
        <f>表1_8[[#This Row],[毛]]</f>
        <v>511.13</v>
      </c>
      <c r="X129" s="23">
        <f>表1_8[[#This Row],[体]]</f>
        <v>5.0999999999999996</v>
      </c>
      <c r="Y129" s="31" t="str">
        <f>表1_8[[#This Row],[品名]]</f>
        <v>MOULDING REPEATER-TURN SIGNAL
OUTSIDE MIRROR-BODY LH</v>
      </c>
      <c r="Z129" s="31" t="str">
        <f>RIGHT(表1_8[[#This Row],[编]],4)</f>
        <v>40HQ</v>
      </c>
      <c r="AA129" s="23" t="str">
        <f>表1_8[[#This Row],[箱号]]</f>
        <v>DJLU5157997</v>
      </c>
      <c r="AB129" s="25" t="str">
        <f>表1_8[[#This Row],[封号]]</f>
        <v>719467</v>
      </c>
      <c r="AC129" s="23">
        <f>表2[[#This Row],[件]]</f>
        <v>3</v>
      </c>
      <c r="AD129" s="23">
        <f>表2[[#This Row],[毛]]</f>
        <v>511.13</v>
      </c>
      <c r="AE129" s="23">
        <f>表2[[#This Row],[体]]</f>
        <v>5.0999999999999996</v>
      </c>
      <c r="AG129" s="23" t="str">
        <f>表1_8[[#This Row],[HOUSE B/L]]</f>
        <v>YJCSHAN1904944</v>
      </c>
      <c r="AH129" s="23" t="str">
        <f>表1_8[[#This Row],[MASTER B/L]]</f>
        <v>DJSCSHBMVE90744E</v>
      </c>
      <c r="AI129" s="23" t="str">
        <f>"ETD"&amp;TEXT(表1_8[[#This Row],[ETD]],"mmdd")&amp;" "&amp;表1_8[[#This Row],[HOUSE B/L]]&amp;" "&amp;表1_8[[#This Row],[MASTER B/L]]&amp;" CHECK BL"</f>
        <v>ETD0404 YJCSHAN1904944 DJSCSHBMVE90744E CHECK BL</v>
      </c>
      <c r="AJ129" s="23" t="str">
        <f>"ETD"&amp;TEXT(表1_8[[#This Row],[ETD]],"mmdd")&amp;" "&amp;表1_8[[#This Row],[HOUSE B/L]]&amp;" "&amp;表1_8[[#This Row],[MASTER B/L]]&amp;" 报关单"</f>
        <v>ETD0404 YJCSHAN1904944 DJSCSHBMVE90744E 报关单</v>
      </c>
      <c r="AK129" s="23" t="str">
        <f>"ETD"&amp;TEXT(表1_8[[#This Row],[ETD]],"mmdd")&amp;" "&amp;表1_8[[#This Row],[HOUSE B/L]]&amp;" "&amp;表1_8[[#This Row],[MASTER B/L]]&amp;" 放行单"</f>
        <v>ETD0404 YJCSHAN1904944 DJSCSHBMVE90744E 放行单</v>
      </c>
      <c r="AL129" s="23" t="str">
        <f>"ETD"&amp;TEXT(表1_8[[#This Row],[ETD]],"mmdd")&amp;" "&amp;表1_8[[#This Row],[HOUSE B/L]]&amp;" "&amp;表1_8[[#This Row],[MASTER B/L]]&amp;" SURRENDERED BL"</f>
        <v>ETD0404 YJCSHAN1904944 DJSCSHBMVE90744E SURRENDERED BL</v>
      </c>
    </row>
    <row r="130" spans="2:38" ht="24" hidden="1" x14ac:dyDescent="0.2">
      <c r="B130" s="22">
        <v>43559</v>
      </c>
      <c r="C130" s="23">
        <v>6</v>
      </c>
      <c r="D130" s="82" t="s">
        <v>885</v>
      </c>
      <c r="E130" s="23">
        <v>4791</v>
      </c>
      <c r="F130" s="24" t="s">
        <v>995</v>
      </c>
      <c r="G130" s="24" t="s">
        <v>904</v>
      </c>
      <c r="H130" s="24" t="s">
        <v>926</v>
      </c>
      <c r="I130" s="23">
        <v>10</v>
      </c>
      <c r="J130" s="23">
        <v>2800</v>
      </c>
      <c r="K130" s="23">
        <v>14</v>
      </c>
      <c r="L130" s="51">
        <v>10</v>
      </c>
      <c r="M130" s="51">
        <v>2800</v>
      </c>
      <c r="N130" s="51">
        <v>14</v>
      </c>
      <c r="O130" s="31" t="s">
        <v>972</v>
      </c>
      <c r="P130" s="24" t="s">
        <v>951</v>
      </c>
      <c r="Q130" s="23" t="s">
        <v>952</v>
      </c>
      <c r="R130" s="83" t="s">
        <v>953</v>
      </c>
      <c r="T130" s="23" t="str">
        <f>表1_8[[#This Row],[客户编号]]</f>
        <v>YJCSHAN190479505</v>
      </c>
      <c r="U130" s="23" t="str">
        <f>表1_8[[#This Row],[MASTER B/L]]</f>
        <v>DJSCSHBMVE90744F</v>
      </c>
      <c r="V130" s="23">
        <f>表1_8[[#This Row],[件]]</f>
        <v>10</v>
      </c>
      <c r="W130" s="23">
        <f>表1_8[[#This Row],[毛]]</f>
        <v>2800</v>
      </c>
      <c r="X130" s="23">
        <f>表1_8[[#This Row],[体]]</f>
        <v>14</v>
      </c>
      <c r="Y130" s="31" t="str">
        <f>表1_8[[#This Row],[品名]]</f>
        <v>SHIFT PARTS
SPRING</v>
      </c>
      <c r="Z130" s="31" t="str">
        <f>RIGHT(表1_8[[#This Row],[编]],4)</f>
        <v>40HQ</v>
      </c>
      <c r="AA130" s="23" t="str">
        <f>表1_8[[#This Row],[箱号]]</f>
        <v>DJLU5157997</v>
      </c>
      <c r="AB130" s="25" t="str">
        <f>表1_8[[#This Row],[封号]]</f>
        <v>719467</v>
      </c>
      <c r="AC130" s="23">
        <f>表2[[#This Row],[件]]</f>
        <v>10</v>
      </c>
      <c r="AD130" s="23">
        <f>表2[[#This Row],[毛]]</f>
        <v>2800</v>
      </c>
      <c r="AE130" s="23">
        <f>表2[[#This Row],[体]]</f>
        <v>14</v>
      </c>
      <c r="AG130" s="23" t="str">
        <f>表1_8[[#This Row],[HOUSE B/L]]</f>
        <v>YJCSHAN1904948</v>
      </c>
      <c r="AH130" s="23" t="str">
        <f>表1_8[[#This Row],[MASTER B/L]]</f>
        <v>DJSCSHBMVE90744F</v>
      </c>
      <c r="AI130" s="23" t="str">
        <f>"ETD"&amp;TEXT(表1_8[[#This Row],[ETD]],"mmdd")&amp;" "&amp;表1_8[[#This Row],[HOUSE B/L]]&amp;" "&amp;表1_8[[#This Row],[MASTER B/L]]&amp;" CHECK BL"</f>
        <v>ETD0404 YJCSHAN1904948 DJSCSHBMVE90744F CHECK BL</v>
      </c>
      <c r="AJ130" s="23" t="str">
        <f>"ETD"&amp;TEXT(表1_8[[#This Row],[ETD]],"mmdd")&amp;" "&amp;表1_8[[#This Row],[HOUSE B/L]]&amp;" "&amp;表1_8[[#This Row],[MASTER B/L]]&amp;" 报关单"</f>
        <v>ETD0404 YJCSHAN1904948 DJSCSHBMVE90744F 报关单</v>
      </c>
      <c r="AK130" s="23" t="str">
        <f>"ETD"&amp;TEXT(表1_8[[#This Row],[ETD]],"mmdd")&amp;" "&amp;表1_8[[#This Row],[HOUSE B/L]]&amp;" "&amp;表1_8[[#This Row],[MASTER B/L]]&amp;" 放行单"</f>
        <v>ETD0404 YJCSHAN1904948 DJSCSHBMVE90744F 放行单</v>
      </c>
      <c r="AL130" s="23" t="str">
        <f>"ETD"&amp;TEXT(表1_8[[#This Row],[ETD]],"mmdd")&amp;" "&amp;表1_8[[#This Row],[HOUSE B/L]]&amp;" "&amp;表1_8[[#This Row],[MASTER B/L]]&amp;" SURRENDERED BL"</f>
        <v>ETD0404 YJCSHAN1904948 DJSCSHBMVE90744F SURRENDERED BL</v>
      </c>
    </row>
    <row r="131" spans="2:38" hidden="1" x14ac:dyDescent="0.2">
      <c r="B131" s="22">
        <v>43559</v>
      </c>
      <c r="C131" s="23">
        <v>12</v>
      </c>
      <c r="D131" s="82" t="s">
        <v>893</v>
      </c>
      <c r="E131" s="23"/>
      <c r="F131" s="24" t="s">
        <v>1002</v>
      </c>
      <c r="G131" s="24" t="s">
        <v>908</v>
      </c>
      <c r="H131" s="24" t="s">
        <v>932</v>
      </c>
      <c r="I131" s="23">
        <v>1</v>
      </c>
      <c r="J131" s="23">
        <v>420</v>
      </c>
      <c r="K131" s="23">
        <v>1.2</v>
      </c>
      <c r="L131" s="51">
        <v>1</v>
      </c>
      <c r="M131" s="51">
        <v>420</v>
      </c>
      <c r="N131" s="51">
        <v>1.2</v>
      </c>
      <c r="O131" s="31" t="s">
        <v>970</v>
      </c>
      <c r="P131" s="24" t="s">
        <v>951</v>
      </c>
      <c r="Q131" s="23" t="s">
        <v>952</v>
      </c>
      <c r="R131" s="83" t="s">
        <v>953</v>
      </c>
      <c r="T131" s="23" t="str">
        <f>表1_8[[#This Row],[客户编号]]</f>
        <v>YJCSHAN190480212</v>
      </c>
      <c r="U131" s="23" t="str">
        <f>表1_8[[#This Row],[MASTER B/L]]</f>
        <v>DJSCSHBMVE90744N</v>
      </c>
      <c r="V131" s="23">
        <f>表1_8[[#This Row],[件]]</f>
        <v>1</v>
      </c>
      <c r="W131" s="23">
        <f>表1_8[[#This Row],[毛]]</f>
        <v>420</v>
      </c>
      <c r="X131" s="23">
        <f>表1_8[[#This Row],[体]]</f>
        <v>1.2</v>
      </c>
      <c r="Y131" s="31" t="str">
        <f>表1_8[[#This Row],[品名]]</f>
        <v>GRAPHITE</v>
      </c>
      <c r="Z131" s="31" t="str">
        <f>RIGHT(表1_8[[#This Row],[编]],4)</f>
        <v>40HQ</v>
      </c>
      <c r="AA131" s="23" t="str">
        <f>表1_8[[#This Row],[箱号]]</f>
        <v>DJLU5157997</v>
      </c>
      <c r="AB131" s="25" t="str">
        <f>表1_8[[#This Row],[封号]]</f>
        <v>719467</v>
      </c>
      <c r="AC131" s="23">
        <f>表2[[#This Row],[件]]</f>
        <v>1</v>
      </c>
      <c r="AD131" s="23">
        <f>表2[[#This Row],[毛]]</f>
        <v>420</v>
      </c>
      <c r="AE131" s="23">
        <f>表2[[#This Row],[体]]</f>
        <v>1.2</v>
      </c>
      <c r="AG131" s="23" t="str">
        <f>表1_8[[#This Row],[HOUSE B/L]]</f>
        <v>YJCSHAN1905153</v>
      </c>
      <c r="AH131" s="23" t="str">
        <f>表1_8[[#This Row],[MASTER B/L]]</f>
        <v>DJSCSHBMVE90744N</v>
      </c>
      <c r="AI131" s="23" t="str">
        <f>"ETD"&amp;TEXT(表1_8[[#This Row],[ETD]],"mmdd")&amp;" "&amp;表1_8[[#This Row],[HOUSE B/L]]&amp;" "&amp;表1_8[[#This Row],[MASTER B/L]]&amp;" CHECK BL"</f>
        <v>ETD0404 YJCSHAN1905153 DJSCSHBMVE90744N CHECK BL</v>
      </c>
      <c r="AJ131" s="23" t="str">
        <f>"ETD"&amp;TEXT(表1_8[[#This Row],[ETD]],"mmdd")&amp;" "&amp;表1_8[[#This Row],[HOUSE B/L]]&amp;" "&amp;表1_8[[#This Row],[MASTER B/L]]&amp;" 报关单"</f>
        <v>ETD0404 YJCSHAN1905153 DJSCSHBMVE90744N 报关单</v>
      </c>
      <c r="AK131" s="23" t="str">
        <f>"ETD"&amp;TEXT(表1_8[[#This Row],[ETD]],"mmdd")&amp;" "&amp;表1_8[[#This Row],[HOUSE B/L]]&amp;" "&amp;表1_8[[#This Row],[MASTER B/L]]&amp;" 放行单"</f>
        <v>ETD0404 YJCSHAN1905153 DJSCSHBMVE90744N 放行单</v>
      </c>
      <c r="AL131" s="23" t="str">
        <f>"ETD"&amp;TEXT(表1_8[[#This Row],[ETD]],"mmdd")&amp;" "&amp;表1_8[[#This Row],[HOUSE B/L]]&amp;" "&amp;表1_8[[#This Row],[MASTER B/L]]&amp;" SURRENDERED BL"</f>
        <v>ETD0404 YJCSHAN1905153 DJSCSHBMVE90744N SURRENDERED BL</v>
      </c>
    </row>
    <row r="132" spans="2:38" ht="72" hidden="1" x14ac:dyDescent="0.2">
      <c r="B132" s="22">
        <v>43559</v>
      </c>
      <c r="C132" s="23">
        <v>7</v>
      </c>
      <c r="D132" s="82" t="s">
        <v>889</v>
      </c>
      <c r="E132" s="23"/>
      <c r="F132" s="24" t="s">
        <v>997</v>
      </c>
      <c r="G132" s="24" t="s">
        <v>963</v>
      </c>
      <c r="H132" s="24" t="s">
        <v>927</v>
      </c>
      <c r="I132" s="23">
        <v>14</v>
      </c>
      <c r="J132" s="23">
        <v>1660.51</v>
      </c>
      <c r="K132" s="23">
        <v>11.4</v>
      </c>
      <c r="L132" s="51">
        <v>14</v>
      </c>
      <c r="M132" s="51">
        <v>1660.51</v>
      </c>
      <c r="N132" s="51">
        <v>11.4</v>
      </c>
      <c r="O132" s="31" t="s">
        <v>964</v>
      </c>
      <c r="P132" s="24" t="s">
        <v>987</v>
      </c>
      <c r="Q132" s="23" t="s">
        <v>988</v>
      </c>
      <c r="R132" s="25" t="s">
        <v>989</v>
      </c>
      <c r="T132" s="23" t="str">
        <f>表1_8[[#This Row],[客户编号]]</f>
        <v>YJCSHAN190479707</v>
      </c>
      <c r="U132" s="23" t="str">
        <f>表1_8[[#This Row],[MASTER B/L]]</f>
        <v>DJSCSHBMVE90744H</v>
      </c>
      <c r="V132" s="23">
        <f>表1_8[[#This Row],[件]]</f>
        <v>14</v>
      </c>
      <c r="W132" s="23">
        <f>表1_8[[#This Row],[毛]]</f>
        <v>1660.51</v>
      </c>
      <c r="X132" s="23">
        <f>表1_8[[#This Row],[体]]</f>
        <v>11.4</v>
      </c>
      <c r="Y132" s="31" t="str">
        <f>表1_8[[#This Row],[品名]]</f>
        <v>2015 RENAULT M0/R0-15/X98 RADIO
2013 RENAULT X82(1DIN)
2013 RENAULT X07 RADIO
2013 RENAULT RADIO
2013 RENAULT X82 2DIN
ME_X07RBL_REMOVABLE</v>
      </c>
      <c r="Z132" s="31" t="str">
        <f>RIGHT(表1_8[[#This Row],[编]],4)</f>
        <v>40HQ</v>
      </c>
      <c r="AA132" s="23" t="str">
        <f>表1_8[[#This Row],[箱号]]</f>
        <v>TEMU7742943</v>
      </c>
      <c r="AB132" s="25" t="str">
        <f>表1_8[[#This Row],[封号]]</f>
        <v>719227</v>
      </c>
      <c r="AC132" s="23">
        <f>表2[[#This Row],[件]]</f>
        <v>14</v>
      </c>
      <c r="AD132" s="23">
        <f>表2[[#This Row],[毛]]</f>
        <v>1660.51</v>
      </c>
      <c r="AE132" s="23">
        <f>表2[[#This Row],[体]]</f>
        <v>11.4</v>
      </c>
      <c r="AG132" s="23" t="str">
        <f>表1_8[[#This Row],[HOUSE B/L]]</f>
        <v>YJCSHAN1905083</v>
      </c>
      <c r="AH132" s="23" t="str">
        <f>表1_8[[#This Row],[MASTER B/L]]</f>
        <v>DJSCSHBMVE90744H</v>
      </c>
      <c r="AI132" s="23" t="str">
        <f>"ETD"&amp;TEXT(表1_8[[#This Row],[ETD]],"mmdd")&amp;" "&amp;表1_8[[#This Row],[HOUSE B/L]]&amp;" "&amp;表1_8[[#This Row],[MASTER B/L]]&amp;" CHECK BL"</f>
        <v>ETD0404 YJCSHAN1905083 DJSCSHBMVE90744H CHECK BL</v>
      </c>
      <c r="AJ132" s="23" t="str">
        <f>"ETD"&amp;TEXT(表1_8[[#This Row],[ETD]],"mmdd")&amp;" "&amp;表1_8[[#This Row],[HOUSE B/L]]&amp;" "&amp;表1_8[[#This Row],[MASTER B/L]]&amp;" 报关单"</f>
        <v>ETD0404 YJCSHAN1905083 DJSCSHBMVE90744H 报关单</v>
      </c>
      <c r="AK132" s="23" t="str">
        <f>"ETD"&amp;TEXT(表1_8[[#This Row],[ETD]],"mmdd")&amp;" "&amp;表1_8[[#This Row],[HOUSE B/L]]&amp;" "&amp;表1_8[[#This Row],[MASTER B/L]]&amp;" 放行单"</f>
        <v>ETD0404 YJCSHAN1905083 DJSCSHBMVE90744H 放行单</v>
      </c>
      <c r="AL132" s="23" t="str">
        <f>"ETD"&amp;TEXT(表1_8[[#This Row],[ETD]],"mmdd")&amp;" "&amp;表1_8[[#This Row],[HOUSE B/L]]&amp;" "&amp;表1_8[[#This Row],[MASTER B/L]]&amp;" SURRENDERED BL"</f>
        <v>ETD0404 YJCSHAN1905083 DJSCSHBMVE90744H SURRENDERED BL</v>
      </c>
    </row>
    <row r="133" spans="2:38" ht="24" hidden="1" x14ac:dyDescent="0.2">
      <c r="B133" s="22">
        <v>43559</v>
      </c>
      <c r="C133" s="23">
        <v>8</v>
      </c>
      <c r="D133" s="82" t="s">
        <v>93</v>
      </c>
      <c r="E133" s="23"/>
      <c r="F133" s="24" t="s">
        <v>998</v>
      </c>
      <c r="G133" s="24" t="s">
        <v>905</v>
      </c>
      <c r="H133" s="24" t="s">
        <v>928</v>
      </c>
      <c r="I133" s="23">
        <v>1</v>
      </c>
      <c r="J133" s="23">
        <v>353</v>
      </c>
      <c r="K133" s="23">
        <v>0.9</v>
      </c>
      <c r="L133" s="51">
        <v>1</v>
      </c>
      <c r="M133" s="51">
        <v>353</v>
      </c>
      <c r="N133" s="51">
        <v>0.9</v>
      </c>
      <c r="O133" s="31" t="s">
        <v>962</v>
      </c>
      <c r="P133" s="24" t="s">
        <v>980</v>
      </c>
      <c r="Q133" s="23" t="s">
        <v>981</v>
      </c>
      <c r="R133" s="25" t="s">
        <v>982</v>
      </c>
      <c r="T133" s="23" t="str">
        <f>表1_8[[#This Row],[客户编号]]</f>
        <v>YJCSHAN190479808</v>
      </c>
      <c r="U133" s="23" t="str">
        <f>表1_8[[#This Row],[MASTER B/L]]</f>
        <v>DJSCSHBMVE90744J</v>
      </c>
      <c r="V133" s="23">
        <f>表1_8[[#This Row],[件]]</f>
        <v>1</v>
      </c>
      <c r="W133" s="23">
        <f>表1_8[[#This Row],[毛]]</f>
        <v>353</v>
      </c>
      <c r="X133" s="23">
        <f>表1_8[[#This Row],[体]]</f>
        <v>0.9</v>
      </c>
      <c r="Y133" s="31" t="str">
        <f>表1_8[[#This Row],[品名]]</f>
        <v>BALL BEARING
WASHER-PLAIN</v>
      </c>
      <c r="Z133" s="31" t="str">
        <f>RIGHT(表1_8[[#This Row],[编]],4)</f>
        <v>20GP</v>
      </c>
      <c r="AA133" s="23" t="str">
        <f>表1_8[[#This Row],[箱号]]</f>
        <v>PHRU2605784</v>
      </c>
      <c r="AB133" s="25" t="str">
        <f>表1_8[[#This Row],[封号]]</f>
        <v>719419</v>
      </c>
      <c r="AC133" s="23">
        <f>表2[[#This Row],[件]]</f>
        <v>1</v>
      </c>
      <c r="AD133" s="23">
        <f>表2[[#This Row],[毛]]</f>
        <v>353</v>
      </c>
      <c r="AE133" s="23">
        <f>表2[[#This Row],[体]]</f>
        <v>0.9</v>
      </c>
      <c r="AG133" s="23" t="str">
        <f>表1_8[[#This Row],[HOUSE B/L]]</f>
        <v>YJCSHAN1905106</v>
      </c>
      <c r="AH133" s="23" t="str">
        <f>表1_8[[#This Row],[MASTER B/L]]</f>
        <v>DJSCSHBMVE90744J</v>
      </c>
      <c r="AI133" s="23" t="str">
        <f>"ETD"&amp;TEXT(表1_8[[#This Row],[ETD]],"mmdd")&amp;" "&amp;表1_8[[#This Row],[HOUSE B/L]]&amp;" "&amp;表1_8[[#This Row],[MASTER B/L]]&amp;" CHECK BL"</f>
        <v>ETD0404 YJCSHAN1905106 DJSCSHBMVE90744J CHECK BL</v>
      </c>
      <c r="AJ133" s="23" t="str">
        <f>"ETD"&amp;TEXT(表1_8[[#This Row],[ETD]],"mmdd")&amp;" "&amp;表1_8[[#This Row],[HOUSE B/L]]&amp;" "&amp;表1_8[[#This Row],[MASTER B/L]]&amp;" 报关单"</f>
        <v>ETD0404 YJCSHAN1905106 DJSCSHBMVE90744J 报关单</v>
      </c>
      <c r="AK133" s="23" t="str">
        <f>"ETD"&amp;TEXT(表1_8[[#This Row],[ETD]],"mmdd")&amp;" "&amp;表1_8[[#This Row],[HOUSE B/L]]&amp;" "&amp;表1_8[[#This Row],[MASTER B/L]]&amp;" 放行单"</f>
        <v>ETD0404 YJCSHAN1905106 DJSCSHBMVE90744J 放行单</v>
      </c>
      <c r="AL133" s="23" t="str">
        <f>"ETD"&amp;TEXT(表1_8[[#This Row],[ETD]],"mmdd")&amp;" "&amp;表1_8[[#This Row],[HOUSE B/L]]&amp;" "&amp;表1_8[[#This Row],[MASTER B/L]]&amp;" SURRENDERED BL"</f>
        <v>ETD0404 YJCSHAN1905106 DJSCSHBMVE90744J SURRENDERED BL</v>
      </c>
    </row>
    <row r="134" spans="2:38" hidden="1" x14ac:dyDescent="0.2">
      <c r="B134" s="22">
        <v>43559</v>
      </c>
      <c r="C134" s="23">
        <v>13</v>
      </c>
      <c r="D134" s="82" t="s">
        <v>893</v>
      </c>
      <c r="E134" s="23"/>
      <c r="F134" s="24" t="s">
        <v>1003</v>
      </c>
      <c r="G134" s="24" t="s">
        <v>909</v>
      </c>
      <c r="H134" s="24" t="s">
        <v>933</v>
      </c>
      <c r="I134" s="23">
        <v>1</v>
      </c>
      <c r="J134" s="23">
        <v>100</v>
      </c>
      <c r="K134" s="23">
        <v>0.24</v>
      </c>
      <c r="L134" s="51">
        <v>1</v>
      </c>
      <c r="M134" s="51">
        <v>100</v>
      </c>
      <c r="N134" s="51">
        <v>0.24</v>
      </c>
      <c r="O134" s="31" t="s">
        <v>970</v>
      </c>
      <c r="P134" s="24" t="s">
        <v>951</v>
      </c>
      <c r="Q134" s="23" t="s">
        <v>952</v>
      </c>
      <c r="R134" s="83" t="s">
        <v>953</v>
      </c>
      <c r="T134" s="23" t="str">
        <f>表1_8[[#This Row],[客户编号]]</f>
        <v>YJCSHAN190480313</v>
      </c>
      <c r="U134" s="23" t="str">
        <f>表1_8[[#This Row],[MASTER B/L]]</f>
        <v>DJSCSHBMVE90744P</v>
      </c>
      <c r="V134" s="23">
        <f>表1_8[[#This Row],[件]]</f>
        <v>1</v>
      </c>
      <c r="W134" s="23">
        <f>表1_8[[#This Row],[毛]]</f>
        <v>100</v>
      </c>
      <c r="X134" s="23">
        <f>表1_8[[#This Row],[体]]</f>
        <v>0.24</v>
      </c>
      <c r="Y134" s="31" t="str">
        <f>表1_8[[#This Row],[品名]]</f>
        <v>GRAPHITE</v>
      </c>
      <c r="Z134" s="31" t="str">
        <f>RIGHT(表1_8[[#This Row],[编]],4)</f>
        <v>40HQ</v>
      </c>
      <c r="AA134" s="23" t="str">
        <f>表1_8[[#This Row],[箱号]]</f>
        <v>DJLU5157997</v>
      </c>
      <c r="AB134" s="25" t="str">
        <f>表1_8[[#This Row],[封号]]</f>
        <v>719467</v>
      </c>
      <c r="AC134" s="23">
        <f>表2[[#This Row],[件]]</f>
        <v>1</v>
      </c>
      <c r="AD134" s="23">
        <f>表2[[#This Row],[毛]]</f>
        <v>100</v>
      </c>
      <c r="AE134" s="23">
        <f>表2[[#This Row],[体]]</f>
        <v>0.24</v>
      </c>
      <c r="AG134" s="23" t="str">
        <f>表1_8[[#This Row],[HOUSE B/L]]</f>
        <v>YJCSHAN1905154</v>
      </c>
      <c r="AH134" s="23" t="str">
        <f>表1_8[[#This Row],[MASTER B/L]]</f>
        <v>DJSCSHBMVE90744P</v>
      </c>
      <c r="AI134" s="23" t="str">
        <f>"ETD"&amp;TEXT(表1_8[[#This Row],[ETD]],"mmdd")&amp;" "&amp;表1_8[[#This Row],[HOUSE B/L]]&amp;" "&amp;表1_8[[#This Row],[MASTER B/L]]&amp;" CHECK BL"</f>
        <v>ETD0404 YJCSHAN1905154 DJSCSHBMVE90744P CHECK BL</v>
      </c>
      <c r="AJ134" s="23" t="str">
        <f>"ETD"&amp;TEXT(表1_8[[#This Row],[ETD]],"mmdd")&amp;" "&amp;表1_8[[#This Row],[HOUSE B/L]]&amp;" "&amp;表1_8[[#This Row],[MASTER B/L]]&amp;" 报关单"</f>
        <v>ETD0404 YJCSHAN1905154 DJSCSHBMVE90744P 报关单</v>
      </c>
      <c r="AK134" s="23" t="str">
        <f>"ETD"&amp;TEXT(表1_8[[#This Row],[ETD]],"mmdd")&amp;" "&amp;表1_8[[#This Row],[HOUSE B/L]]&amp;" "&amp;表1_8[[#This Row],[MASTER B/L]]&amp;" 放行单"</f>
        <v>ETD0404 YJCSHAN1905154 DJSCSHBMVE90744P 放行单</v>
      </c>
      <c r="AL134" s="23" t="str">
        <f>"ETD"&amp;TEXT(表1_8[[#This Row],[ETD]],"mmdd")&amp;" "&amp;表1_8[[#This Row],[HOUSE B/L]]&amp;" "&amp;表1_8[[#This Row],[MASTER B/L]]&amp;" SURRENDERED BL"</f>
        <v>ETD0404 YJCSHAN1905154 DJSCSHBMVE90744P SURRENDERED BL</v>
      </c>
    </row>
    <row r="135" spans="2:38" hidden="1" x14ac:dyDescent="0.2">
      <c r="B135" s="22">
        <v>43559</v>
      </c>
      <c r="C135" s="23">
        <v>10</v>
      </c>
      <c r="D135" s="82" t="s">
        <v>891</v>
      </c>
      <c r="E135" s="23"/>
      <c r="F135" s="24" t="s">
        <v>1000</v>
      </c>
      <c r="G135" s="24" t="s">
        <v>907</v>
      </c>
      <c r="H135" s="24" t="s">
        <v>930</v>
      </c>
      <c r="I135" s="23">
        <v>2</v>
      </c>
      <c r="J135" s="23">
        <v>1080</v>
      </c>
      <c r="K135" s="23">
        <v>2.16</v>
      </c>
      <c r="L135" s="51">
        <v>2</v>
      </c>
      <c r="M135" s="51">
        <v>1080</v>
      </c>
      <c r="N135" s="51">
        <v>2.16</v>
      </c>
      <c r="O135" s="31" t="s">
        <v>961</v>
      </c>
      <c r="P135" s="24" t="s">
        <v>980</v>
      </c>
      <c r="Q135" s="23" t="s">
        <v>981</v>
      </c>
      <c r="R135" s="25" t="s">
        <v>982</v>
      </c>
      <c r="T135" s="23" t="str">
        <f>表1_8[[#This Row],[客户编号]]</f>
        <v>YJCSHAN190480010</v>
      </c>
      <c r="U135" s="23" t="str">
        <f>表1_8[[#This Row],[MASTER B/L]]</f>
        <v>DJSCSHBMVE90744L</v>
      </c>
      <c r="V135" s="23">
        <f>表1_8[[#This Row],[件]]</f>
        <v>2</v>
      </c>
      <c r="W135" s="23">
        <f>表1_8[[#This Row],[毛]]</f>
        <v>1080</v>
      </c>
      <c r="X135" s="23">
        <f>表1_8[[#This Row],[体]]</f>
        <v>2.16</v>
      </c>
      <c r="Y135" s="31" t="str">
        <f>表1_8[[#This Row],[品名]]</f>
        <v>HEATING ELEMENT</v>
      </c>
      <c r="Z135" s="31" t="str">
        <f>RIGHT(表1_8[[#This Row],[编]],4)</f>
        <v>20GP</v>
      </c>
      <c r="AA135" s="23" t="str">
        <f>表1_8[[#This Row],[箱号]]</f>
        <v>PHRU2605784</v>
      </c>
      <c r="AB135" s="25" t="str">
        <f>表1_8[[#This Row],[封号]]</f>
        <v>719419</v>
      </c>
      <c r="AC135" s="23">
        <f>表2[[#This Row],[件]]</f>
        <v>2</v>
      </c>
      <c r="AD135" s="23">
        <f>表2[[#This Row],[毛]]</f>
        <v>1080</v>
      </c>
      <c r="AE135" s="23">
        <f>表2[[#This Row],[体]]</f>
        <v>2.16</v>
      </c>
      <c r="AG135" s="23" t="str">
        <f>表1_8[[#This Row],[HOUSE B/L]]</f>
        <v>YJCSHAN1905178</v>
      </c>
      <c r="AH135" s="23" t="str">
        <f>表1_8[[#This Row],[MASTER B/L]]</f>
        <v>DJSCSHBMVE90744L</v>
      </c>
      <c r="AI135" s="23" t="str">
        <f>"ETD"&amp;TEXT(表1_8[[#This Row],[ETD]],"mmdd")&amp;" "&amp;表1_8[[#This Row],[HOUSE B/L]]&amp;" "&amp;表1_8[[#This Row],[MASTER B/L]]&amp;" CHECK BL"</f>
        <v>ETD0404 YJCSHAN1905178 DJSCSHBMVE90744L CHECK BL</v>
      </c>
      <c r="AJ135" s="23" t="str">
        <f>"ETD"&amp;TEXT(表1_8[[#This Row],[ETD]],"mmdd")&amp;" "&amp;表1_8[[#This Row],[HOUSE B/L]]&amp;" "&amp;表1_8[[#This Row],[MASTER B/L]]&amp;" 报关单"</f>
        <v>ETD0404 YJCSHAN1905178 DJSCSHBMVE90744L 报关单</v>
      </c>
      <c r="AK135" s="23" t="str">
        <f>"ETD"&amp;TEXT(表1_8[[#This Row],[ETD]],"mmdd")&amp;" "&amp;表1_8[[#This Row],[HOUSE B/L]]&amp;" "&amp;表1_8[[#This Row],[MASTER B/L]]&amp;" 放行单"</f>
        <v>ETD0404 YJCSHAN1905178 DJSCSHBMVE90744L 放行单</v>
      </c>
      <c r="AL135" s="23" t="str">
        <f>"ETD"&amp;TEXT(表1_8[[#This Row],[ETD]],"mmdd")&amp;" "&amp;表1_8[[#This Row],[HOUSE B/L]]&amp;" "&amp;表1_8[[#This Row],[MASTER B/L]]&amp;" SURRENDERED BL"</f>
        <v>ETD0404 YJCSHAN1905178 DJSCSHBMVE90744L SURRENDERED BL</v>
      </c>
    </row>
    <row r="136" spans="2:38" ht="24" hidden="1" x14ac:dyDescent="0.2">
      <c r="B136" s="22">
        <v>43559</v>
      </c>
      <c r="C136" s="23">
        <v>11</v>
      </c>
      <c r="D136" s="82" t="s">
        <v>892</v>
      </c>
      <c r="E136" s="23">
        <v>5179</v>
      </c>
      <c r="F136" s="24" t="s">
        <v>1001</v>
      </c>
      <c r="G136" s="24" t="s">
        <v>978</v>
      </c>
      <c r="H136" s="24" t="s">
        <v>931</v>
      </c>
      <c r="I136" s="23">
        <v>3</v>
      </c>
      <c r="J136" s="23">
        <v>685</v>
      </c>
      <c r="K136" s="23">
        <v>2.97</v>
      </c>
      <c r="L136" s="51">
        <v>3</v>
      </c>
      <c r="M136" s="51">
        <v>685</v>
      </c>
      <c r="N136" s="51">
        <v>2.97</v>
      </c>
      <c r="O136" s="31" t="s">
        <v>960</v>
      </c>
      <c r="P136" s="24" t="s">
        <v>987</v>
      </c>
      <c r="Q136" s="23" t="s">
        <v>988</v>
      </c>
      <c r="R136" s="25" t="s">
        <v>989</v>
      </c>
      <c r="T136" s="23" t="str">
        <f>表1_8[[#This Row],[客户编号]]</f>
        <v>YJCSHAN190480111</v>
      </c>
      <c r="U136" s="23" t="str">
        <f>表1_8[[#This Row],[MASTER B/L]]</f>
        <v>DJSCSHBMVE90744M</v>
      </c>
      <c r="V136" s="23">
        <f>表1_8[[#This Row],[件]]</f>
        <v>3</v>
      </c>
      <c r="W136" s="23">
        <f>表1_8[[#This Row],[毛]]</f>
        <v>685</v>
      </c>
      <c r="X136" s="23">
        <f>表1_8[[#This Row],[体]]</f>
        <v>2.97</v>
      </c>
      <c r="Y136" s="31" t="str">
        <f>表1_8[[#This Row],[品名]]</f>
        <v>ESCL SYSTEM
CLAMP</v>
      </c>
      <c r="Z136" s="31" t="str">
        <f>RIGHT(表1_8[[#This Row],[编]],4)</f>
        <v>40HQ</v>
      </c>
      <c r="AA136" s="23" t="str">
        <f>表1_8[[#This Row],[箱号]]</f>
        <v>TEMU7742943</v>
      </c>
      <c r="AB136" s="25" t="str">
        <f>表1_8[[#This Row],[封号]]</f>
        <v>719227</v>
      </c>
      <c r="AC136" s="23">
        <f>表2[[#This Row],[件]]</f>
        <v>3</v>
      </c>
      <c r="AD136" s="23">
        <f>表2[[#This Row],[毛]]</f>
        <v>685</v>
      </c>
      <c r="AE136" s="23">
        <f>表2[[#This Row],[体]]</f>
        <v>2.97</v>
      </c>
      <c r="AG136" s="23" t="str">
        <f>表1_8[[#This Row],[HOUSE B/L]]</f>
        <v>YJCSHAN1905179A</v>
      </c>
      <c r="AH136" s="23" t="str">
        <f>表1_8[[#This Row],[MASTER B/L]]</f>
        <v>DJSCSHBMVE90744M</v>
      </c>
      <c r="AI136" s="23" t="str">
        <f>"ETD"&amp;TEXT(表1_8[[#This Row],[ETD]],"mmdd")&amp;" "&amp;表1_8[[#This Row],[HOUSE B/L]]&amp;" "&amp;表1_8[[#This Row],[MASTER B/L]]&amp;" CHECK BL"</f>
        <v>ETD0404 YJCSHAN1905179A DJSCSHBMVE90744M CHECK BL</v>
      </c>
      <c r="AJ136" s="23" t="str">
        <f>"ETD"&amp;TEXT(表1_8[[#This Row],[ETD]],"mmdd")&amp;" "&amp;表1_8[[#This Row],[HOUSE B/L]]&amp;" "&amp;表1_8[[#This Row],[MASTER B/L]]&amp;" 报关单"</f>
        <v>ETD0404 YJCSHAN1905179A DJSCSHBMVE90744M 报关单</v>
      </c>
      <c r="AK136" s="23" t="str">
        <f>"ETD"&amp;TEXT(表1_8[[#This Row],[ETD]],"mmdd")&amp;" "&amp;表1_8[[#This Row],[HOUSE B/L]]&amp;" "&amp;表1_8[[#This Row],[MASTER B/L]]&amp;" 放行单"</f>
        <v>ETD0404 YJCSHAN1905179A DJSCSHBMVE90744M 放行单</v>
      </c>
      <c r="AL136" s="23" t="str">
        <f>"ETD"&amp;TEXT(表1_8[[#This Row],[ETD]],"mmdd")&amp;" "&amp;表1_8[[#This Row],[HOUSE B/L]]&amp;" "&amp;表1_8[[#This Row],[MASTER B/L]]&amp;" SURRENDERED BL"</f>
        <v>ETD0404 YJCSHAN1905179A DJSCSHBMVE90744M SURRENDERED BL</v>
      </c>
    </row>
    <row r="137" spans="2:38" hidden="1" x14ac:dyDescent="0.2">
      <c r="B137" s="22">
        <v>43559</v>
      </c>
      <c r="C137" s="23">
        <v>9</v>
      </c>
      <c r="D137" s="82" t="s">
        <v>890</v>
      </c>
      <c r="E137" s="23"/>
      <c r="F137" s="24" t="s">
        <v>999</v>
      </c>
      <c r="G137" s="24" t="s">
        <v>906</v>
      </c>
      <c r="H137" s="24" t="s">
        <v>929</v>
      </c>
      <c r="I137" s="23">
        <v>2</v>
      </c>
      <c r="J137" s="23">
        <v>581.20000000000005</v>
      </c>
      <c r="K137" s="23">
        <v>3.44</v>
      </c>
      <c r="L137" s="51">
        <v>2</v>
      </c>
      <c r="M137" s="51">
        <v>581.20000000000005</v>
      </c>
      <c r="N137" s="51">
        <v>3.44</v>
      </c>
      <c r="O137" s="31" t="s">
        <v>971</v>
      </c>
      <c r="P137" s="24" t="s">
        <v>951</v>
      </c>
      <c r="Q137" s="23" t="s">
        <v>952</v>
      </c>
      <c r="R137" s="83" t="s">
        <v>953</v>
      </c>
      <c r="T137" s="23" t="str">
        <f>表1_8[[#This Row],[客户编号]]</f>
        <v>YJCSHAN190479909</v>
      </c>
      <c r="U137" s="23" t="str">
        <f>表1_8[[#This Row],[MASTER B/L]]</f>
        <v>DJSCSHBMVE90744K</v>
      </c>
      <c r="V137" s="23">
        <f>表1_8[[#This Row],[件]]</f>
        <v>2</v>
      </c>
      <c r="W137" s="23">
        <f>表1_8[[#This Row],[毛]]</f>
        <v>581.20000000000005</v>
      </c>
      <c r="X137" s="23">
        <f>表1_8[[#This Row],[体]]</f>
        <v>3.44</v>
      </c>
      <c r="Y137" s="31" t="str">
        <f>表1_8[[#This Row],[品名]]</f>
        <v>TONNEAU COVER</v>
      </c>
      <c r="Z137" s="31" t="str">
        <f>RIGHT(表1_8[[#This Row],[编]],4)</f>
        <v>40HQ</v>
      </c>
      <c r="AA137" s="23" t="str">
        <f>表1_8[[#This Row],[箱号]]</f>
        <v>DJLU5157997</v>
      </c>
      <c r="AB137" s="25" t="str">
        <f>表1_8[[#This Row],[封号]]</f>
        <v>719467</v>
      </c>
      <c r="AC137" s="23">
        <f>表2[[#This Row],[件]]</f>
        <v>2</v>
      </c>
      <c r="AD137" s="23">
        <f>表2[[#This Row],[毛]]</f>
        <v>581.20000000000005</v>
      </c>
      <c r="AE137" s="23">
        <f>表2[[#This Row],[体]]</f>
        <v>3.44</v>
      </c>
      <c r="AG137" s="23" t="str">
        <f>表1_8[[#This Row],[HOUSE B/L]]</f>
        <v>YJCSHAN1905177</v>
      </c>
      <c r="AH137" s="23" t="str">
        <f>表1_8[[#This Row],[MASTER B/L]]</f>
        <v>DJSCSHBMVE90744K</v>
      </c>
      <c r="AI137" s="23" t="str">
        <f>"ETD"&amp;TEXT(表1_8[[#This Row],[ETD]],"mmdd")&amp;" "&amp;表1_8[[#This Row],[HOUSE B/L]]&amp;" "&amp;表1_8[[#This Row],[MASTER B/L]]&amp;" CHECK BL"</f>
        <v>ETD0404 YJCSHAN1905177 DJSCSHBMVE90744K CHECK BL</v>
      </c>
      <c r="AJ137" s="23" t="str">
        <f>"ETD"&amp;TEXT(表1_8[[#This Row],[ETD]],"mmdd")&amp;" "&amp;表1_8[[#This Row],[HOUSE B/L]]&amp;" "&amp;表1_8[[#This Row],[MASTER B/L]]&amp;" 报关单"</f>
        <v>ETD0404 YJCSHAN1905177 DJSCSHBMVE90744K 报关单</v>
      </c>
      <c r="AK137" s="23" t="str">
        <f>"ETD"&amp;TEXT(表1_8[[#This Row],[ETD]],"mmdd")&amp;" "&amp;表1_8[[#This Row],[HOUSE B/L]]&amp;" "&amp;表1_8[[#This Row],[MASTER B/L]]&amp;" 放行单"</f>
        <v>ETD0404 YJCSHAN1905177 DJSCSHBMVE90744K 放行单</v>
      </c>
      <c r="AL137" s="23" t="str">
        <f>"ETD"&amp;TEXT(表1_8[[#This Row],[ETD]],"mmdd")&amp;" "&amp;表1_8[[#This Row],[HOUSE B/L]]&amp;" "&amp;表1_8[[#This Row],[MASTER B/L]]&amp;" SURRENDERED BL"</f>
        <v>ETD0404 YJCSHAN1905177 DJSCSHBMVE90744K SURRENDERED BL</v>
      </c>
    </row>
    <row r="138" spans="2:38" ht="84" hidden="1" x14ac:dyDescent="0.2">
      <c r="B138" s="22">
        <v>43559</v>
      </c>
      <c r="C138" s="23">
        <v>15</v>
      </c>
      <c r="D138" s="82" t="s">
        <v>885</v>
      </c>
      <c r="E138" s="23">
        <v>4791</v>
      </c>
      <c r="F138" s="24" t="s">
        <v>1005</v>
      </c>
      <c r="G138" s="24" t="s">
        <v>911</v>
      </c>
      <c r="H138" s="24" t="s">
        <v>935</v>
      </c>
      <c r="I138" s="23">
        <v>63</v>
      </c>
      <c r="J138" s="23">
        <v>262.45999999999998</v>
      </c>
      <c r="K138" s="23">
        <v>4.93</v>
      </c>
      <c r="L138" s="51">
        <v>3</v>
      </c>
      <c r="M138" s="51">
        <v>262.45999999999998</v>
      </c>
      <c r="N138" s="51">
        <v>4.93</v>
      </c>
      <c r="O138" s="31" t="s">
        <v>969</v>
      </c>
      <c r="P138" s="24" t="s">
        <v>951</v>
      </c>
      <c r="Q138" s="23" t="s">
        <v>952</v>
      </c>
      <c r="R138" s="83" t="s">
        <v>953</v>
      </c>
      <c r="T138" s="23" t="str">
        <f>表1_8[[#This Row],[客户编号]]</f>
        <v>YJCSHAN190480515</v>
      </c>
      <c r="U138" s="23" t="str">
        <f>表1_8[[#This Row],[MASTER B/L]]</f>
        <v>DJSCSHBMVE90744R</v>
      </c>
      <c r="V138" s="23">
        <f>表1_8[[#This Row],[件]]</f>
        <v>63</v>
      </c>
      <c r="W138" s="23">
        <f>表1_8[[#This Row],[毛]]</f>
        <v>262.45999999999998</v>
      </c>
      <c r="X138" s="23">
        <f>表1_8[[#This Row],[体]]</f>
        <v>4.93</v>
      </c>
      <c r="Y138" s="31" t="str">
        <f>表1_8[[#This Row],[品名]]</f>
        <v>GUIDE S/A P-BUTTON
BUTTON S/A -PARK
GUIDE -I/L BUTTON
BUTTON S/A -I/L
LINER -I/L BUTTON
KNOB S/A -CAP
C1UL MCM BEZEL S/A</v>
      </c>
      <c r="Z138" s="31" t="str">
        <f>RIGHT(表1_8[[#This Row],[编]],4)</f>
        <v>40HQ</v>
      </c>
      <c r="AA138" s="23" t="str">
        <f>表1_8[[#This Row],[箱号]]</f>
        <v>DJLU5157997</v>
      </c>
      <c r="AB138" s="25" t="str">
        <f>表1_8[[#This Row],[封号]]</f>
        <v>719467</v>
      </c>
      <c r="AC138" s="23">
        <f>表2[[#This Row],[件]]</f>
        <v>63</v>
      </c>
      <c r="AD138" s="23">
        <f>表2[[#This Row],[毛]]</f>
        <v>262.45999999999998</v>
      </c>
      <c r="AE138" s="23">
        <f>表2[[#This Row],[体]]</f>
        <v>4.93</v>
      </c>
      <c r="AG138" s="23" t="str">
        <f>表1_8[[#This Row],[HOUSE B/L]]</f>
        <v>YJCSHAN1905211</v>
      </c>
      <c r="AH138" s="23" t="str">
        <f>表1_8[[#This Row],[MASTER B/L]]</f>
        <v>DJSCSHBMVE90744R</v>
      </c>
      <c r="AI138" s="23" t="str">
        <f>"ETD"&amp;TEXT(表1_8[[#This Row],[ETD]],"mmdd")&amp;" "&amp;表1_8[[#This Row],[HOUSE B/L]]&amp;" "&amp;表1_8[[#This Row],[MASTER B/L]]&amp;" CHECK BL"</f>
        <v>ETD0404 YJCSHAN1905211 DJSCSHBMVE90744R CHECK BL</v>
      </c>
      <c r="AJ138" s="23" t="str">
        <f>"ETD"&amp;TEXT(表1_8[[#This Row],[ETD]],"mmdd")&amp;" "&amp;表1_8[[#This Row],[HOUSE B/L]]&amp;" "&amp;表1_8[[#This Row],[MASTER B/L]]&amp;" 报关单"</f>
        <v>ETD0404 YJCSHAN1905211 DJSCSHBMVE90744R 报关单</v>
      </c>
      <c r="AK138" s="23" t="str">
        <f>"ETD"&amp;TEXT(表1_8[[#This Row],[ETD]],"mmdd")&amp;" "&amp;表1_8[[#This Row],[HOUSE B/L]]&amp;" "&amp;表1_8[[#This Row],[MASTER B/L]]&amp;" 放行单"</f>
        <v>ETD0404 YJCSHAN1905211 DJSCSHBMVE90744R 放行单</v>
      </c>
      <c r="AL138" s="23" t="str">
        <f>"ETD"&amp;TEXT(表1_8[[#This Row],[ETD]],"mmdd")&amp;" "&amp;表1_8[[#This Row],[HOUSE B/L]]&amp;" "&amp;表1_8[[#This Row],[MASTER B/L]]&amp;" SURRENDERED BL"</f>
        <v>ETD0404 YJCSHAN1905211 DJSCSHBMVE90744R SURRENDERED BL</v>
      </c>
    </row>
    <row r="139" spans="2:38" ht="36" hidden="1" x14ac:dyDescent="0.2">
      <c r="B139" s="22">
        <v>43559</v>
      </c>
      <c r="C139" s="23">
        <v>14</v>
      </c>
      <c r="D139" s="82" t="s">
        <v>894</v>
      </c>
      <c r="E139" s="23">
        <v>5183</v>
      </c>
      <c r="F139" s="24" t="s">
        <v>1004</v>
      </c>
      <c r="G139" s="24" t="s">
        <v>910</v>
      </c>
      <c r="H139" s="24" t="s">
        <v>934</v>
      </c>
      <c r="I139" s="23">
        <v>50</v>
      </c>
      <c r="J139" s="23">
        <v>180</v>
      </c>
      <c r="K139" s="23">
        <v>1.28</v>
      </c>
      <c r="L139" s="51">
        <v>50</v>
      </c>
      <c r="M139" s="51">
        <v>180</v>
      </c>
      <c r="N139" s="51">
        <v>1.28</v>
      </c>
      <c r="O139" s="31" t="s">
        <v>958</v>
      </c>
      <c r="P139" s="24" t="s">
        <v>987</v>
      </c>
      <c r="Q139" s="23" t="s">
        <v>988</v>
      </c>
      <c r="R139" s="25" t="s">
        <v>989</v>
      </c>
      <c r="T139" s="23" t="str">
        <f>表1_8[[#This Row],[客户编号]]</f>
        <v>YJCSHAN190480414</v>
      </c>
      <c r="U139" s="23" t="str">
        <f>表1_8[[#This Row],[MASTER B/L]]</f>
        <v>DJSCSHBMVE90744Q</v>
      </c>
      <c r="V139" s="23">
        <f>表1_8[[#This Row],[件]]</f>
        <v>50</v>
      </c>
      <c r="W139" s="23">
        <f>表1_8[[#This Row],[毛]]</f>
        <v>180</v>
      </c>
      <c r="X139" s="23">
        <f>表1_8[[#This Row],[体]]</f>
        <v>1.28</v>
      </c>
      <c r="Y139" s="31" t="str">
        <f>表1_8[[#This Row],[品名]]</f>
        <v>EMBEDDED COMPUTER
FLASH MEMORY CARD
CONNECTOR</v>
      </c>
      <c r="Z139" s="31" t="str">
        <f>RIGHT(表1_8[[#This Row],[编]],4)</f>
        <v>40HQ</v>
      </c>
      <c r="AA139" s="23" t="str">
        <f>表1_8[[#This Row],[箱号]]</f>
        <v>TEMU7742943</v>
      </c>
      <c r="AB139" s="25" t="str">
        <f>表1_8[[#This Row],[封号]]</f>
        <v>719227</v>
      </c>
      <c r="AC139" s="23">
        <f>表2[[#This Row],[件]]</f>
        <v>50</v>
      </c>
      <c r="AD139" s="23">
        <f>表2[[#This Row],[毛]]</f>
        <v>180</v>
      </c>
      <c r="AE139" s="23">
        <f>表2[[#This Row],[体]]</f>
        <v>1.28</v>
      </c>
      <c r="AG139" s="23" t="str">
        <f>表1_8[[#This Row],[HOUSE B/L]]</f>
        <v>YJCSHAN1905183</v>
      </c>
      <c r="AH139" s="23" t="str">
        <f>表1_8[[#This Row],[MASTER B/L]]</f>
        <v>DJSCSHBMVE90744Q</v>
      </c>
      <c r="AI139" s="23" t="str">
        <f>"ETD"&amp;TEXT(表1_8[[#This Row],[ETD]],"mmdd")&amp;" "&amp;表1_8[[#This Row],[HOUSE B/L]]&amp;" "&amp;表1_8[[#This Row],[MASTER B/L]]&amp;" CHECK BL"</f>
        <v>ETD0404 YJCSHAN1905183 DJSCSHBMVE90744Q CHECK BL</v>
      </c>
      <c r="AJ139" s="23" t="str">
        <f>"ETD"&amp;TEXT(表1_8[[#This Row],[ETD]],"mmdd")&amp;" "&amp;表1_8[[#This Row],[HOUSE B/L]]&amp;" "&amp;表1_8[[#This Row],[MASTER B/L]]&amp;" 报关单"</f>
        <v>ETD0404 YJCSHAN1905183 DJSCSHBMVE90744Q 报关单</v>
      </c>
      <c r="AK139" s="23" t="str">
        <f>"ETD"&amp;TEXT(表1_8[[#This Row],[ETD]],"mmdd")&amp;" "&amp;表1_8[[#This Row],[HOUSE B/L]]&amp;" "&amp;表1_8[[#This Row],[MASTER B/L]]&amp;" 放行单"</f>
        <v>ETD0404 YJCSHAN1905183 DJSCSHBMVE90744Q 放行单</v>
      </c>
      <c r="AL139" s="23" t="str">
        <f>"ETD"&amp;TEXT(表1_8[[#This Row],[ETD]],"mmdd")&amp;" "&amp;表1_8[[#This Row],[HOUSE B/L]]&amp;" "&amp;表1_8[[#This Row],[MASTER B/L]]&amp;" SURRENDERED BL"</f>
        <v>ETD0404 YJCSHAN1905183 DJSCSHBMVE90744Q SURRENDERED BL</v>
      </c>
    </row>
    <row r="140" spans="2:38" hidden="1" x14ac:dyDescent="0.2">
      <c r="B140" s="22">
        <v>43559</v>
      </c>
      <c r="C140" s="23">
        <v>16</v>
      </c>
      <c r="D140" s="82" t="s">
        <v>885</v>
      </c>
      <c r="E140" s="23">
        <v>4791</v>
      </c>
      <c r="F140" s="24" t="s">
        <v>1006</v>
      </c>
      <c r="G140" s="24" t="s">
        <v>912</v>
      </c>
      <c r="H140" s="24" t="s">
        <v>936</v>
      </c>
      <c r="I140" s="23">
        <v>2</v>
      </c>
      <c r="J140" s="23">
        <v>271</v>
      </c>
      <c r="K140" s="23">
        <v>2.72</v>
      </c>
      <c r="L140" s="51">
        <v>2</v>
      </c>
      <c r="M140" s="51">
        <v>271</v>
      </c>
      <c r="N140" s="51">
        <v>2.72</v>
      </c>
      <c r="O140" s="31" t="s">
        <v>968</v>
      </c>
      <c r="P140" s="24" t="s">
        <v>951</v>
      </c>
      <c r="Q140" s="23" t="s">
        <v>952</v>
      </c>
      <c r="R140" s="83" t="s">
        <v>953</v>
      </c>
      <c r="T140" s="23" t="str">
        <f>表1_8[[#This Row],[客户编号]]</f>
        <v>YJCSHAN190480616</v>
      </c>
      <c r="U140" s="23" t="str">
        <f>表1_8[[#This Row],[MASTER B/L]]</f>
        <v>DJSCSHBMVE90744S</v>
      </c>
      <c r="V140" s="23">
        <f>表1_8[[#This Row],[件]]</f>
        <v>2</v>
      </c>
      <c r="W140" s="23">
        <f>表1_8[[#This Row],[毛]]</f>
        <v>271</v>
      </c>
      <c r="X140" s="23">
        <f>表1_8[[#This Row],[体]]</f>
        <v>2.72</v>
      </c>
      <c r="Y140" s="31" t="str">
        <f>表1_8[[#This Row],[品名]]</f>
        <v>E2SC MY19 CNSL</v>
      </c>
      <c r="Z140" s="31" t="str">
        <f>RIGHT(表1_8[[#This Row],[编]],4)</f>
        <v>40HQ</v>
      </c>
      <c r="AA140" s="23" t="str">
        <f>表1_8[[#This Row],[箱号]]</f>
        <v>DJLU5157997</v>
      </c>
      <c r="AB140" s="25" t="str">
        <f>表1_8[[#This Row],[封号]]</f>
        <v>719467</v>
      </c>
      <c r="AC140" s="23">
        <f>表2[[#This Row],[件]]</f>
        <v>2</v>
      </c>
      <c r="AD140" s="23">
        <f>表2[[#This Row],[毛]]</f>
        <v>271</v>
      </c>
      <c r="AE140" s="23">
        <f>表2[[#This Row],[体]]</f>
        <v>2.72</v>
      </c>
      <c r="AG140" s="23" t="str">
        <f>表1_8[[#This Row],[HOUSE B/L]]</f>
        <v>YJCSHAN1905213</v>
      </c>
      <c r="AH140" s="23" t="str">
        <f>表1_8[[#This Row],[MASTER B/L]]</f>
        <v>DJSCSHBMVE90744S</v>
      </c>
      <c r="AI140" s="23" t="str">
        <f>"ETD"&amp;TEXT(表1_8[[#This Row],[ETD]],"mmdd")&amp;" "&amp;表1_8[[#This Row],[HOUSE B/L]]&amp;" "&amp;表1_8[[#This Row],[MASTER B/L]]&amp;" CHECK BL"</f>
        <v>ETD0404 YJCSHAN1905213 DJSCSHBMVE90744S CHECK BL</v>
      </c>
      <c r="AJ140" s="23" t="str">
        <f>"ETD"&amp;TEXT(表1_8[[#This Row],[ETD]],"mmdd")&amp;" "&amp;表1_8[[#This Row],[HOUSE B/L]]&amp;" "&amp;表1_8[[#This Row],[MASTER B/L]]&amp;" 报关单"</f>
        <v>ETD0404 YJCSHAN1905213 DJSCSHBMVE90744S 报关单</v>
      </c>
      <c r="AK140" s="23" t="str">
        <f>"ETD"&amp;TEXT(表1_8[[#This Row],[ETD]],"mmdd")&amp;" "&amp;表1_8[[#This Row],[HOUSE B/L]]&amp;" "&amp;表1_8[[#This Row],[MASTER B/L]]&amp;" 放行单"</f>
        <v>ETD0404 YJCSHAN1905213 DJSCSHBMVE90744S 放行单</v>
      </c>
      <c r="AL140" s="23" t="str">
        <f>"ETD"&amp;TEXT(表1_8[[#This Row],[ETD]],"mmdd")&amp;" "&amp;表1_8[[#This Row],[HOUSE B/L]]&amp;" "&amp;表1_8[[#This Row],[MASTER B/L]]&amp;" SURRENDERED BL"</f>
        <v>ETD0404 YJCSHAN1905213 DJSCSHBMVE90744S SURRENDERED BL</v>
      </c>
    </row>
    <row r="141" spans="2:38" hidden="1" x14ac:dyDescent="0.2">
      <c r="B141" s="22">
        <v>43559</v>
      </c>
      <c r="C141" s="23">
        <v>18</v>
      </c>
      <c r="D141" s="82" t="s">
        <v>49</v>
      </c>
      <c r="E141" s="23"/>
      <c r="F141" s="24" t="s">
        <v>1008</v>
      </c>
      <c r="G141" s="24" t="s">
        <v>914</v>
      </c>
      <c r="H141" s="24" t="s">
        <v>938</v>
      </c>
      <c r="I141" s="23">
        <v>23</v>
      </c>
      <c r="J141" s="23">
        <v>257</v>
      </c>
      <c r="K141" s="23">
        <v>0.67</v>
      </c>
      <c r="L141" s="51">
        <v>1</v>
      </c>
      <c r="M141" s="51">
        <v>257</v>
      </c>
      <c r="N141" s="51">
        <v>0.67</v>
      </c>
      <c r="O141" s="31" t="s">
        <v>967</v>
      </c>
      <c r="P141" s="24" t="s">
        <v>951</v>
      </c>
      <c r="Q141" s="23" t="s">
        <v>952</v>
      </c>
      <c r="R141" s="83" t="s">
        <v>953</v>
      </c>
      <c r="T141" s="23" t="str">
        <f>表1_8[[#This Row],[客户编号]]</f>
        <v>YJCSHAN190480818</v>
      </c>
      <c r="U141" s="23" t="str">
        <f>表1_8[[#This Row],[MASTER B/L]]</f>
        <v>DJSCSHBMVE90744U</v>
      </c>
      <c r="V141" s="23">
        <f>表1_8[[#This Row],[件]]</f>
        <v>23</v>
      </c>
      <c r="W141" s="23">
        <f>表1_8[[#This Row],[毛]]</f>
        <v>257</v>
      </c>
      <c r="X141" s="23">
        <f>表1_8[[#This Row],[体]]</f>
        <v>0.67</v>
      </c>
      <c r="Y141" s="31" t="str">
        <f>表1_8[[#This Row],[品名]]</f>
        <v>SHIM</v>
      </c>
      <c r="Z141" s="31" t="str">
        <f>RIGHT(表1_8[[#This Row],[编]],4)</f>
        <v>40HQ</v>
      </c>
      <c r="AA141" s="23" t="str">
        <f>表1_8[[#This Row],[箱号]]</f>
        <v>DJLU5157997</v>
      </c>
      <c r="AB141" s="25" t="str">
        <f>表1_8[[#This Row],[封号]]</f>
        <v>719467</v>
      </c>
      <c r="AC141" s="23">
        <f>表2[[#This Row],[件]]</f>
        <v>23</v>
      </c>
      <c r="AD141" s="23">
        <f>表2[[#This Row],[毛]]</f>
        <v>257</v>
      </c>
      <c r="AE141" s="23">
        <f>表2[[#This Row],[体]]</f>
        <v>0.67</v>
      </c>
      <c r="AG141" s="23" t="str">
        <f>表1_8[[#This Row],[HOUSE B/L]]</f>
        <v>YJCSHAN1905217</v>
      </c>
      <c r="AH141" s="23" t="str">
        <f>表1_8[[#This Row],[MASTER B/L]]</f>
        <v>DJSCSHBMVE90744U</v>
      </c>
      <c r="AI141" s="23" t="str">
        <f>"ETD"&amp;TEXT(表1_8[[#This Row],[ETD]],"mmdd")&amp;" "&amp;表1_8[[#This Row],[HOUSE B/L]]&amp;" "&amp;表1_8[[#This Row],[MASTER B/L]]&amp;" CHECK BL"</f>
        <v>ETD0404 YJCSHAN1905217 DJSCSHBMVE90744U CHECK BL</v>
      </c>
      <c r="AJ141" s="23" t="str">
        <f>"ETD"&amp;TEXT(表1_8[[#This Row],[ETD]],"mmdd")&amp;" "&amp;表1_8[[#This Row],[HOUSE B/L]]&amp;" "&amp;表1_8[[#This Row],[MASTER B/L]]&amp;" 报关单"</f>
        <v>ETD0404 YJCSHAN1905217 DJSCSHBMVE90744U 报关单</v>
      </c>
      <c r="AK141" s="23" t="str">
        <f>"ETD"&amp;TEXT(表1_8[[#This Row],[ETD]],"mmdd")&amp;" "&amp;表1_8[[#This Row],[HOUSE B/L]]&amp;" "&amp;表1_8[[#This Row],[MASTER B/L]]&amp;" 放行单"</f>
        <v>ETD0404 YJCSHAN1905217 DJSCSHBMVE90744U 放行单</v>
      </c>
      <c r="AL141" s="23" t="str">
        <f>"ETD"&amp;TEXT(表1_8[[#This Row],[ETD]],"mmdd")&amp;" "&amp;表1_8[[#This Row],[HOUSE B/L]]&amp;" "&amp;表1_8[[#This Row],[MASTER B/L]]&amp;" SURRENDERED BL"</f>
        <v>ETD0404 YJCSHAN1905217 DJSCSHBMVE90744U SURRENDERED BL</v>
      </c>
    </row>
    <row r="142" spans="2:38" ht="36" hidden="1" x14ac:dyDescent="0.2">
      <c r="B142" s="22">
        <v>43559</v>
      </c>
      <c r="C142" s="23">
        <v>17</v>
      </c>
      <c r="D142" s="82" t="s">
        <v>895</v>
      </c>
      <c r="E142" s="23"/>
      <c r="F142" s="24" t="s">
        <v>1007</v>
      </c>
      <c r="G142" s="24" t="s">
        <v>913</v>
      </c>
      <c r="H142" s="24" t="s">
        <v>937</v>
      </c>
      <c r="I142" s="23">
        <v>3</v>
      </c>
      <c r="J142" s="23">
        <v>1914</v>
      </c>
      <c r="K142" s="23">
        <v>2.2200000000000002</v>
      </c>
      <c r="L142" s="51">
        <v>3</v>
      </c>
      <c r="M142" s="51">
        <v>1914</v>
      </c>
      <c r="N142" s="51">
        <v>2.2200000000000002</v>
      </c>
      <c r="O142" s="31" t="s">
        <v>959</v>
      </c>
      <c r="P142" s="24" t="s">
        <v>987</v>
      </c>
      <c r="Q142" s="23" t="s">
        <v>988</v>
      </c>
      <c r="R142" s="25" t="s">
        <v>989</v>
      </c>
      <c r="T142" s="23" t="str">
        <f>表1_8[[#This Row],[客户编号]]</f>
        <v>YJCSHAN190480717</v>
      </c>
      <c r="U142" s="23" t="str">
        <f>表1_8[[#This Row],[MASTER B/L]]</f>
        <v>DJSCSHBMVE90744T</v>
      </c>
      <c r="V142" s="23">
        <f>表1_8[[#This Row],[件]]</f>
        <v>3</v>
      </c>
      <c r="W142" s="23">
        <f>表1_8[[#This Row],[毛]]</f>
        <v>1914</v>
      </c>
      <c r="X142" s="23">
        <f>表1_8[[#This Row],[体]]</f>
        <v>2.2200000000000002</v>
      </c>
      <c r="Y142" s="31" t="str">
        <f>表1_8[[#This Row],[品名]]</f>
        <v>PAD KIT-FRONT DISC BRAKE
CALIPER ASSY-BRAKE, W/O PAD RH
HARDWARE KIT-FR DISC BRAKE</v>
      </c>
      <c r="Z142" s="31" t="str">
        <f>RIGHT(表1_8[[#This Row],[编]],4)</f>
        <v>40HQ</v>
      </c>
      <c r="AA142" s="23" t="str">
        <f>表1_8[[#This Row],[箱号]]</f>
        <v>TEMU7742943</v>
      </c>
      <c r="AB142" s="25" t="str">
        <f>表1_8[[#This Row],[封号]]</f>
        <v>719227</v>
      </c>
      <c r="AC142" s="23">
        <f>表2[[#This Row],[件]]</f>
        <v>3</v>
      </c>
      <c r="AD142" s="23">
        <f>表2[[#This Row],[毛]]</f>
        <v>1914</v>
      </c>
      <c r="AE142" s="23">
        <f>表2[[#This Row],[体]]</f>
        <v>2.2200000000000002</v>
      </c>
      <c r="AG142" s="23" t="str">
        <f>表1_8[[#This Row],[HOUSE B/L]]</f>
        <v>YJCSHAN1905216</v>
      </c>
      <c r="AH142" s="23" t="str">
        <f>表1_8[[#This Row],[MASTER B/L]]</f>
        <v>DJSCSHBMVE90744T</v>
      </c>
      <c r="AI142" s="23" t="str">
        <f>"ETD"&amp;TEXT(表1_8[[#This Row],[ETD]],"mmdd")&amp;" "&amp;表1_8[[#This Row],[HOUSE B/L]]&amp;" "&amp;表1_8[[#This Row],[MASTER B/L]]&amp;" CHECK BL"</f>
        <v>ETD0404 YJCSHAN1905216 DJSCSHBMVE90744T CHECK BL</v>
      </c>
      <c r="AJ142" s="23" t="str">
        <f>"ETD"&amp;TEXT(表1_8[[#This Row],[ETD]],"mmdd")&amp;" "&amp;表1_8[[#This Row],[HOUSE B/L]]&amp;" "&amp;表1_8[[#This Row],[MASTER B/L]]&amp;" 报关单"</f>
        <v>ETD0404 YJCSHAN1905216 DJSCSHBMVE90744T 报关单</v>
      </c>
      <c r="AK142" s="23" t="str">
        <f>"ETD"&amp;TEXT(表1_8[[#This Row],[ETD]],"mmdd")&amp;" "&amp;表1_8[[#This Row],[HOUSE B/L]]&amp;" "&amp;表1_8[[#This Row],[MASTER B/L]]&amp;" 放行单"</f>
        <v>ETD0404 YJCSHAN1905216 DJSCSHBMVE90744T 放行单</v>
      </c>
      <c r="AL142" s="23" t="str">
        <f>"ETD"&amp;TEXT(表1_8[[#This Row],[ETD]],"mmdd")&amp;" "&amp;表1_8[[#This Row],[HOUSE B/L]]&amp;" "&amp;表1_8[[#This Row],[MASTER B/L]]&amp;" SURRENDERED BL"</f>
        <v>ETD0404 YJCSHAN1905216 DJSCSHBMVE90744T SURRENDERED BL</v>
      </c>
    </row>
    <row r="143" spans="2:38" ht="36" hidden="1" x14ac:dyDescent="0.2">
      <c r="B143" s="22">
        <v>43559</v>
      </c>
      <c r="C143" s="23">
        <v>26</v>
      </c>
      <c r="D143" s="82" t="s">
        <v>175</v>
      </c>
      <c r="E143" s="23"/>
      <c r="F143" s="24" t="s">
        <v>996</v>
      </c>
      <c r="G143" s="24" t="s">
        <v>919</v>
      </c>
      <c r="H143" s="24" t="s">
        <v>944</v>
      </c>
      <c r="I143" s="23">
        <v>1</v>
      </c>
      <c r="J143" s="23">
        <v>352.73</v>
      </c>
      <c r="K143" s="23">
        <v>0.8</v>
      </c>
      <c r="L143" s="51">
        <v>1</v>
      </c>
      <c r="M143" s="51">
        <v>352.73</v>
      </c>
      <c r="N143" s="51">
        <v>0.8</v>
      </c>
      <c r="O143" s="31" t="s">
        <v>648</v>
      </c>
      <c r="P143" s="24" t="s">
        <v>951</v>
      </c>
      <c r="Q143" s="23" t="s">
        <v>952</v>
      </c>
      <c r="R143" s="83" t="s">
        <v>953</v>
      </c>
      <c r="T143" s="23" t="str">
        <f>表1_8[[#This Row],[客户编号]]</f>
        <v>YJCSHAN190479606</v>
      </c>
      <c r="U143" s="23" t="str">
        <f>表1_8[[#This Row],[MASTER B/L]]</f>
        <v>DJSCSHBMVE90744G</v>
      </c>
      <c r="V143" s="23">
        <f>表1_8[[#This Row],[件]]</f>
        <v>1</v>
      </c>
      <c r="W143" s="23">
        <f>表1_8[[#This Row],[毛]]</f>
        <v>352.73</v>
      </c>
      <c r="X143" s="23">
        <f>表1_8[[#This Row],[体]]</f>
        <v>0.8</v>
      </c>
      <c r="Y143" s="31" t="str">
        <f>表1_8[[#This Row],[品名]]</f>
        <v>ASSY CAP SHAFT
BAF &amp; CAF PP</v>
      </c>
      <c r="Z143" s="31" t="str">
        <f>RIGHT(表1_8[[#This Row],[编]],4)</f>
        <v>40HQ</v>
      </c>
      <c r="AA143" s="23" t="str">
        <f>表1_8[[#This Row],[箱号]]</f>
        <v>DJLU5157997</v>
      </c>
      <c r="AB143" s="25" t="str">
        <f>表1_8[[#This Row],[封号]]</f>
        <v>719467</v>
      </c>
      <c r="AC143" s="23">
        <f>表2[[#This Row],[件]]</f>
        <v>1</v>
      </c>
      <c r="AD143" s="23">
        <f>表2[[#This Row],[毛]]</f>
        <v>352.73</v>
      </c>
      <c r="AE143" s="23">
        <f>表2[[#This Row],[体]]</f>
        <v>0.8</v>
      </c>
      <c r="AG143" s="23" t="str">
        <f>表1_8[[#This Row],[HOUSE B/L]]</f>
        <v>YJCSHAN1905304</v>
      </c>
      <c r="AH143" s="23" t="str">
        <f>表1_8[[#This Row],[MASTER B/L]]</f>
        <v>DJSCSHBMVE90744G</v>
      </c>
      <c r="AI143" s="23" t="str">
        <f>"ETD"&amp;TEXT(表1_8[[#This Row],[ETD]],"mmdd")&amp;" "&amp;表1_8[[#This Row],[HOUSE B/L]]&amp;" "&amp;表1_8[[#This Row],[MASTER B/L]]&amp;" CHECK BL"</f>
        <v>ETD0404 YJCSHAN1905304 DJSCSHBMVE90744G CHECK BL</v>
      </c>
      <c r="AJ143" s="23" t="str">
        <f>"ETD"&amp;TEXT(表1_8[[#This Row],[ETD]],"mmdd")&amp;" "&amp;表1_8[[#This Row],[HOUSE B/L]]&amp;" "&amp;表1_8[[#This Row],[MASTER B/L]]&amp;" 报关单"</f>
        <v>ETD0404 YJCSHAN1905304 DJSCSHBMVE90744G 报关单</v>
      </c>
      <c r="AK143" s="23" t="str">
        <f>"ETD"&amp;TEXT(表1_8[[#This Row],[ETD]],"mmdd")&amp;" "&amp;表1_8[[#This Row],[HOUSE B/L]]&amp;" "&amp;表1_8[[#This Row],[MASTER B/L]]&amp;" 放行单"</f>
        <v>ETD0404 YJCSHAN1905304 DJSCSHBMVE90744G 放行单</v>
      </c>
      <c r="AL143" s="23" t="str">
        <f>"ETD"&amp;TEXT(表1_8[[#This Row],[ETD]],"mmdd")&amp;" "&amp;表1_8[[#This Row],[HOUSE B/L]]&amp;" "&amp;表1_8[[#This Row],[MASTER B/L]]&amp;" SURRENDERED BL"</f>
        <v>ETD0404 YJCSHAN1905304 DJSCSHBMVE90744G SURRENDERED BL</v>
      </c>
    </row>
    <row r="144" spans="2:38" ht="24" hidden="1" x14ac:dyDescent="0.2">
      <c r="B144" s="22">
        <v>43559</v>
      </c>
      <c r="C144" s="23">
        <v>19</v>
      </c>
      <c r="D144" s="82" t="s">
        <v>896</v>
      </c>
      <c r="E144" s="23"/>
      <c r="F144" s="24" t="s">
        <v>1009</v>
      </c>
      <c r="G144" s="24" t="s">
        <v>915</v>
      </c>
      <c r="H144" s="24" t="s">
        <v>939</v>
      </c>
      <c r="I144" s="23">
        <v>1</v>
      </c>
      <c r="J144" s="23">
        <v>220</v>
      </c>
      <c r="K144" s="23">
        <v>0.44</v>
      </c>
      <c r="L144" s="51">
        <v>1</v>
      </c>
      <c r="M144" s="51">
        <v>220</v>
      </c>
      <c r="N144" s="51">
        <v>0.44</v>
      </c>
      <c r="O144" s="31" t="s">
        <v>976</v>
      </c>
      <c r="P144" s="23" t="s">
        <v>950</v>
      </c>
      <c r="Q144" s="23" t="s">
        <v>948</v>
      </c>
      <c r="R144" s="25" t="s">
        <v>949</v>
      </c>
      <c r="T144" s="23" t="str">
        <f>表1_8[[#This Row],[客户编号]]</f>
        <v>YJCSHAN190480919</v>
      </c>
      <c r="U144" s="23" t="str">
        <f>表1_8[[#This Row],[MASTER B/L]]</f>
        <v>DJSCSHBMVE90744V</v>
      </c>
      <c r="V144" s="23">
        <f>表1_8[[#This Row],[件]]</f>
        <v>1</v>
      </c>
      <c r="W144" s="23">
        <f>表1_8[[#This Row],[毛]]</f>
        <v>220</v>
      </c>
      <c r="X144" s="23">
        <f>表1_8[[#This Row],[体]]</f>
        <v>0.44</v>
      </c>
      <c r="Y144" s="31" t="str">
        <f>表1_8[[#This Row],[品名]]</f>
        <v>HANGER
PROFILE</v>
      </c>
      <c r="Z144" s="31" t="str">
        <f>RIGHT(表1_8[[#This Row],[编]],4)</f>
        <v>40HQ</v>
      </c>
      <c r="AA144" s="23" t="str">
        <f>表1_8[[#This Row],[箱号]]</f>
        <v>BEAU4630345</v>
      </c>
      <c r="AB144" s="25" t="str">
        <f>表1_8[[#This Row],[封号]]</f>
        <v>DJSC719335</v>
      </c>
      <c r="AC144" s="23">
        <f>表2[[#This Row],[件]]</f>
        <v>1</v>
      </c>
      <c r="AD144" s="23">
        <f>表2[[#This Row],[毛]]</f>
        <v>220</v>
      </c>
      <c r="AE144" s="23">
        <f>表2[[#This Row],[体]]</f>
        <v>0.44</v>
      </c>
      <c r="AG144" s="23" t="str">
        <f>表1_8[[#This Row],[HOUSE B/L]]</f>
        <v>YJCSHAN1905229</v>
      </c>
      <c r="AH144" s="23" t="str">
        <f>表1_8[[#This Row],[MASTER B/L]]</f>
        <v>DJSCSHBMVE90744V</v>
      </c>
      <c r="AI144" s="23" t="str">
        <f>"ETD"&amp;TEXT(表1_8[[#This Row],[ETD]],"mmdd")&amp;" "&amp;表1_8[[#This Row],[HOUSE B/L]]&amp;" "&amp;表1_8[[#This Row],[MASTER B/L]]&amp;" CHECK BL"</f>
        <v>ETD0404 YJCSHAN1905229 DJSCSHBMVE90744V CHECK BL</v>
      </c>
      <c r="AJ144" s="23" t="str">
        <f>"ETD"&amp;TEXT(表1_8[[#This Row],[ETD]],"mmdd")&amp;" "&amp;表1_8[[#This Row],[HOUSE B/L]]&amp;" "&amp;表1_8[[#This Row],[MASTER B/L]]&amp;" 报关单"</f>
        <v>ETD0404 YJCSHAN1905229 DJSCSHBMVE90744V 报关单</v>
      </c>
      <c r="AK144" s="23" t="str">
        <f>"ETD"&amp;TEXT(表1_8[[#This Row],[ETD]],"mmdd")&amp;" "&amp;表1_8[[#This Row],[HOUSE B/L]]&amp;" "&amp;表1_8[[#This Row],[MASTER B/L]]&amp;" 放行单"</f>
        <v>ETD0404 YJCSHAN1905229 DJSCSHBMVE90744V 放行单</v>
      </c>
      <c r="AL144" s="23" t="str">
        <f>"ETD"&amp;TEXT(表1_8[[#This Row],[ETD]],"mmdd")&amp;" "&amp;表1_8[[#This Row],[HOUSE B/L]]&amp;" "&amp;表1_8[[#This Row],[MASTER B/L]]&amp;" SURRENDERED BL"</f>
        <v>ETD0404 YJCSHAN1905229 DJSCSHBMVE90744V SURRENDERED BL</v>
      </c>
    </row>
    <row r="145" spans="2:38" ht="36" hidden="1" x14ac:dyDescent="0.2">
      <c r="B145" s="22">
        <v>43559</v>
      </c>
      <c r="C145" s="23">
        <v>20</v>
      </c>
      <c r="D145" s="82" t="s">
        <v>894</v>
      </c>
      <c r="E145" s="23">
        <v>5183</v>
      </c>
      <c r="F145" s="24" t="s">
        <v>1010</v>
      </c>
      <c r="G145" s="24" t="s">
        <v>910</v>
      </c>
      <c r="H145" s="24" t="s">
        <v>940</v>
      </c>
      <c r="I145" s="23">
        <v>1</v>
      </c>
      <c r="J145" s="23">
        <v>1.5</v>
      </c>
      <c r="K145" s="23">
        <v>0.26</v>
      </c>
      <c r="L145" s="51">
        <v>1</v>
      </c>
      <c r="M145" s="51">
        <v>1.5</v>
      </c>
      <c r="N145" s="51">
        <v>0.26</v>
      </c>
      <c r="O145" s="31" t="s">
        <v>958</v>
      </c>
      <c r="P145" s="24" t="s">
        <v>987</v>
      </c>
      <c r="Q145" s="23" t="s">
        <v>988</v>
      </c>
      <c r="R145" s="25" t="s">
        <v>989</v>
      </c>
      <c r="T145" s="23" t="str">
        <f>表1_8[[#This Row],[客户编号]]</f>
        <v>YJCSHAN190481020</v>
      </c>
      <c r="U145" s="23" t="str">
        <f>表1_8[[#This Row],[MASTER B/L]]</f>
        <v>DJSCSHBMVE90744W</v>
      </c>
      <c r="V145" s="23">
        <f>表1_8[[#This Row],[件]]</f>
        <v>1</v>
      </c>
      <c r="W145" s="23">
        <f>表1_8[[#This Row],[毛]]</f>
        <v>1.5</v>
      </c>
      <c r="X145" s="23">
        <f>表1_8[[#This Row],[体]]</f>
        <v>0.26</v>
      </c>
      <c r="Y145" s="31" t="str">
        <f>表1_8[[#This Row],[品名]]</f>
        <v>EMBEDDED COMPUTER
FLASH MEMORY CARD
CONNECTOR</v>
      </c>
      <c r="Z145" s="31" t="str">
        <f>RIGHT(表1_8[[#This Row],[编]],4)</f>
        <v>40HQ</v>
      </c>
      <c r="AA145" s="23" t="str">
        <f>表1_8[[#This Row],[箱号]]</f>
        <v>TEMU7742943</v>
      </c>
      <c r="AB145" s="25" t="str">
        <f>表1_8[[#This Row],[封号]]</f>
        <v>719227</v>
      </c>
      <c r="AC145" s="23">
        <f>表2[[#This Row],[件]]</f>
        <v>1</v>
      </c>
      <c r="AD145" s="23">
        <f>表2[[#This Row],[毛]]</f>
        <v>1.5</v>
      </c>
      <c r="AE145" s="23">
        <f>表2[[#This Row],[体]]</f>
        <v>0.26</v>
      </c>
      <c r="AG145" s="23" t="str">
        <f>表1_8[[#This Row],[HOUSE B/L]]</f>
        <v>YJCSHAN1905183</v>
      </c>
      <c r="AH145" s="23" t="str">
        <f>表1_8[[#This Row],[MASTER B/L]]</f>
        <v>DJSCSHBMVE90744W</v>
      </c>
      <c r="AI145" s="23" t="str">
        <f>"ETD"&amp;TEXT(表1_8[[#This Row],[ETD]],"mmdd")&amp;" "&amp;表1_8[[#This Row],[HOUSE B/L]]&amp;" "&amp;表1_8[[#This Row],[MASTER B/L]]&amp;" CHECK BL"</f>
        <v>ETD0404 YJCSHAN1905183 DJSCSHBMVE90744W CHECK BL</v>
      </c>
      <c r="AJ145" s="23" t="str">
        <f>"ETD"&amp;TEXT(表1_8[[#This Row],[ETD]],"mmdd")&amp;" "&amp;表1_8[[#This Row],[HOUSE B/L]]&amp;" "&amp;表1_8[[#This Row],[MASTER B/L]]&amp;" 报关单"</f>
        <v>ETD0404 YJCSHAN1905183 DJSCSHBMVE90744W 报关单</v>
      </c>
      <c r="AK145" s="23" t="str">
        <f>"ETD"&amp;TEXT(表1_8[[#This Row],[ETD]],"mmdd")&amp;" "&amp;表1_8[[#This Row],[HOUSE B/L]]&amp;" "&amp;表1_8[[#This Row],[MASTER B/L]]&amp;" 放行单"</f>
        <v>ETD0404 YJCSHAN1905183 DJSCSHBMVE90744W 放行单</v>
      </c>
      <c r="AL145" s="23" t="str">
        <f>"ETD"&amp;TEXT(表1_8[[#This Row],[ETD]],"mmdd")&amp;" "&amp;表1_8[[#This Row],[HOUSE B/L]]&amp;" "&amp;表1_8[[#This Row],[MASTER B/L]]&amp;" SURRENDERED BL"</f>
        <v>ETD0404 YJCSHAN1905183 DJSCSHBMVE90744W SURRENDERED BL</v>
      </c>
    </row>
    <row r="146" spans="2:38" hidden="1" x14ac:dyDescent="0.2">
      <c r="B146" s="22">
        <v>43559</v>
      </c>
      <c r="C146" s="23">
        <v>21</v>
      </c>
      <c r="D146" s="82" t="s">
        <v>897</v>
      </c>
      <c r="E146" s="23">
        <v>5179</v>
      </c>
      <c r="F146" s="24" t="s">
        <v>1011</v>
      </c>
      <c r="G146" s="24" t="s">
        <v>977</v>
      </c>
      <c r="H146" s="24" t="s">
        <v>941</v>
      </c>
      <c r="I146" s="23">
        <v>2</v>
      </c>
      <c r="J146" s="23">
        <v>576</v>
      </c>
      <c r="K146" s="23">
        <v>1.88</v>
      </c>
      <c r="L146" s="51">
        <v>2</v>
      </c>
      <c r="M146" s="51">
        <v>576</v>
      </c>
      <c r="N146" s="51">
        <v>1.88</v>
      </c>
      <c r="O146" s="31" t="s">
        <v>957</v>
      </c>
      <c r="P146" s="24" t="s">
        <v>987</v>
      </c>
      <c r="Q146" s="23" t="s">
        <v>988</v>
      </c>
      <c r="R146" s="25" t="s">
        <v>989</v>
      </c>
      <c r="T146" s="23" t="str">
        <f>表1_8[[#This Row],[客户编号]]</f>
        <v>YJCSHAN190481121</v>
      </c>
      <c r="U146" s="23" t="str">
        <f>表1_8[[#This Row],[MASTER B/L]]</f>
        <v>DJSCSHBMVE90744X</v>
      </c>
      <c r="V146" s="23">
        <f>表1_8[[#This Row],[件]]</f>
        <v>2</v>
      </c>
      <c r="W146" s="23">
        <f>表1_8[[#This Row],[毛]]</f>
        <v>576</v>
      </c>
      <c r="X146" s="23">
        <f>表1_8[[#This Row],[体]]</f>
        <v>1.88</v>
      </c>
      <c r="Y146" s="31" t="str">
        <f>表1_8[[#This Row],[品名]]</f>
        <v>SYMC Y290 CCR CAN8 AMP 2975/3190374</v>
      </c>
      <c r="Z146" s="31" t="str">
        <f>RIGHT(表1_8[[#This Row],[编]],4)</f>
        <v>40HQ</v>
      </c>
      <c r="AA146" s="23" t="str">
        <f>表1_8[[#This Row],[箱号]]</f>
        <v>TEMU7742943</v>
      </c>
      <c r="AB146" s="25" t="str">
        <f>表1_8[[#This Row],[封号]]</f>
        <v>719227</v>
      </c>
      <c r="AC146" s="23">
        <f>表2[[#This Row],[件]]</f>
        <v>2</v>
      </c>
      <c r="AD146" s="23">
        <f>表2[[#This Row],[毛]]</f>
        <v>576</v>
      </c>
      <c r="AE146" s="23">
        <f>表2[[#This Row],[体]]</f>
        <v>1.88</v>
      </c>
      <c r="AG146" s="23" t="str">
        <f>表1_8[[#This Row],[HOUSE B/L]]</f>
        <v>YJCSHAN1905255A</v>
      </c>
      <c r="AH146" s="23" t="str">
        <f>表1_8[[#This Row],[MASTER B/L]]</f>
        <v>DJSCSHBMVE90744X</v>
      </c>
      <c r="AI146" s="23" t="str">
        <f>"ETD"&amp;TEXT(表1_8[[#This Row],[ETD]],"mmdd")&amp;" "&amp;表1_8[[#This Row],[HOUSE B/L]]&amp;" "&amp;表1_8[[#This Row],[MASTER B/L]]&amp;" CHECK BL"</f>
        <v>ETD0404 YJCSHAN1905255A DJSCSHBMVE90744X CHECK BL</v>
      </c>
      <c r="AJ146" s="23" t="str">
        <f>"ETD"&amp;TEXT(表1_8[[#This Row],[ETD]],"mmdd")&amp;" "&amp;表1_8[[#This Row],[HOUSE B/L]]&amp;" "&amp;表1_8[[#This Row],[MASTER B/L]]&amp;" 报关单"</f>
        <v>ETD0404 YJCSHAN1905255A DJSCSHBMVE90744X 报关单</v>
      </c>
      <c r="AK146" s="23" t="str">
        <f>"ETD"&amp;TEXT(表1_8[[#This Row],[ETD]],"mmdd")&amp;" "&amp;表1_8[[#This Row],[HOUSE B/L]]&amp;" "&amp;表1_8[[#This Row],[MASTER B/L]]&amp;" 放行单"</f>
        <v>ETD0404 YJCSHAN1905255A DJSCSHBMVE90744X 放行单</v>
      </c>
      <c r="AL146" s="23" t="str">
        <f>"ETD"&amp;TEXT(表1_8[[#This Row],[ETD]],"mmdd")&amp;" "&amp;表1_8[[#This Row],[HOUSE B/L]]&amp;" "&amp;表1_8[[#This Row],[MASTER B/L]]&amp;" SURRENDERED BL"</f>
        <v>ETD0404 YJCSHAN1905255A DJSCSHBMVE90744X SURRENDERED BL</v>
      </c>
    </row>
    <row r="147" spans="2:38" hidden="1" x14ac:dyDescent="0.2">
      <c r="B147" s="22">
        <v>43559</v>
      </c>
      <c r="C147" s="23">
        <v>22</v>
      </c>
      <c r="D147" s="82" t="s">
        <v>172</v>
      </c>
      <c r="E147" s="23"/>
      <c r="F147" s="24" t="s">
        <v>1012</v>
      </c>
      <c r="G147" s="24" t="s">
        <v>916</v>
      </c>
      <c r="H147" s="24" t="s">
        <v>942</v>
      </c>
      <c r="I147" s="23">
        <v>105</v>
      </c>
      <c r="J147" s="23">
        <v>1574.91</v>
      </c>
      <c r="K147" s="23">
        <v>4.26</v>
      </c>
      <c r="L147" s="51">
        <v>3</v>
      </c>
      <c r="M147" s="51">
        <v>1574.91</v>
      </c>
      <c r="N147" s="51">
        <v>4.26</v>
      </c>
      <c r="O147" s="31" t="s">
        <v>956</v>
      </c>
      <c r="P147" s="24" t="s">
        <v>980</v>
      </c>
      <c r="Q147" s="23" t="s">
        <v>981</v>
      </c>
      <c r="R147" s="25" t="s">
        <v>982</v>
      </c>
      <c r="T147" s="23" t="str">
        <f>表1_8[[#This Row],[客户编号]]</f>
        <v>YJCSHAN190481222</v>
      </c>
      <c r="U147" s="23" t="str">
        <f>表1_8[[#This Row],[MASTER B/L]]</f>
        <v>DJSCSHBMVE90744Y</v>
      </c>
      <c r="V147" s="23">
        <f>表1_8[[#This Row],[件]]</f>
        <v>105</v>
      </c>
      <c r="W147" s="23">
        <f>表1_8[[#This Row],[毛]]</f>
        <v>1574.91</v>
      </c>
      <c r="X147" s="23">
        <f>表1_8[[#This Row],[体]]</f>
        <v>4.26</v>
      </c>
      <c r="Y147" s="31" t="str">
        <f>表1_8[[#This Row],[品名]]</f>
        <v>POWER SUPPLY CORD SETS</v>
      </c>
      <c r="Z147" s="31" t="str">
        <f>RIGHT(表1_8[[#This Row],[编]],4)</f>
        <v>20GP</v>
      </c>
      <c r="AA147" s="23" t="str">
        <f>表1_8[[#This Row],[箱号]]</f>
        <v>PHRU2605784</v>
      </c>
      <c r="AB147" s="25" t="str">
        <f>表1_8[[#This Row],[封号]]</f>
        <v>719419</v>
      </c>
      <c r="AC147" s="23">
        <f>表2[[#This Row],[件]]</f>
        <v>105</v>
      </c>
      <c r="AD147" s="23">
        <f>表2[[#This Row],[毛]]</f>
        <v>1574.91</v>
      </c>
      <c r="AE147" s="23">
        <f>表2[[#This Row],[体]]</f>
        <v>4.26</v>
      </c>
      <c r="AG147" s="23" t="str">
        <f>表1_8[[#This Row],[HOUSE B/L]]</f>
        <v>YJCSHAN1905268</v>
      </c>
      <c r="AH147" s="23" t="str">
        <f>表1_8[[#This Row],[MASTER B/L]]</f>
        <v>DJSCSHBMVE90744Y</v>
      </c>
      <c r="AI147" s="23" t="str">
        <f>"ETD"&amp;TEXT(表1_8[[#This Row],[ETD]],"mmdd")&amp;" "&amp;表1_8[[#This Row],[HOUSE B/L]]&amp;" "&amp;表1_8[[#This Row],[MASTER B/L]]&amp;" CHECK BL"</f>
        <v>ETD0404 YJCSHAN1905268 DJSCSHBMVE90744Y CHECK BL</v>
      </c>
      <c r="AJ147" s="23" t="str">
        <f>"ETD"&amp;TEXT(表1_8[[#This Row],[ETD]],"mmdd")&amp;" "&amp;表1_8[[#This Row],[HOUSE B/L]]&amp;" "&amp;表1_8[[#This Row],[MASTER B/L]]&amp;" 报关单"</f>
        <v>ETD0404 YJCSHAN1905268 DJSCSHBMVE90744Y 报关单</v>
      </c>
      <c r="AK147" s="23" t="str">
        <f>"ETD"&amp;TEXT(表1_8[[#This Row],[ETD]],"mmdd")&amp;" "&amp;表1_8[[#This Row],[HOUSE B/L]]&amp;" "&amp;表1_8[[#This Row],[MASTER B/L]]&amp;" 放行单"</f>
        <v>ETD0404 YJCSHAN1905268 DJSCSHBMVE90744Y 放行单</v>
      </c>
      <c r="AL147" s="23" t="str">
        <f>"ETD"&amp;TEXT(表1_8[[#This Row],[ETD]],"mmdd")&amp;" "&amp;表1_8[[#This Row],[HOUSE B/L]]&amp;" "&amp;表1_8[[#This Row],[MASTER B/L]]&amp;" SURRENDERED BL"</f>
        <v>ETD0404 YJCSHAN1905268 DJSCSHBMVE90744Y SURRENDERED BL</v>
      </c>
    </row>
    <row r="148" spans="2:38" hidden="1" x14ac:dyDescent="0.2">
      <c r="B148" s="22">
        <v>43559</v>
      </c>
      <c r="C148" s="23">
        <v>23</v>
      </c>
      <c r="D148" s="82" t="s">
        <v>885</v>
      </c>
      <c r="E148" s="23">
        <v>4847</v>
      </c>
      <c r="F148" s="24" t="s">
        <v>1013</v>
      </c>
      <c r="G148" s="24" t="s">
        <v>917</v>
      </c>
      <c r="H148" s="24" t="s">
        <v>943</v>
      </c>
      <c r="I148" s="23">
        <v>23</v>
      </c>
      <c r="J148" s="23">
        <v>1315</v>
      </c>
      <c r="K148" s="23">
        <v>32.33</v>
      </c>
      <c r="L148" s="51">
        <v>23</v>
      </c>
      <c r="M148" s="51">
        <v>1315</v>
      </c>
      <c r="N148" s="51">
        <v>32.33</v>
      </c>
      <c r="O148" s="31" t="s">
        <v>975</v>
      </c>
      <c r="P148" s="23" t="s">
        <v>950</v>
      </c>
      <c r="Q148" s="23" t="s">
        <v>948</v>
      </c>
      <c r="R148" s="25" t="s">
        <v>949</v>
      </c>
      <c r="T148" s="23" t="str">
        <f>表1_8[[#This Row],[客户编号]]</f>
        <v>YJCSHAN190481323</v>
      </c>
      <c r="U148" s="23" t="str">
        <f>表1_8[[#This Row],[MASTER B/L]]</f>
        <v>DJSCSHBMVE90744Z</v>
      </c>
      <c r="V148" s="23">
        <f>表1_8[[#This Row],[件]]</f>
        <v>23</v>
      </c>
      <c r="W148" s="23">
        <f>表1_8[[#This Row],[毛]]</f>
        <v>1315</v>
      </c>
      <c r="X148" s="23">
        <f>表1_8[[#This Row],[体]]</f>
        <v>32.33</v>
      </c>
      <c r="Y148" s="31" t="str">
        <f>表1_8[[#This Row],[品名]]</f>
        <v>AUTOMOTIVE BOOT SHIFTER</v>
      </c>
      <c r="Z148" s="31" t="str">
        <f>RIGHT(表1_8[[#This Row],[编]],4)</f>
        <v>40HQ</v>
      </c>
      <c r="AA148" s="23" t="str">
        <f>表1_8[[#This Row],[箱号]]</f>
        <v>BEAU4630345</v>
      </c>
      <c r="AB148" s="25" t="str">
        <f>表1_8[[#This Row],[封号]]</f>
        <v>DJSC719335</v>
      </c>
      <c r="AC148" s="23">
        <f>表2[[#This Row],[件]]</f>
        <v>23</v>
      </c>
      <c r="AD148" s="23">
        <f>表2[[#This Row],[毛]]</f>
        <v>1315</v>
      </c>
      <c r="AE148" s="23">
        <f>表2[[#This Row],[体]]</f>
        <v>32.33</v>
      </c>
      <c r="AG148" s="23" t="str">
        <f>表1_8[[#This Row],[HOUSE B/L]]</f>
        <v>YJCSHAN1905275</v>
      </c>
      <c r="AH148" s="23" t="str">
        <f>表1_8[[#This Row],[MASTER B/L]]</f>
        <v>DJSCSHBMVE90744Z</v>
      </c>
      <c r="AI148" s="23" t="str">
        <f>"ETD"&amp;TEXT(表1_8[[#This Row],[ETD]],"mmdd")&amp;" "&amp;表1_8[[#This Row],[HOUSE B/L]]&amp;" "&amp;表1_8[[#This Row],[MASTER B/L]]&amp;" CHECK BL"</f>
        <v>ETD0404 YJCSHAN1905275 DJSCSHBMVE90744Z CHECK BL</v>
      </c>
      <c r="AJ148" s="23" t="str">
        <f>"ETD"&amp;TEXT(表1_8[[#This Row],[ETD]],"mmdd")&amp;" "&amp;表1_8[[#This Row],[HOUSE B/L]]&amp;" "&amp;表1_8[[#This Row],[MASTER B/L]]&amp;" 报关单"</f>
        <v>ETD0404 YJCSHAN1905275 DJSCSHBMVE90744Z 报关单</v>
      </c>
      <c r="AK148" s="23" t="str">
        <f>"ETD"&amp;TEXT(表1_8[[#This Row],[ETD]],"mmdd")&amp;" "&amp;表1_8[[#This Row],[HOUSE B/L]]&amp;" "&amp;表1_8[[#This Row],[MASTER B/L]]&amp;" 放行单"</f>
        <v>ETD0404 YJCSHAN1905275 DJSCSHBMVE90744Z 放行单</v>
      </c>
      <c r="AL148" s="23" t="str">
        <f>"ETD"&amp;TEXT(表1_8[[#This Row],[ETD]],"mmdd")&amp;" "&amp;表1_8[[#This Row],[HOUSE B/L]]&amp;" "&amp;表1_8[[#This Row],[MASTER B/L]]&amp;" SURRENDERED BL"</f>
        <v>ETD0404 YJCSHAN1905275 DJSCSHBMVE90744Z SURRENDERED BL</v>
      </c>
    </row>
    <row r="149" spans="2:38" ht="36" hidden="1" x14ac:dyDescent="0.2">
      <c r="B149" s="22">
        <v>43559</v>
      </c>
      <c r="C149" s="23">
        <v>24</v>
      </c>
      <c r="D149" s="82" t="s">
        <v>885</v>
      </c>
      <c r="E149" s="23">
        <v>4847</v>
      </c>
      <c r="F149" s="24" t="s">
        <v>1014</v>
      </c>
      <c r="G149" s="24" t="s">
        <v>917</v>
      </c>
      <c r="H149" s="24" t="s">
        <v>945</v>
      </c>
      <c r="I149" s="23">
        <v>1</v>
      </c>
      <c r="J149" s="23">
        <v>261.5</v>
      </c>
      <c r="K149" s="23">
        <v>1.17</v>
      </c>
      <c r="L149" s="51">
        <v>1</v>
      </c>
      <c r="M149" s="51">
        <v>261.5</v>
      </c>
      <c r="N149" s="51">
        <v>1.17</v>
      </c>
      <c r="O149" s="31" t="s">
        <v>979</v>
      </c>
      <c r="P149" s="23" t="s">
        <v>950</v>
      </c>
      <c r="Q149" s="23" t="s">
        <v>948</v>
      </c>
      <c r="R149" s="25" t="s">
        <v>949</v>
      </c>
      <c r="T149" s="23" t="str">
        <f>表1_8[[#This Row],[客户编号]]</f>
        <v>YJCSHAN190481424</v>
      </c>
      <c r="U149" s="23" t="str">
        <f>表1_8[[#This Row],[MASTER B/L]]</f>
        <v>DJSCSHBMVE90745A</v>
      </c>
      <c r="V149" s="23">
        <f>表1_8[[#This Row],[件]]</f>
        <v>1</v>
      </c>
      <c r="W149" s="23">
        <f>表1_8[[#This Row],[毛]]</f>
        <v>261.5</v>
      </c>
      <c r="X149" s="23">
        <f>表1_8[[#This Row],[体]]</f>
        <v>1.17</v>
      </c>
      <c r="Y149" s="31" t="str">
        <f>表1_8[[#This Row],[品名]]</f>
        <v>AUTOMOTIVE BOOT SHIFTER
BAF &amp; CAF PP</v>
      </c>
      <c r="Z149" s="31" t="str">
        <f>RIGHT(表1_8[[#This Row],[编]],4)</f>
        <v>40HQ</v>
      </c>
      <c r="AA149" s="23" t="str">
        <f>表1_8[[#This Row],[箱号]]</f>
        <v>BEAU4630345</v>
      </c>
      <c r="AB149" s="25" t="str">
        <f>表1_8[[#This Row],[封号]]</f>
        <v>DJSC719335</v>
      </c>
      <c r="AC149" s="23">
        <f>表2[[#This Row],[件]]</f>
        <v>1</v>
      </c>
      <c r="AD149" s="23">
        <f>表2[[#This Row],[毛]]</f>
        <v>261.5</v>
      </c>
      <c r="AE149" s="23">
        <f>表2[[#This Row],[体]]</f>
        <v>1.17</v>
      </c>
      <c r="AG149" s="23" t="str">
        <f>表1_8[[#This Row],[HOUSE B/L]]</f>
        <v>YJCSHAN1905275</v>
      </c>
      <c r="AH149" s="23" t="str">
        <f>表1_8[[#This Row],[MASTER B/L]]</f>
        <v>DJSCSHBMVE90745A</v>
      </c>
      <c r="AI149" s="23" t="str">
        <f>"ETD"&amp;TEXT(表1_8[[#This Row],[ETD]],"mmdd")&amp;" "&amp;表1_8[[#This Row],[HOUSE B/L]]&amp;" "&amp;表1_8[[#This Row],[MASTER B/L]]&amp;" CHECK BL"</f>
        <v>ETD0404 YJCSHAN1905275 DJSCSHBMVE90745A CHECK BL</v>
      </c>
      <c r="AJ149" s="23" t="str">
        <f>"ETD"&amp;TEXT(表1_8[[#This Row],[ETD]],"mmdd")&amp;" "&amp;表1_8[[#This Row],[HOUSE B/L]]&amp;" "&amp;表1_8[[#This Row],[MASTER B/L]]&amp;" 报关单"</f>
        <v>ETD0404 YJCSHAN1905275 DJSCSHBMVE90745A 报关单</v>
      </c>
      <c r="AK149" s="23" t="str">
        <f>"ETD"&amp;TEXT(表1_8[[#This Row],[ETD]],"mmdd")&amp;" "&amp;表1_8[[#This Row],[HOUSE B/L]]&amp;" "&amp;表1_8[[#This Row],[MASTER B/L]]&amp;" 放行单"</f>
        <v>ETD0404 YJCSHAN1905275 DJSCSHBMVE90745A 放行单</v>
      </c>
      <c r="AL149" s="23" t="str">
        <f>"ETD"&amp;TEXT(表1_8[[#This Row],[ETD]],"mmdd")&amp;" "&amp;表1_8[[#This Row],[HOUSE B/L]]&amp;" "&amp;表1_8[[#This Row],[MASTER B/L]]&amp;" SURRENDERED BL"</f>
        <v>ETD0404 YJCSHAN1905275 DJSCSHBMVE90745A SURRENDERED BL</v>
      </c>
    </row>
    <row r="150" spans="2:38" ht="96" hidden="1" x14ac:dyDescent="0.2">
      <c r="B150" s="22">
        <v>43559</v>
      </c>
      <c r="C150" s="23">
        <v>25</v>
      </c>
      <c r="D150" s="82" t="s">
        <v>898</v>
      </c>
      <c r="E150" s="23"/>
      <c r="F150" s="24" t="s">
        <v>1015</v>
      </c>
      <c r="G150" s="24" t="s">
        <v>918</v>
      </c>
      <c r="H150" s="24" t="s">
        <v>946</v>
      </c>
      <c r="I150" s="23">
        <v>97</v>
      </c>
      <c r="J150" s="23">
        <v>442</v>
      </c>
      <c r="K150" s="23">
        <v>3.33</v>
      </c>
      <c r="L150" s="51">
        <v>2</v>
      </c>
      <c r="M150" s="51">
        <v>442</v>
      </c>
      <c r="N150" s="51">
        <v>3.33</v>
      </c>
      <c r="O150" s="31" t="s">
        <v>990</v>
      </c>
      <c r="P150" s="24" t="s">
        <v>980</v>
      </c>
      <c r="Q150" s="23" t="s">
        <v>981</v>
      </c>
      <c r="R150" s="25" t="s">
        <v>982</v>
      </c>
      <c r="T150" s="23" t="str">
        <f>表1_8[[#This Row],[客户编号]]</f>
        <v>YJCSHAN190481525</v>
      </c>
      <c r="U150" s="23" t="str">
        <f>表1_8[[#This Row],[MASTER B/L]]</f>
        <v>DJSCSHBMVE90745B</v>
      </c>
      <c r="V150" s="23">
        <f>表1_8[[#This Row],[件]]</f>
        <v>97</v>
      </c>
      <c r="W150" s="23">
        <f>表1_8[[#This Row],[毛]]</f>
        <v>442</v>
      </c>
      <c r="X150" s="23">
        <f>表1_8[[#This Row],[体]]</f>
        <v>3.33</v>
      </c>
      <c r="Y150" s="31" t="str">
        <f>表1_8[[#This Row],[品名]]</f>
        <v>PUSH TO CLOSE LATCH
DZUS DART, RETAINER 0 BLK
COMPRESSION LATCH, MEDIUM SS POLISHED
LINK RETAINER
PULL, SNAP-IN
BATCH(ES)
BAF &amp; CAF PP</v>
      </c>
      <c r="Z150" s="31" t="str">
        <f>RIGHT(表1_8[[#This Row],[编]],4)</f>
        <v>20GP</v>
      </c>
      <c r="AA150" s="23" t="str">
        <f>表1_8[[#This Row],[箱号]]</f>
        <v>PHRU2605784</v>
      </c>
      <c r="AB150" s="25" t="str">
        <f>表1_8[[#This Row],[封号]]</f>
        <v>719419</v>
      </c>
      <c r="AC150" s="23">
        <f>表2[[#This Row],[件]]</f>
        <v>97</v>
      </c>
      <c r="AD150" s="23">
        <f>表2[[#This Row],[毛]]</f>
        <v>442</v>
      </c>
      <c r="AE150" s="23">
        <f>表2[[#This Row],[体]]</f>
        <v>3.33</v>
      </c>
      <c r="AG150" s="23" t="str">
        <f>表1_8[[#This Row],[HOUSE B/L]]</f>
        <v>YJCSHAN1905298</v>
      </c>
      <c r="AH150" s="23" t="str">
        <f>表1_8[[#This Row],[MASTER B/L]]</f>
        <v>DJSCSHBMVE90745B</v>
      </c>
      <c r="AI150" s="23" t="str">
        <f>"ETD"&amp;TEXT(表1_8[[#This Row],[ETD]],"mmdd")&amp;" "&amp;表1_8[[#This Row],[HOUSE B/L]]&amp;" "&amp;表1_8[[#This Row],[MASTER B/L]]&amp;" CHECK BL"</f>
        <v>ETD0404 YJCSHAN1905298 DJSCSHBMVE90745B CHECK BL</v>
      </c>
      <c r="AJ150" s="23" t="str">
        <f>"ETD"&amp;TEXT(表1_8[[#This Row],[ETD]],"mmdd")&amp;" "&amp;表1_8[[#This Row],[HOUSE B/L]]&amp;" "&amp;表1_8[[#This Row],[MASTER B/L]]&amp;" 报关单"</f>
        <v>ETD0404 YJCSHAN1905298 DJSCSHBMVE90745B 报关单</v>
      </c>
      <c r="AK150" s="23" t="str">
        <f>"ETD"&amp;TEXT(表1_8[[#This Row],[ETD]],"mmdd")&amp;" "&amp;表1_8[[#This Row],[HOUSE B/L]]&amp;" "&amp;表1_8[[#This Row],[MASTER B/L]]&amp;" 放行单"</f>
        <v>ETD0404 YJCSHAN1905298 DJSCSHBMVE90745B 放行单</v>
      </c>
      <c r="AL150" s="23" t="str">
        <f>"ETD"&amp;TEXT(表1_8[[#This Row],[ETD]],"mmdd")&amp;" "&amp;表1_8[[#This Row],[HOUSE B/L]]&amp;" "&amp;表1_8[[#This Row],[MASTER B/L]]&amp;" SURRENDERED BL"</f>
        <v>ETD0404 YJCSHAN1905298 DJSCSHBMVE90745B SURRENDERED BL</v>
      </c>
    </row>
    <row r="151" spans="2:38" hidden="1" x14ac:dyDescent="0.2">
      <c r="B151" s="22">
        <v>43559</v>
      </c>
      <c r="C151" s="23">
        <v>27</v>
      </c>
      <c r="D151" s="23" t="s">
        <v>41</v>
      </c>
      <c r="E151" s="23"/>
      <c r="F151" s="24" t="s">
        <v>1016</v>
      </c>
      <c r="G151" s="24" t="s">
        <v>920</v>
      </c>
      <c r="H151" s="24" t="s">
        <v>947</v>
      </c>
      <c r="I151" s="23">
        <v>4</v>
      </c>
      <c r="J151" s="23">
        <v>80</v>
      </c>
      <c r="K151" s="23">
        <v>0.35</v>
      </c>
      <c r="L151" s="51">
        <v>4</v>
      </c>
      <c r="M151" s="51">
        <v>80</v>
      </c>
      <c r="N151" s="51">
        <v>0.35</v>
      </c>
      <c r="O151" s="31" t="s">
        <v>955</v>
      </c>
      <c r="P151" s="24" t="s">
        <v>987</v>
      </c>
      <c r="Q151" s="23" t="s">
        <v>988</v>
      </c>
      <c r="R151" s="25" t="s">
        <v>989</v>
      </c>
      <c r="T151" s="23" t="str">
        <f>表1_8[[#This Row],[客户编号]]</f>
        <v>YJCSHAN190481626</v>
      </c>
      <c r="U151" s="23" t="str">
        <f>表1_8[[#This Row],[MASTER B/L]]</f>
        <v>DJSCSHBMVE90745C</v>
      </c>
      <c r="V151" s="23">
        <f>表1_8[[#This Row],[件]]</f>
        <v>4</v>
      </c>
      <c r="W151" s="23">
        <f>表1_8[[#This Row],[毛]]</f>
        <v>80</v>
      </c>
      <c r="X151" s="23">
        <f>表1_8[[#This Row],[体]]</f>
        <v>0.35</v>
      </c>
      <c r="Y151" s="31" t="str">
        <f>表1_8[[#This Row],[品名]]</f>
        <v>LADIES LONG PANT</v>
      </c>
      <c r="Z151" s="31" t="str">
        <f>RIGHT(表1_8[[#This Row],[编]],4)</f>
        <v>40HQ</v>
      </c>
      <c r="AA151" s="23" t="str">
        <f>表1_8[[#This Row],[箱号]]</f>
        <v>TEMU7742943</v>
      </c>
      <c r="AB151" s="25" t="str">
        <f>表1_8[[#This Row],[封号]]</f>
        <v>719227</v>
      </c>
      <c r="AC151" s="23">
        <f>表2[[#This Row],[件]]</f>
        <v>4</v>
      </c>
      <c r="AD151" s="23">
        <f>表2[[#This Row],[毛]]</f>
        <v>80</v>
      </c>
      <c r="AE151" s="23">
        <f>表2[[#This Row],[体]]</f>
        <v>0.35</v>
      </c>
      <c r="AG151" s="23" t="str">
        <f>表1_8[[#This Row],[HOUSE B/L]]</f>
        <v>YJCSHAN1905309</v>
      </c>
      <c r="AH151" s="23" t="str">
        <f>表1_8[[#This Row],[MASTER B/L]]</f>
        <v>DJSCSHBMVE90745C</v>
      </c>
      <c r="AI151" s="23" t="str">
        <f>"ETD"&amp;TEXT(表1_8[[#This Row],[ETD]],"mmdd")&amp;" "&amp;表1_8[[#This Row],[HOUSE B/L]]&amp;" "&amp;表1_8[[#This Row],[MASTER B/L]]&amp;" CHECK BL"</f>
        <v>ETD0404 YJCSHAN1905309 DJSCSHBMVE90745C CHECK BL</v>
      </c>
      <c r="AJ151" s="23" t="str">
        <f>"ETD"&amp;TEXT(表1_8[[#This Row],[ETD]],"mmdd")&amp;" "&amp;表1_8[[#This Row],[HOUSE B/L]]&amp;" "&amp;表1_8[[#This Row],[MASTER B/L]]&amp;" 报关单"</f>
        <v>ETD0404 YJCSHAN1905309 DJSCSHBMVE90745C 报关单</v>
      </c>
      <c r="AK151" s="23" t="str">
        <f>"ETD"&amp;TEXT(表1_8[[#This Row],[ETD]],"mmdd")&amp;" "&amp;表1_8[[#This Row],[HOUSE B/L]]&amp;" "&amp;表1_8[[#This Row],[MASTER B/L]]&amp;" 放行单"</f>
        <v>ETD0404 YJCSHAN1905309 DJSCSHBMVE90745C 放行单</v>
      </c>
      <c r="AL151" s="23" t="str">
        <f>"ETD"&amp;TEXT(表1_8[[#This Row],[ETD]],"mmdd")&amp;" "&amp;表1_8[[#This Row],[HOUSE B/L]]&amp;" "&amp;表1_8[[#This Row],[MASTER B/L]]&amp;" SURRENDERED BL"</f>
        <v>ETD0404 YJCSHAN1905309 DJSCSHBMVE90745C SURRENDERED BL</v>
      </c>
    </row>
    <row r="152" spans="2:38" ht="36" hidden="1" x14ac:dyDescent="0.2">
      <c r="B152" s="22">
        <v>43559</v>
      </c>
      <c r="C152" s="23">
        <v>28</v>
      </c>
      <c r="D152" s="23" t="s">
        <v>983</v>
      </c>
      <c r="E152" s="23"/>
      <c r="F152" s="24" t="s">
        <v>1017</v>
      </c>
      <c r="G152" s="24" t="s">
        <v>984</v>
      </c>
      <c r="H152" s="24" t="s">
        <v>985</v>
      </c>
      <c r="I152" s="23">
        <v>2</v>
      </c>
      <c r="J152" s="23">
        <v>13.8</v>
      </c>
      <c r="K152" s="23">
        <v>0.23799999999999999</v>
      </c>
      <c r="L152" s="51">
        <v>2</v>
      </c>
      <c r="M152" s="51">
        <v>13.8</v>
      </c>
      <c r="N152" s="51">
        <v>0.23799999999999999</v>
      </c>
      <c r="O152" s="31" t="s">
        <v>986</v>
      </c>
      <c r="P152" s="24" t="s">
        <v>987</v>
      </c>
      <c r="Q152" s="23" t="s">
        <v>988</v>
      </c>
      <c r="R152" s="25" t="s">
        <v>989</v>
      </c>
      <c r="T152" s="23" t="str">
        <f>表1_8[[#This Row],[客户编号]]</f>
        <v>YJCSHAN190481727</v>
      </c>
      <c r="U152" s="23" t="str">
        <f>表1_8[[#This Row],[MASTER B/L]]</f>
        <v>DJSCSHBMVE90745D</v>
      </c>
      <c r="V152" s="23">
        <f>表1_8[[#This Row],[件]]</f>
        <v>2</v>
      </c>
      <c r="W152" s="23">
        <f>表1_8[[#This Row],[毛]]</f>
        <v>13.8</v>
      </c>
      <c r="X152" s="23">
        <f>表1_8[[#This Row],[体]]</f>
        <v>0.23799999999999999</v>
      </c>
      <c r="Y152" s="31" t="str">
        <f>表1_8[[#This Row],[品名]]</f>
        <v>TUBE-FUEL VAPOUR
BAF &amp; CAF PP</v>
      </c>
      <c r="Z152" s="31" t="str">
        <f>RIGHT(表1_8[[#This Row],[编]],4)</f>
        <v>40HQ</v>
      </c>
      <c r="AA152" s="23" t="str">
        <f>表1_8[[#This Row],[箱号]]</f>
        <v>TEMU7742943</v>
      </c>
      <c r="AB152" s="25" t="str">
        <f>表1_8[[#This Row],[封号]]</f>
        <v>719227</v>
      </c>
      <c r="AC152" s="23">
        <f>表2[[#This Row],[件]]</f>
        <v>2</v>
      </c>
      <c r="AD152" s="23">
        <f>表2[[#This Row],[毛]]</f>
        <v>13.8</v>
      </c>
      <c r="AE152" s="23">
        <f>表2[[#This Row],[体]]</f>
        <v>0.23799999999999999</v>
      </c>
      <c r="AG152" s="23" t="str">
        <f>表1_8[[#This Row],[HOUSE B/L]]</f>
        <v>YJCSHAN1905319</v>
      </c>
      <c r="AH152" s="23" t="str">
        <f>表1_8[[#This Row],[MASTER B/L]]</f>
        <v>DJSCSHBMVE90745D</v>
      </c>
      <c r="AI152" s="23" t="str">
        <f>"ETD"&amp;TEXT(表1_8[[#This Row],[ETD]],"mmdd")&amp;" "&amp;表1_8[[#This Row],[HOUSE B/L]]&amp;" "&amp;表1_8[[#This Row],[MASTER B/L]]&amp;" CHECK BL"</f>
        <v>ETD0404 YJCSHAN1905319 DJSCSHBMVE90745D CHECK BL</v>
      </c>
      <c r="AJ152" s="23" t="str">
        <f>"ETD"&amp;TEXT(表1_8[[#This Row],[ETD]],"mmdd")&amp;" "&amp;表1_8[[#This Row],[HOUSE B/L]]&amp;" "&amp;表1_8[[#This Row],[MASTER B/L]]&amp;" 报关单"</f>
        <v>ETD0404 YJCSHAN1905319 DJSCSHBMVE90745D 报关单</v>
      </c>
      <c r="AK152" s="23" t="str">
        <f>"ETD"&amp;TEXT(表1_8[[#This Row],[ETD]],"mmdd")&amp;" "&amp;表1_8[[#This Row],[HOUSE B/L]]&amp;" "&amp;表1_8[[#This Row],[MASTER B/L]]&amp;" 放行单"</f>
        <v>ETD0404 YJCSHAN1905319 DJSCSHBMVE90745D 放行单</v>
      </c>
      <c r="AL152" s="23" t="str">
        <f>"ETD"&amp;TEXT(表1_8[[#This Row],[ETD]],"mmdd")&amp;" "&amp;表1_8[[#This Row],[HOUSE B/L]]&amp;" "&amp;表1_8[[#This Row],[MASTER B/L]]&amp;" SURRENDERED BL"</f>
        <v>ETD0404 YJCSHAN1905319 DJSCSHBMVE90745D SURRENDERED BL</v>
      </c>
    </row>
    <row r="153" spans="2:38" ht="24" hidden="1" x14ac:dyDescent="0.2">
      <c r="B153" s="22">
        <v>43562</v>
      </c>
      <c r="C153" s="23">
        <v>2</v>
      </c>
      <c r="D153" s="23" t="s">
        <v>1093</v>
      </c>
      <c r="E153" s="23"/>
      <c r="F153" s="24" t="s">
        <v>1163</v>
      </c>
      <c r="G153" s="24" t="s">
        <v>1039</v>
      </c>
      <c r="H153" s="24" t="s">
        <v>1040</v>
      </c>
      <c r="I153" s="23">
        <v>22</v>
      </c>
      <c r="J153" s="23">
        <v>7676</v>
      </c>
      <c r="K153" s="23">
        <v>7.7</v>
      </c>
      <c r="L153" s="51">
        <v>22</v>
      </c>
      <c r="M153" s="51">
        <v>7676</v>
      </c>
      <c r="N153" s="51">
        <v>7.7</v>
      </c>
      <c r="O153" s="31" t="s">
        <v>1041</v>
      </c>
      <c r="P153" s="24" t="s">
        <v>1139</v>
      </c>
      <c r="Q153" s="23" t="s">
        <v>1140</v>
      </c>
      <c r="R153" s="25" t="s">
        <v>1141</v>
      </c>
      <c r="T153" s="97" t="str">
        <f>表1_8[[#This Row],[客户编号]]</f>
        <v>YJCSHAN190531301</v>
      </c>
      <c r="U153" s="97" t="str">
        <f>表1_8[[#This Row],[MASTER B/L]]</f>
        <v>DJSCSHB2EE91544B</v>
      </c>
      <c r="V153" s="97">
        <f>表1_8[[#This Row],[件]]</f>
        <v>22</v>
      </c>
      <c r="W153" s="97">
        <f>表1_8[[#This Row],[毛]]</f>
        <v>7676</v>
      </c>
      <c r="X153" s="97">
        <f>表1_8[[#This Row],[体]]</f>
        <v>7.7</v>
      </c>
      <c r="Y153" s="98" t="str">
        <f>表1_8[[#This Row],[品名]]</f>
        <v>REACTOR</v>
      </c>
      <c r="Z153" s="98" t="str">
        <f>RIGHT(表1_8[[#This Row],[编]],4)</f>
        <v>40HQ</v>
      </c>
      <c r="AA153" s="97" t="str">
        <f>表1_8[[#This Row],[箱号]]</f>
        <v>FCIU7084364</v>
      </c>
      <c r="AB153" s="96" t="str">
        <f>表1_8[[#This Row],[封号]]</f>
        <v>719496</v>
      </c>
      <c r="AC153" s="97">
        <f>表2[[#This Row],[件]]</f>
        <v>22</v>
      </c>
      <c r="AD153" s="97">
        <f>表2[[#This Row],[毛]]</f>
        <v>7676</v>
      </c>
      <c r="AE153" s="97">
        <f>表2[[#This Row],[体]]</f>
        <v>7.7</v>
      </c>
      <c r="AG153" s="97" t="str">
        <f>表1_8[[#This Row],[HOUSE B/L]]</f>
        <v>YJCSHAN1905051</v>
      </c>
      <c r="AH153" s="97" t="str">
        <f>表1_8[[#This Row],[MASTER B/L]]</f>
        <v>DJSCSHB2EE91544B</v>
      </c>
      <c r="AI153" s="97" t="str">
        <f>"ETD"&amp;TEXT(表1_8[[#This Row],[ETD]],"mmdd")&amp;" "&amp;表1_8[[#This Row],[HOUSE B/L]]&amp;" "&amp;表1_8[[#This Row],[MASTER B/L]]&amp;" CHECK BL"</f>
        <v>ETD0407 YJCSHAN1905051 DJSCSHB2EE91544B CHECK BL</v>
      </c>
      <c r="AJ153" s="97" t="str">
        <f>"ETD"&amp;TEXT(表1_8[[#This Row],[ETD]],"mmdd")&amp;" "&amp;表1_8[[#This Row],[HOUSE B/L]]&amp;" "&amp;表1_8[[#This Row],[MASTER B/L]]&amp;" 报关单"</f>
        <v>ETD0407 YJCSHAN1905051 DJSCSHB2EE91544B 报关单</v>
      </c>
      <c r="AK153" s="97" t="str">
        <f>"ETD"&amp;TEXT(表1_8[[#This Row],[ETD]],"mmdd")&amp;" "&amp;表1_8[[#This Row],[HOUSE B/L]]&amp;" "&amp;表1_8[[#This Row],[MASTER B/L]]&amp;" 放行单"</f>
        <v>ETD0407 YJCSHAN1905051 DJSCSHB2EE91544B 放行单</v>
      </c>
      <c r="AL153" s="97" t="str">
        <f>"ETD"&amp;TEXT(表1_8[[#This Row],[ETD]],"mmdd")&amp;" "&amp;表1_8[[#This Row],[HOUSE B/L]]&amp;" "&amp;表1_8[[#This Row],[MASTER B/L]]&amp;" SURRENDERED BL"</f>
        <v>ETD0407 YJCSHAN1905051 DJSCSHB2EE91544B SURRENDERED BL</v>
      </c>
    </row>
    <row r="154" spans="2:38" hidden="1" x14ac:dyDescent="0.2">
      <c r="B154" s="22">
        <v>43562</v>
      </c>
      <c r="C154" s="23">
        <v>3</v>
      </c>
      <c r="D154" s="23" t="s">
        <v>288</v>
      </c>
      <c r="E154" s="23"/>
      <c r="F154" s="24" t="s">
        <v>1164</v>
      </c>
      <c r="G154" s="24" t="s">
        <v>1036</v>
      </c>
      <c r="H154" s="24" t="s">
        <v>1037</v>
      </c>
      <c r="I154" s="23">
        <v>10</v>
      </c>
      <c r="J154" s="23">
        <v>7098</v>
      </c>
      <c r="K154" s="23">
        <v>5.33</v>
      </c>
      <c r="L154" s="51">
        <v>10</v>
      </c>
      <c r="M154" s="51">
        <v>7098</v>
      </c>
      <c r="N154" s="51">
        <v>5.33</v>
      </c>
      <c r="O154" s="31" t="s">
        <v>1038</v>
      </c>
      <c r="P154" s="24" t="s">
        <v>1131</v>
      </c>
      <c r="Q154" s="23" t="s">
        <v>1129</v>
      </c>
      <c r="R154" s="25" t="s">
        <v>1130</v>
      </c>
      <c r="T154" s="97" t="str">
        <f>表1_8[[#This Row],[客户编号]]</f>
        <v>YJCSHAN190531302</v>
      </c>
      <c r="U154" s="97" t="str">
        <f>表1_8[[#This Row],[MASTER B/L]]</f>
        <v>DJSCSHB2EE91544C</v>
      </c>
      <c r="V154" s="97">
        <f>表1_8[[#This Row],[件]]</f>
        <v>10</v>
      </c>
      <c r="W154" s="97">
        <f>表1_8[[#This Row],[毛]]</f>
        <v>7098</v>
      </c>
      <c r="X154" s="97">
        <f>表1_8[[#This Row],[体]]</f>
        <v>5.33</v>
      </c>
      <c r="Y154" s="98" t="str">
        <f>表1_8[[#This Row],[品名]]</f>
        <v>BALL BEARING</v>
      </c>
      <c r="Z154" s="98" t="str">
        <f>RIGHT(表1_8[[#This Row],[编]],4)</f>
        <v>40HQ</v>
      </c>
      <c r="AA154" s="97" t="str">
        <f>表1_8[[#This Row],[箱号]]</f>
        <v>DJLU5156049</v>
      </c>
      <c r="AB154" s="96" t="str">
        <f>表1_8[[#This Row],[封号]]</f>
        <v>DJSC719477</v>
      </c>
      <c r="AC154" s="97">
        <f>表2[[#This Row],[件]]</f>
        <v>10</v>
      </c>
      <c r="AD154" s="97">
        <f>表2[[#This Row],[毛]]</f>
        <v>7098</v>
      </c>
      <c r="AE154" s="97">
        <f>表2[[#This Row],[体]]</f>
        <v>5.33</v>
      </c>
      <c r="AG154" s="97" t="str">
        <f>表1_8[[#This Row],[HOUSE B/L]]</f>
        <v>YJCSHAN1905072</v>
      </c>
      <c r="AH154" s="97" t="str">
        <f>表1_8[[#This Row],[MASTER B/L]]</f>
        <v>DJSCSHB2EE91544C</v>
      </c>
      <c r="AI154" s="97" t="str">
        <f>"ETD"&amp;TEXT(表1_8[[#This Row],[ETD]],"mmdd")&amp;" "&amp;表1_8[[#This Row],[HOUSE B/L]]&amp;" "&amp;表1_8[[#This Row],[MASTER B/L]]&amp;" CHECK BL"</f>
        <v>ETD0407 YJCSHAN1905072 DJSCSHB2EE91544C CHECK BL</v>
      </c>
      <c r="AJ154" s="97" t="str">
        <f>"ETD"&amp;TEXT(表1_8[[#This Row],[ETD]],"mmdd")&amp;" "&amp;表1_8[[#This Row],[HOUSE B/L]]&amp;" "&amp;表1_8[[#This Row],[MASTER B/L]]&amp;" 报关单"</f>
        <v>ETD0407 YJCSHAN1905072 DJSCSHB2EE91544C 报关单</v>
      </c>
      <c r="AK154" s="97" t="str">
        <f>"ETD"&amp;TEXT(表1_8[[#This Row],[ETD]],"mmdd")&amp;" "&amp;表1_8[[#This Row],[HOUSE B/L]]&amp;" "&amp;表1_8[[#This Row],[MASTER B/L]]&amp;" 放行单"</f>
        <v>ETD0407 YJCSHAN1905072 DJSCSHB2EE91544C 放行单</v>
      </c>
      <c r="AL154" s="97" t="str">
        <f>"ETD"&amp;TEXT(表1_8[[#This Row],[ETD]],"mmdd")&amp;" "&amp;表1_8[[#This Row],[HOUSE B/L]]&amp;" "&amp;表1_8[[#This Row],[MASTER B/L]]&amp;" SURRENDERED BL"</f>
        <v>ETD0407 YJCSHAN1905072 DJSCSHB2EE91544C SURRENDERED BL</v>
      </c>
    </row>
    <row r="155" spans="2:38" hidden="1" x14ac:dyDescent="0.2">
      <c r="B155" s="22">
        <v>43562</v>
      </c>
      <c r="C155" s="23">
        <v>4</v>
      </c>
      <c r="D155" s="23" t="s">
        <v>279</v>
      </c>
      <c r="E155" s="23"/>
      <c r="F155" s="24" t="s">
        <v>1165</v>
      </c>
      <c r="G155" s="24" t="s">
        <v>1074</v>
      </c>
      <c r="H155" s="24" t="s">
        <v>1077</v>
      </c>
      <c r="I155" s="23">
        <v>1</v>
      </c>
      <c r="J155" s="23">
        <v>49</v>
      </c>
      <c r="K155" s="23">
        <v>0.48</v>
      </c>
      <c r="L155" s="51">
        <v>1</v>
      </c>
      <c r="M155" s="51">
        <v>49</v>
      </c>
      <c r="N155" s="51">
        <v>0.48</v>
      </c>
      <c r="O155" s="31" t="s">
        <v>1119</v>
      </c>
      <c r="P155" s="24" t="s">
        <v>1139</v>
      </c>
      <c r="Q155" s="23" t="s">
        <v>1140</v>
      </c>
      <c r="R155" s="25" t="s">
        <v>1141</v>
      </c>
      <c r="T155" s="97" t="str">
        <f>表1_8[[#This Row],[客户编号]]</f>
        <v>YJCSHAN190531303</v>
      </c>
      <c r="U155" s="97" t="str">
        <f>表1_8[[#This Row],[MASTER B/L]]</f>
        <v>DJSCSHB2EE91544D</v>
      </c>
      <c r="V155" s="97">
        <f>表1_8[[#This Row],[件]]</f>
        <v>1</v>
      </c>
      <c r="W155" s="97">
        <f>表1_8[[#This Row],[毛]]</f>
        <v>49</v>
      </c>
      <c r="X155" s="97">
        <f>表1_8[[#This Row],[体]]</f>
        <v>0.48</v>
      </c>
      <c r="Y155" s="98" t="str">
        <f>表1_8[[#This Row],[品名]]</f>
        <v>LOCK-HOOD</v>
      </c>
      <c r="Z155" s="98" t="str">
        <f>RIGHT(表1_8[[#This Row],[编]],4)</f>
        <v>40HQ</v>
      </c>
      <c r="AA155" s="97" t="str">
        <f>表1_8[[#This Row],[箱号]]</f>
        <v>FCIU7084364</v>
      </c>
      <c r="AB155" s="96" t="str">
        <f>表1_8[[#This Row],[封号]]</f>
        <v>719496</v>
      </c>
      <c r="AC155" s="97">
        <f>表2[[#This Row],[件]]</f>
        <v>1</v>
      </c>
      <c r="AD155" s="97">
        <f>表2[[#This Row],[毛]]</f>
        <v>49</v>
      </c>
      <c r="AE155" s="97">
        <f>表2[[#This Row],[体]]</f>
        <v>0.48</v>
      </c>
      <c r="AG155" s="97" t="str">
        <f>表1_8[[#This Row],[HOUSE B/L]]</f>
        <v>YJCSHAN1905089</v>
      </c>
      <c r="AH155" s="97" t="str">
        <f>表1_8[[#This Row],[MASTER B/L]]</f>
        <v>DJSCSHB2EE91544D</v>
      </c>
      <c r="AI155" s="97" t="str">
        <f>"ETD"&amp;TEXT(表1_8[[#This Row],[ETD]],"mmdd")&amp;" "&amp;表1_8[[#This Row],[HOUSE B/L]]&amp;" "&amp;表1_8[[#This Row],[MASTER B/L]]&amp;" CHECK BL"</f>
        <v>ETD0407 YJCSHAN1905089 DJSCSHB2EE91544D CHECK BL</v>
      </c>
      <c r="AJ155" s="97" t="str">
        <f>"ETD"&amp;TEXT(表1_8[[#This Row],[ETD]],"mmdd")&amp;" "&amp;表1_8[[#This Row],[HOUSE B/L]]&amp;" "&amp;表1_8[[#This Row],[MASTER B/L]]&amp;" 报关单"</f>
        <v>ETD0407 YJCSHAN1905089 DJSCSHB2EE91544D 报关单</v>
      </c>
      <c r="AK155" s="97" t="str">
        <f>"ETD"&amp;TEXT(表1_8[[#This Row],[ETD]],"mmdd")&amp;" "&amp;表1_8[[#This Row],[HOUSE B/L]]&amp;" "&amp;表1_8[[#This Row],[MASTER B/L]]&amp;" 放行单"</f>
        <v>ETD0407 YJCSHAN1905089 DJSCSHB2EE91544D 放行单</v>
      </c>
      <c r="AL155" s="97" t="str">
        <f>"ETD"&amp;TEXT(表1_8[[#This Row],[ETD]],"mmdd")&amp;" "&amp;表1_8[[#This Row],[HOUSE B/L]]&amp;" "&amp;表1_8[[#This Row],[MASTER B/L]]&amp;" SURRENDERED BL"</f>
        <v>ETD0407 YJCSHAN1905089 DJSCSHB2EE91544D SURRENDERED BL</v>
      </c>
    </row>
    <row r="156" spans="2:38" hidden="1" x14ac:dyDescent="0.2">
      <c r="B156" s="22">
        <v>43562</v>
      </c>
      <c r="C156" s="23">
        <v>5</v>
      </c>
      <c r="D156" s="23" t="s">
        <v>279</v>
      </c>
      <c r="E156" s="23"/>
      <c r="F156" s="24" t="s">
        <v>1166</v>
      </c>
      <c r="G156" s="24" t="s">
        <v>1075</v>
      </c>
      <c r="H156" s="24" t="s">
        <v>1076</v>
      </c>
      <c r="I156" s="23">
        <v>1</v>
      </c>
      <c r="J156" s="23">
        <v>59.8</v>
      </c>
      <c r="K156" s="23">
        <v>0.48</v>
      </c>
      <c r="L156" s="51">
        <v>1</v>
      </c>
      <c r="M156" s="51">
        <v>59.8</v>
      </c>
      <c r="N156" s="51">
        <v>0.48</v>
      </c>
      <c r="O156" s="31" t="s">
        <v>1119</v>
      </c>
      <c r="P156" s="24" t="s">
        <v>1139</v>
      </c>
      <c r="Q156" s="23" t="s">
        <v>1140</v>
      </c>
      <c r="R156" s="25" t="s">
        <v>1141</v>
      </c>
      <c r="T156" s="97" t="str">
        <f>表1_8[[#This Row],[客户编号]]</f>
        <v>YJCSHAN190531304</v>
      </c>
      <c r="U156" s="97" t="str">
        <f>表1_8[[#This Row],[MASTER B/L]]</f>
        <v>DJSCSHB2EE91544E</v>
      </c>
      <c r="V156" s="97">
        <f>表1_8[[#This Row],[件]]</f>
        <v>1</v>
      </c>
      <c r="W156" s="97">
        <f>表1_8[[#This Row],[毛]]</f>
        <v>59.8</v>
      </c>
      <c r="X156" s="97">
        <f>表1_8[[#This Row],[体]]</f>
        <v>0.48</v>
      </c>
      <c r="Y156" s="98" t="str">
        <f>表1_8[[#This Row],[品名]]</f>
        <v>LOCK-HOOD</v>
      </c>
      <c r="Z156" s="98" t="str">
        <f>RIGHT(表1_8[[#This Row],[编]],4)</f>
        <v>40HQ</v>
      </c>
      <c r="AA156" s="97" t="str">
        <f>表1_8[[#This Row],[箱号]]</f>
        <v>FCIU7084364</v>
      </c>
      <c r="AB156" s="96" t="str">
        <f>表1_8[[#This Row],[封号]]</f>
        <v>719496</v>
      </c>
      <c r="AC156" s="97">
        <f>表2[[#This Row],[件]]</f>
        <v>1</v>
      </c>
      <c r="AD156" s="97">
        <f>表2[[#This Row],[毛]]</f>
        <v>59.8</v>
      </c>
      <c r="AE156" s="97">
        <f>表2[[#This Row],[体]]</f>
        <v>0.48</v>
      </c>
      <c r="AG156" s="97" t="str">
        <f>表1_8[[#This Row],[HOUSE B/L]]</f>
        <v>YJCSHAN1905090</v>
      </c>
      <c r="AH156" s="97" t="str">
        <f>表1_8[[#This Row],[MASTER B/L]]</f>
        <v>DJSCSHB2EE91544E</v>
      </c>
      <c r="AI156" s="97" t="str">
        <f>"ETD"&amp;TEXT(表1_8[[#This Row],[ETD]],"mmdd")&amp;" "&amp;表1_8[[#This Row],[HOUSE B/L]]&amp;" "&amp;表1_8[[#This Row],[MASTER B/L]]&amp;" CHECK BL"</f>
        <v>ETD0407 YJCSHAN1905090 DJSCSHB2EE91544E CHECK BL</v>
      </c>
      <c r="AJ156" s="97" t="str">
        <f>"ETD"&amp;TEXT(表1_8[[#This Row],[ETD]],"mmdd")&amp;" "&amp;表1_8[[#This Row],[HOUSE B/L]]&amp;" "&amp;表1_8[[#This Row],[MASTER B/L]]&amp;" 报关单"</f>
        <v>ETD0407 YJCSHAN1905090 DJSCSHB2EE91544E 报关单</v>
      </c>
      <c r="AK156" s="97" t="str">
        <f>"ETD"&amp;TEXT(表1_8[[#This Row],[ETD]],"mmdd")&amp;" "&amp;表1_8[[#This Row],[HOUSE B/L]]&amp;" "&amp;表1_8[[#This Row],[MASTER B/L]]&amp;" 放行单"</f>
        <v>ETD0407 YJCSHAN1905090 DJSCSHB2EE91544E 放行单</v>
      </c>
      <c r="AL156" s="97" t="str">
        <f>"ETD"&amp;TEXT(表1_8[[#This Row],[ETD]],"mmdd")&amp;" "&amp;表1_8[[#This Row],[HOUSE B/L]]&amp;" "&amp;表1_8[[#This Row],[MASTER B/L]]&amp;" SURRENDERED BL"</f>
        <v>ETD0407 YJCSHAN1905090 DJSCSHB2EE91544E SURRENDERED BL</v>
      </c>
    </row>
    <row r="157" spans="2:38" ht="24" x14ac:dyDescent="0.2">
      <c r="B157" s="22">
        <v>43562</v>
      </c>
      <c r="C157" s="23">
        <v>8</v>
      </c>
      <c r="D157" s="23" t="s">
        <v>275</v>
      </c>
      <c r="E157" s="23"/>
      <c r="F157" s="24" t="s">
        <v>1169</v>
      </c>
      <c r="G157" s="24" t="s">
        <v>1033</v>
      </c>
      <c r="H157" s="24" t="s">
        <v>1034</v>
      </c>
      <c r="I157" s="23">
        <v>3</v>
      </c>
      <c r="J157" s="23">
        <v>1363.04</v>
      </c>
      <c r="K157" s="23">
        <v>2.08</v>
      </c>
      <c r="L157" s="51">
        <v>3</v>
      </c>
      <c r="M157" s="51">
        <v>1363.04</v>
      </c>
      <c r="N157" s="51">
        <v>2.08</v>
      </c>
      <c r="O157" s="31" t="s">
        <v>1035</v>
      </c>
      <c r="P157" s="24" t="s">
        <v>1142</v>
      </c>
      <c r="Q157" s="23" t="s">
        <v>1143</v>
      </c>
      <c r="R157" s="25" t="s">
        <v>1144</v>
      </c>
      <c r="T157" s="97" t="str">
        <f>表1_8[[#This Row],[客户编号]]</f>
        <v>YJCSHAN190531307</v>
      </c>
      <c r="U157" s="97" t="str">
        <f>表1_8[[#This Row],[MASTER B/L]]</f>
        <v>DJSCSHB2EE91544H</v>
      </c>
      <c r="V157" s="97">
        <f>表1_8[[#This Row],[件]]</f>
        <v>3</v>
      </c>
      <c r="W157" s="97">
        <f>表1_8[[#This Row],[毛]]</f>
        <v>1363.04</v>
      </c>
      <c r="X157" s="97">
        <f>表1_8[[#This Row],[体]]</f>
        <v>2.08</v>
      </c>
      <c r="Y157" s="98" t="str">
        <f>表1_8[[#This Row],[品名]]</f>
        <v>ROTARY COMPRESSOR</v>
      </c>
      <c r="Z157" s="98" t="str">
        <f>RIGHT(表1_8[[#This Row],[编]],4)</f>
        <v>40HQ</v>
      </c>
      <c r="AA157" s="97" t="str">
        <f>表1_8[[#This Row],[箱号]]</f>
        <v>DJLU5153163</v>
      </c>
      <c r="AB157" s="96" t="str">
        <f>表1_8[[#This Row],[封号]]</f>
        <v>719414</v>
      </c>
      <c r="AC157" s="97">
        <f>表2[[#This Row],[件]]</f>
        <v>3</v>
      </c>
      <c r="AD157" s="97">
        <f>表2[[#This Row],[毛]]</f>
        <v>1363.04</v>
      </c>
      <c r="AE157" s="97">
        <f>表2[[#This Row],[体]]</f>
        <v>2.08</v>
      </c>
      <c r="AG157" s="97" t="str">
        <f>表1_8[[#This Row],[HOUSE B/L]]</f>
        <v>YJCSHAN1905047</v>
      </c>
      <c r="AH157" s="97" t="str">
        <f>表1_8[[#This Row],[MASTER B/L]]</f>
        <v>DJSCSHB2EE91544H</v>
      </c>
      <c r="AI157" s="97" t="str">
        <f>"ETD"&amp;TEXT(表1_8[[#This Row],[ETD]],"mmdd")&amp;" "&amp;表1_8[[#This Row],[HOUSE B/L]]&amp;" "&amp;表1_8[[#This Row],[MASTER B/L]]&amp;" CHECK BL"</f>
        <v>ETD0407 YJCSHAN1905047 DJSCSHB2EE91544H CHECK BL</v>
      </c>
      <c r="AJ157" s="97" t="str">
        <f>"ETD"&amp;TEXT(表1_8[[#This Row],[ETD]],"mmdd")&amp;" "&amp;表1_8[[#This Row],[HOUSE B/L]]&amp;" "&amp;表1_8[[#This Row],[MASTER B/L]]&amp;" 报关单"</f>
        <v>ETD0407 YJCSHAN1905047 DJSCSHB2EE91544H 报关单</v>
      </c>
      <c r="AK157" s="97" t="str">
        <f>"ETD"&amp;TEXT(表1_8[[#This Row],[ETD]],"mmdd")&amp;" "&amp;表1_8[[#This Row],[HOUSE B/L]]&amp;" "&amp;表1_8[[#This Row],[MASTER B/L]]&amp;" 放行单"</f>
        <v>ETD0407 YJCSHAN1905047 DJSCSHB2EE91544H 放行单</v>
      </c>
      <c r="AL157" s="97" t="str">
        <f>"ETD"&amp;TEXT(表1_8[[#This Row],[ETD]],"mmdd")&amp;" "&amp;表1_8[[#This Row],[HOUSE B/L]]&amp;" "&amp;表1_8[[#This Row],[MASTER B/L]]&amp;" SURRENDERED BL"</f>
        <v>ETD0407 YJCSHAN1905047 DJSCSHB2EE91544H SURRENDERED BL</v>
      </c>
    </row>
    <row r="158" spans="2:38" ht="24" x14ac:dyDescent="0.2">
      <c r="B158" s="22">
        <v>43562</v>
      </c>
      <c r="C158" s="23">
        <v>6</v>
      </c>
      <c r="D158" s="23" t="s">
        <v>1094</v>
      </c>
      <c r="E158" s="23"/>
      <c r="F158" s="24" t="s">
        <v>1167</v>
      </c>
      <c r="G158" s="24" t="s">
        <v>1045</v>
      </c>
      <c r="H158" s="24" t="s">
        <v>1048</v>
      </c>
      <c r="I158" s="23">
        <v>56</v>
      </c>
      <c r="J158" s="23">
        <v>469.1</v>
      </c>
      <c r="K158" s="23">
        <v>1.33</v>
      </c>
      <c r="L158" s="51">
        <v>56</v>
      </c>
      <c r="M158" s="51">
        <v>469.1</v>
      </c>
      <c r="N158" s="51">
        <v>1.33</v>
      </c>
      <c r="O158" s="31" t="s">
        <v>1049</v>
      </c>
      <c r="P158" s="24" t="s">
        <v>1142</v>
      </c>
      <c r="Q158" s="23" t="s">
        <v>1143</v>
      </c>
      <c r="R158" s="25" t="s">
        <v>1144</v>
      </c>
      <c r="T158" s="97" t="str">
        <f>表1_8[[#This Row],[客户编号]]</f>
        <v>YJCSHAN190531305</v>
      </c>
      <c r="U158" s="97" t="str">
        <f>表1_8[[#This Row],[MASTER B/L]]</f>
        <v>DJSCSHB2EE91544F</v>
      </c>
      <c r="V158" s="97">
        <f>表1_8[[#This Row],[件]]</f>
        <v>56</v>
      </c>
      <c r="W158" s="97">
        <f>表1_8[[#This Row],[毛]]</f>
        <v>469.1</v>
      </c>
      <c r="X158" s="97">
        <f>表1_8[[#This Row],[体]]</f>
        <v>1.33</v>
      </c>
      <c r="Y158" s="98" t="str">
        <f>表1_8[[#This Row],[品名]]</f>
        <v>PET RETRACTABLE LEASH</v>
      </c>
      <c r="Z158" s="98" t="str">
        <f>RIGHT(表1_8[[#This Row],[编]],4)</f>
        <v>40HQ</v>
      </c>
      <c r="AA158" s="97" t="str">
        <f>表1_8[[#This Row],[箱号]]</f>
        <v>DJLU5153163</v>
      </c>
      <c r="AB158" s="96" t="str">
        <f>表1_8[[#This Row],[封号]]</f>
        <v>719414</v>
      </c>
      <c r="AC158" s="97">
        <f>表2[[#This Row],[件]]</f>
        <v>56</v>
      </c>
      <c r="AD158" s="97">
        <f>表2[[#This Row],[毛]]</f>
        <v>469.1</v>
      </c>
      <c r="AE158" s="97">
        <f>表2[[#This Row],[体]]</f>
        <v>1.33</v>
      </c>
      <c r="AG158" s="97" t="str">
        <f>表1_8[[#This Row],[HOUSE B/L]]</f>
        <v>YJCSHAN1905199</v>
      </c>
      <c r="AH158" s="97" t="str">
        <f>表1_8[[#This Row],[MASTER B/L]]</f>
        <v>DJSCSHB2EE91544F</v>
      </c>
      <c r="AI158" s="97" t="str">
        <f>"ETD"&amp;TEXT(表1_8[[#This Row],[ETD]],"mmdd")&amp;" "&amp;表1_8[[#This Row],[HOUSE B/L]]&amp;" "&amp;表1_8[[#This Row],[MASTER B/L]]&amp;" CHECK BL"</f>
        <v>ETD0407 YJCSHAN1905199 DJSCSHB2EE91544F CHECK BL</v>
      </c>
      <c r="AJ158" s="97" t="str">
        <f>"ETD"&amp;TEXT(表1_8[[#This Row],[ETD]],"mmdd")&amp;" "&amp;表1_8[[#This Row],[HOUSE B/L]]&amp;" "&amp;表1_8[[#This Row],[MASTER B/L]]&amp;" 报关单"</f>
        <v>ETD0407 YJCSHAN1905199 DJSCSHB2EE91544F 报关单</v>
      </c>
      <c r="AK158" s="97" t="str">
        <f>"ETD"&amp;TEXT(表1_8[[#This Row],[ETD]],"mmdd")&amp;" "&amp;表1_8[[#This Row],[HOUSE B/L]]&amp;" "&amp;表1_8[[#This Row],[MASTER B/L]]&amp;" 放行单"</f>
        <v>ETD0407 YJCSHAN1905199 DJSCSHB2EE91544F 放行单</v>
      </c>
      <c r="AL158" s="97" t="str">
        <f>"ETD"&amp;TEXT(表1_8[[#This Row],[ETD]],"mmdd")&amp;" "&amp;表1_8[[#This Row],[HOUSE B/L]]&amp;" "&amp;表1_8[[#This Row],[MASTER B/L]]&amp;" SURRENDERED BL"</f>
        <v>ETD0407 YJCSHAN1905199 DJSCSHB2EE91544F SURRENDERED BL</v>
      </c>
    </row>
    <row r="159" spans="2:38" ht="24" x14ac:dyDescent="0.2">
      <c r="B159" s="22">
        <v>43562</v>
      </c>
      <c r="C159" s="23">
        <v>22</v>
      </c>
      <c r="D159" s="23" t="s">
        <v>1094</v>
      </c>
      <c r="E159" s="23" t="s">
        <v>1193</v>
      </c>
      <c r="F159" s="24" t="s">
        <v>1182</v>
      </c>
      <c r="G159" s="24" t="s">
        <v>1045</v>
      </c>
      <c r="H159" s="24" t="s">
        <v>1046</v>
      </c>
      <c r="I159" s="23">
        <v>17</v>
      </c>
      <c r="J159" s="23">
        <v>163.19999999999999</v>
      </c>
      <c r="K159" s="23">
        <v>0.74099999999999999</v>
      </c>
      <c r="L159" s="51">
        <v>17</v>
      </c>
      <c r="M159" s="51">
        <v>163.19999999999999</v>
      </c>
      <c r="N159" s="51">
        <v>0.74099999999999999</v>
      </c>
      <c r="O159" s="31" t="s">
        <v>1047</v>
      </c>
      <c r="P159" s="24" t="s">
        <v>1142</v>
      </c>
      <c r="Q159" s="23" t="s">
        <v>1143</v>
      </c>
      <c r="R159" s="25" t="s">
        <v>1144</v>
      </c>
      <c r="T159" s="97" t="str">
        <f>表1_8[[#This Row],[客户编号]]</f>
        <v>YJCSHAN190531320</v>
      </c>
      <c r="U159" s="97" t="str">
        <f>表1_8[[#This Row],[MASTER B/L]]</f>
        <v>DJSCSHB2EE91544W</v>
      </c>
      <c r="V159" s="97">
        <f>表1_8[[#This Row],[件]]</f>
        <v>17</v>
      </c>
      <c r="W159" s="97">
        <f>表1_8[[#This Row],[毛]]</f>
        <v>163.19999999999999</v>
      </c>
      <c r="X159" s="97">
        <f>表1_8[[#This Row],[体]]</f>
        <v>0.74099999999999999</v>
      </c>
      <c r="Y159" s="98" t="str">
        <f>表1_8[[#This Row],[品名]]</f>
        <v>PET TENT</v>
      </c>
      <c r="Z159" s="98" t="str">
        <f>RIGHT(表1_8[[#This Row],[编]],4)</f>
        <v>40HQ</v>
      </c>
      <c r="AA159" s="97" t="str">
        <f>表1_8[[#This Row],[箱号]]</f>
        <v>DJLU5153163</v>
      </c>
      <c r="AB159" s="96" t="str">
        <f>表1_8[[#This Row],[封号]]</f>
        <v>719414</v>
      </c>
      <c r="AC159" s="97">
        <f>表2[[#This Row],[件]]</f>
        <v>17</v>
      </c>
      <c r="AD159" s="97">
        <f>表2[[#This Row],[毛]]</f>
        <v>163.19999999999999</v>
      </c>
      <c r="AE159" s="97">
        <f>表2[[#This Row],[体]]</f>
        <v>0.74099999999999999</v>
      </c>
      <c r="AG159" s="97" t="str">
        <f>表1_8[[#This Row],[HOUSE B/L]]</f>
        <v>YJCSHAN1905199</v>
      </c>
      <c r="AH159" s="97" t="str">
        <f>表1_8[[#This Row],[MASTER B/L]]</f>
        <v>DJSCSHB2EE91544W</v>
      </c>
      <c r="AI159" s="97" t="str">
        <f>"ETD"&amp;TEXT(表1_8[[#This Row],[ETD]],"mmdd")&amp;" "&amp;表1_8[[#This Row],[HOUSE B/L]]&amp;" "&amp;表1_8[[#This Row],[MASTER B/L]]&amp;" CHECK BL"</f>
        <v>ETD0407 YJCSHAN1905199 DJSCSHB2EE91544W CHECK BL</v>
      </c>
      <c r="AJ159" s="97" t="str">
        <f>"ETD"&amp;TEXT(表1_8[[#This Row],[ETD]],"mmdd")&amp;" "&amp;表1_8[[#This Row],[HOUSE B/L]]&amp;" "&amp;表1_8[[#This Row],[MASTER B/L]]&amp;" 报关单"</f>
        <v>ETD0407 YJCSHAN1905199 DJSCSHB2EE91544W 报关单</v>
      </c>
      <c r="AK159" s="97" t="str">
        <f>"ETD"&amp;TEXT(表1_8[[#This Row],[ETD]],"mmdd")&amp;" "&amp;表1_8[[#This Row],[HOUSE B/L]]&amp;" "&amp;表1_8[[#This Row],[MASTER B/L]]&amp;" 放行单"</f>
        <v>ETD0407 YJCSHAN1905199 DJSCSHB2EE91544W 放行单</v>
      </c>
      <c r="AL159" s="97" t="str">
        <f>"ETD"&amp;TEXT(表1_8[[#This Row],[ETD]],"mmdd")&amp;" "&amp;表1_8[[#This Row],[HOUSE B/L]]&amp;" "&amp;表1_8[[#This Row],[MASTER B/L]]&amp;" SURRENDERED BL"</f>
        <v>ETD0407 YJCSHAN1905199 DJSCSHB2EE91544W SURRENDERED BL</v>
      </c>
    </row>
    <row r="160" spans="2:38" ht="24" x14ac:dyDescent="0.2">
      <c r="B160" s="22">
        <v>43562</v>
      </c>
      <c r="C160" s="23">
        <v>7</v>
      </c>
      <c r="D160" s="23" t="s">
        <v>1095</v>
      </c>
      <c r="E160" s="23"/>
      <c r="F160" s="24" t="s">
        <v>1168</v>
      </c>
      <c r="G160" s="24" t="s">
        <v>1078</v>
      </c>
      <c r="H160" s="24" t="s">
        <v>1079</v>
      </c>
      <c r="I160" s="23">
        <v>64</v>
      </c>
      <c r="J160" s="23">
        <v>1734.4</v>
      </c>
      <c r="K160" s="23">
        <v>3.84</v>
      </c>
      <c r="L160" s="51">
        <v>64</v>
      </c>
      <c r="M160" s="51">
        <v>1734.4</v>
      </c>
      <c r="N160" s="51">
        <v>3.84</v>
      </c>
      <c r="O160" s="31" t="s">
        <v>1127</v>
      </c>
      <c r="P160" s="24" t="s">
        <v>1142</v>
      </c>
      <c r="Q160" s="23" t="s">
        <v>1143</v>
      </c>
      <c r="R160" s="25" t="s">
        <v>1144</v>
      </c>
      <c r="T160" s="97" t="str">
        <f>表1_8[[#This Row],[客户编号]]</f>
        <v>YJCSHAN190531306</v>
      </c>
      <c r="U160" s="97" t="str">
        <f>表1_8[[#This Row],[MASTER B/L]]</f>
        <v>DJSCSHB2EE91544G</v>
      </c>
      <c r="V160" s="97">
        <f>表1_8[[#This Row],[件]]</f>
        <v>64</v>
      </c>
      <c r="W160" s="97">
        <f>表1_8[[#This Row],[毛]]</f>
        <v>1734.4</v>
      </c>
      <c r="X160" s="97">
        <f>表1_8[[#This Row],[体]]</f>
        <v>3.84</v>
      </c>
      <c r="Y160" s="98" t="str">
        <f>表1_8[[#This Row],[品名]]</f>
        <v>BLACK BOILED
GREY BOILED</v>
      </c>
      <c r="Z160" s="98" t="str">
        <f>RIGHT(表1_8[[#This Row],[编]],4)</f>
        <v>40HQ</v>
      </c>
      <c r="AA160" s="97" t="str">
        <f>表1_8[[#This Row],[箱号]]</f>
        <v>DJLU5153163</v>
      </c>
      <c r="AB160" s="96" t="str">
        <f>表1_8[[#This Row],[封号]]</f>
        <v>719414</v>
      </c>
      <c r="AC160" s="97">
        <f>表2[[#This Row],[件]]</f>
        <v>64</v>
      </c>
      <c r="AD160" s="97">
        <f>表2[[#This Row],[毛]]</f>
        <v>1734.4</v>
      </c>
      <c r="AE160" s="97">
        <f>表2[[#This Row],[体]]</f>
        <v>3.84</v>
      </c>
      <c r="AG160" s="97" t="str">
        <f>表1_8[[#This Row],[HOUSE B/L]]</f>
        <v>YJCSHAN1905271</v>
      </c>
      <c r="AH160" s="97" t="str">
        <f>表1_8[[#This Row],[MASTER B/L]]</f>
        <v>DJSCSHB2EE91544G</v>
      </c>
      <c r="AI160" s="97" t="str">
        <f>"ETD"&amp;TEXT(表1_8[[#This Row],[ETD]],"mmdd")&amp;" "&amp;表1_8[[#This Row],[HOUSE B/L]]&amp;" "&amp;表1_8[[#This Row],[MASTER B/L]]&amp;" CHECK BL"</f>
        <v>ETD0407 YJCSHAN1905271 DJSCSHB2EE91544G CHECK BL</v>
      </c>
      <c r="AJ160" s="97" t="str">
        <f>"ETD"&amp;TEXT(表1_8[[#This Row],[ETD]],"mmdd")&amp;" "&amp;表1_8[[#This Row],[HOUSE B/L]]&amp;" "&amp;表1_8[[#This Row],[MASTER B/L]]&amp;" 报关单"</f>
        <v>ETD0407 YJCSHAN1905271 DJSCSHB2EE91544G 报关单</v>
      </c>
      <c r="AK160" s="97" t="str">
        <f>"ETD"&amp;TEXT(表1_8[[#This Row],[ETD]],"mmdd")&amp;" "&amp;表1_8[[#This Row],[HOUSE B/L]]&amp;" "&amp;表1_8[[#This Row],[MASTER B/L]]&amp;" 放行单"</f>
        <v>ETD0407 YJCSHAN1905271 DJSCSHB2EE91544G 放行单</v>
      </c>
      <c r="AL160" s="97" t="str">
        <f>"ETD"&amp;TEXT(表1_8[[#This Row],[ETD]],"mmdd")&amp;" "&amp;表1_8[[#This Row],[HOUSE B/L]]&amp;" "&amp;表1_8[[#This Row],[MASTER B/L]]&amp;" SURRENDERED BL"</f>
        <v>ETD0407 YJCSHAN1905271 DJSCSHB2EE91544G SURRENDERED BL</v>
      </c>
    </row>
    <row r="161" spans="2:38" hidden="1" x14ac:dyDescent="0.2">
      <c r="B161" s="22">
        <v>43562</v>
      </c>
      <c r="C161" s="23">
        <v>10</v>
      </c>
      <c r="D161" s="23" t="s">
        <v>61</v>
      </c>
      <c r="E161" s="23"/>
      <c r="F161" s="24" t="s">
        <v>1171</v>
      </c>
      <c r="G161" s="24" t="s">
        <v>1063</v>
      </c>
      <c r="H161" s="24" t="s">
        <v>1062</v>
      </c>
      <c r="I161" s="23">
        <v>249</v>
      </c>
      <c r="J161" s="23">
        <v>2763.02</v>
      </c>
      <c r="K161" s="23">
        <v>11.46</v>
      </c>
      <c r="L161" s="51">
        <v>11</v>
      </c>
      <c r="M161" s="51">
        <v>2763.02</v>
      </c>
      <c r="N161" s="51">
        <v>11.46</v>
      </c>
      <c r="O161" s="31" t="s">
        <v>1059</v>
      </c>
      <c r="P161" s="24" t="s">
        <v>1131</v>
      </c>
      <c r="Q161" s="23" t="s">
        <v>1129</v>
      </c>
      <c r="R161" s="25" t="s">
        <v>1130</v>
      </c>
      <c r="T161" s="97" t="str">
        <f>表1_8[[#This Row],[客户编号]]</f>
        <v>YJCSHAN190531309</v>
      </c>
      <c r="U161" s="97" t="str">
        <f>表1_8[[#This Row],[MASTER B/L]]</f>
        <v>DJSCSHB2EE91544K</v>
      </c>
      <c r="V161" s="97">
        <f>表1_8[[#This Row],[件]]</f>
        <v>249</v>
      </c>
      <c r="W161" s="97">
        <f>表1_8[[#This Row],[毛]]</f>
        <v>2763.02</v>
      </c>
      <c r="X161" s="97">
        <f>表1_8[[#This Row],[体]]</f>
        <v>11.46</v>
      </c>
      <c r="Y161" s="98" t="str">
        <f>表1_8[[#This Row],[品名]]</f>
        <v>STEPPING MOTOR</v>
      </c>
      <c r="Z161" s="98" t="str">
        <f>RIGHT(表1_8[[#This Row],[编]],4)</f>
        <v>40HQ</v>
      </c>
      <c r="AA161" s="97" t="str">
        <f>表1_8[[#This Row],[箱号]]</f>
        <v>DJLU5156049</v>
      </c>
      <c r="AB161" s="96" t="str">
        <f>表1_8[[#This Row],[封号]]</f>
        <v>DJSC719477</v>
      </c>
      <c r="AC161" s="97">
        <f>表2[[#This Row],[件]]</f>
        <v>249</v>
      </c>
      <c r="AD161" s="97">
        <f>表2[[#This Row],[毛]]</f>
        <v>2763.02</v>
      </c>
      <c r="AE161" s="97">
        <f>表2[[#This Row],[体]]</f>
        <v>11.46</v>
      </c>
      <c r="AG161" s="97" t="str">
        <f>表1_8[[#This Row],[HOUSE B/L]]</f>
        <v>YJCSHAN1905279</v>
      </c>
      <c r="AH161" s="97" t="str">
        <f>表1_8[[#This Row],[MASTER B/L]]</f>
        <v>DJSCSHB2EE91544K</v>
      </c>
      <c r="AI161" s="97" t="str">
        <f>"ETD"&amp;TEXT(表1_8[[#This Row],[ETD]],"mmdd")&amp;" "&amp;表1_8[[#This Row],[HOUSE B/L]]&amp;" "&amp;表1_8[[#This Row],[MASTER B/L]]&amp;" CHECK BL"</f>
        <v>ETD0407 YJCSHAN1905279 DJSCSHB2EE91544K CHECK BL</v>
      </c>
      <c r="AJ161" s="97" t="str">
        <f>"ETD"&amp;TEXT(表1_8[[#This Row],[ETD]],"mmdd")&amp;" "&amp;表1_8[[#This Row],[HOUSE B/L]]&amp;" "&amp;表1_8[[#This Row],[MASTER B/L]]&amp;" 报关单"</f>
        <v>ETD0407 YJCSHAN1905279 DJSCSHB2EE91544K 报关单</v>
      </c>
      <c r="AK161" s="97" t="str">
        <f>"ETD"&amp;TEXT(表1_8[[#This Row],[ETD]],"mmdd")&amp;" "&amp;表1_8[[#This Row],[HOUSE B/L]]&amp;" "&amp;表1_8[[#This Row],[MASTER B/L]]&amp;" 放行单"</f>
        <v>ETD0407 YJCSHAN1905279 DJSCSHB2EE91544K 放行单</v>
      </c>
      <c r="AL161" s="97" t="str">
        <f>"ETD"&amp;TEXT(表1_8[[#This Row],[ETD]],"mmdd")&amp;" "&amp;表1_8[[#This Row],[HOUSE B/L]]&amp;" "&amp;表1_8[[#This Row],[MASTER B/L]]&amp;" SURRENDERED BL"</f>
        <v>ETD0407 YJCSHAN1905279 DJSCSHB2EE91544K SURRENDERED BL</v>
      </c>
    </row>
    <row r="162" spans="2:38" hidden="1" x14ac:dyDescent="0.2">
      <c r="B162" s="22">
        <v>43562</v>
      </c>
      <c r="C162" s="23">
        <v>11</v>
      </c>
      <c r="D162" s="23" t="s">
        <v>61</v>
      </c>
      <c r="E162" s="23"/>
      <c r="F162" s="24" t="s">
        <v>1172</v>
      </c>
      <c r="G162" s="24" t="s">
        <v>1065</v>
      </c>
      <c r="H162" s="24" t="s">
        <v>1064</v>
      </c>
      <c r="I162" s="23">
        <v>281</v>
      </c>
      <c r="J162" s="23">
        <v>3563.39</v>
      </c>
      <c r="K162" s="23">
        <v>8.83</v>
      </c>
      <c r="L162" s="51">
        <v>8</v>
      </c>
      <c r="M162" s="51">
        <v>3563.39</v>
      </c>
      <c r="N162" s="51">
        <v>8.83</v>
      </c>
      <c r="O162" s="31" t="s">
        <v>1059</v>
      </c>
      <c r="P162" s="24" t="s">
        <v>1139</v>
      </c>
      <c r="Q162" s="23" t="s">
        <v>1140</v>
      </c>
      <c r="R162" s="25" t="s">
        <v>1141</v>
      </c>
      <c r="T162" s="97" t="str">
        <f>表1_8[[#This Row],[客户编号]]</f>
        <v>YJCSHAN190531310</v>
      </c>
      <c r="U162" s="97" t="str">
        <f>表1_8[[#This Row],[MASTER B/L]]</f>
        <v>DJSCSHB2EE91544L</v>
      </c>
      <c r="V162" s="97">
        <f>表1_8[[#This Row],[件]]</f>
        <v>281</v>
      </c>
      <c r="W162" s="97">
        <f>表1_8[[#This Row],[毛]]</f>
        <v>3563.39</v>
      </c>
      <c r="X162" s="97">
        <f>表1_8[[#This Row],[体]]</f>
        <v>8.83</v>
      </c>
      <c r="Y162" s="98" t="str">
        <f>表1_8[[#This Row],[品名]]</f>
        <v>STEPPING MOTOR</v>
      </c>
      <c r="Z162" s="98" t="str">
        <f>RIGHT(表1_8[[#This Row],[编]],4)</f>
        <v>40HQ</v>
      </c>
      <c r="AA162" s="97" t="str">
        <f>表1_8[[#This Row],[箱号]]</f>
        <v>FCIU7084364</v>
      </c>
      <c r="AB162" s="96" t="str">
        <f>表1_8[[#This Row],[封号]]</f>
        <v>719496</v>
      </c>
      <c r="AC162" s="97">
        <f>表2[[#This Row],[件]]</f>
        <v>281</v>
      </c>
      <c r="AD162" s="97">
        <f>表2[[#This Row],[毛]]</f>
        <v>3563.39</v>
      </c>
      <c r="AE162" s="97">
        <f>表2[[#This Row],[体]]</f>
        <v>8.83</v>
      </c>
      <c r="AG162" s="97" t="str">
        <f>表1_8[[#This Row],[HOUSE B/L]]</f>
        <v>YJCSHAN1905280</v>
      </c>
      <c r="AH162" s="97" t="str">
        <f>表1_8[[#This Row],[MASTER B/L]]</f>
        <v>DJSCSHB2EE91544L</v>
      </c>
      <c r="AI162" s="97" t="str">
        <f>"ETD"&amp;TEXT(表1_8[[#This Row],[ETD]],"mmdd")&amp;" "&amp;表1_8[[#This Row],[HOUSE B/L]]&amp;" "&amp;表1_8[[#This Row],[MASTER B/L]]&amp;" CHECK BL"</f>
        <v>ETD0407 YJCSHAN1905280 DJSCSHB2EE91544L CHECK BL</v>
      </c>
      <c r="AJ162" s="97" t="str">
        <f>"ETD"&amp;TEXT(表1_8[[#This Row],[ETD]],"mmdd")&amp;" "&amp;表1_8[[#This Row],[HOUSE B/L]]&amp;" "&amp;表1_8[[#This Row],[MASTER B/L]]&amp;" 报关单"</f>
        <v>ETD0407 YJCSHAN1905280 DJSCSHB2EE91544L 报关单</v>
      </c>
      <c r="AK162" s="97" t="str">
        <f>"ETD"&amp;TEXT(表1_8[[#This Row],[ETD]],"mmdd")&amp;" "&amp;表1_8[[#This Row],[HOUSE B/L]]&amp;" "&amp;表1_8[[#This Row],[MASTER B/L]]&amp;" 放行单"</f>
        <v>ETD0407 YJCSHAN1905280 DJSCSHB2EE91544L 放行单</v>
      </c>
      <c r="AL162" s="97" t="str">
        <f>"ETD"&amp;TEXT(表1_8[[#This Row],[ETD]],"mmdd")&amp;" "&amp;表1_8[[#This Row],[HOUSE B/L]]&amp;" "&amp;表1_8[[#This Row],[MASTER B/L]]&amp;" SURRENDERED BL"</f>
        <v>ETD0407 YJCSHAN1905280 DJSCSHB2EE91544L SURRENDERED BL</v>
      </c>
    </row>
    <row r="163" spans="2:38" ht="36" hidden="1" x14ac:dyDescent="0.2">
      <c r="B163" s="22">
        <v>43562</v>
      </c>
      <c r="C163" s="23">
        <v>12</v>
      </c>
      <c r="D163" s="23" t="s">
        <v>1096</v>
      </c>
      <c r="E163" s="23"/>
      <c r="F163" s="24" t="s">
        <v>1173</v>
      </c>
      <c r="G163" s="24" t="s">
        <v>1080</v>
      </c>
      <c r="H163" s="24" t="s">
        <v>1082</v>
      </c>
      <c r="I163" s="23">
        <v>79</v>
      </c>
      <c r="J163" s="23">
        <v>642</v>
      </c>
      <c r="K163" s="23">
        <v>5</v>
      </c>
      <c r="L163" s="51">
        <v>2</v>
      </c>
      <c r="M163" s="51">
        <v>642</v>
      </c>
      <c r="N163" s="51">
        <v>5</v>
      </c>
      <c r="O163" s="31" t="s">
        <v>1121</v>
      </c>
      <c r="P163" s="24" t="s">
        <v>1139</v>
      </c>
      <c r="Q163" s="23" t="s">
        <v>1140</v>
      </c>
      <c r="R163" s="25" t="s">
        <v>1141</v>
      </c>
      <c r="T163" s="97" t="str">
        <f>表1_8[[#This Row],[客户编号]]</f>
        <v>YJCSHAN190531311</v>
      </c>
      <c r="U163" s="97" t="str">
        <f>表1_8[[#This Row],[MASTER B/L]]</f>
        <v>DJSCSHB2EE91544M</v>
      </c>
      <c r="V163" s="97">
        <f>表1_8[[#This Row],[件]]</f>
        <v>79</v>
      </c>
      <c r="W163" s="97">
        <f>表1_8[[#This Row],[毛]]</f>
        <v>642</v>
      </c>
      <c r="X163" s="97">
        <f>表1_8[[#This Row],[体]]</f>
        <v>5</v>
      </c>
      <c r="Y163" s="98" t="str">
        <f>表1_8[[#This Row],[品名]]</f>
        <v>PUSH TO CLOSE LATCH
HINGES, CUSTOM
BATCH(ES)</v>
      </c>
      <c r="Z163" s="98" t="str">
        <f>RIGHT(表1_8[[#This Row],[编]],4)</f>
        <v>40HQ</v>
      </c>
      <c r="AA163" s="97" t="str">
        <f>表1_8[[#This Row],[箱号]]</f>
        <v>FCIU7084364</v>
      </c>
      <c r="AB163" s="96" t="str">
        <f>表1_8[[#This Row],[封号]]</f>
        <v>719496</v>
      </c>
      <c r="AC163" s="97">
        <f>表2[[#This Row],[件]]</f>
        <v>79</v>
      </c>
      <c r="AD163" s="97">
        <f>表2[[#This Row],[毛]]</f>
        <v>642</v>
      </c>
      <c r="AE163" s="97">
        <f>表2[[#This Row],[体]]</f>
        <v>5</v>
      </c>
      <c r="AG163" s="97" t="str">
        <f>表1_8[[#This Row],[HOUSE B/L]]</f>
        <v>YJCSHAN1905299</v>
      </c>
      <c r="AH163" s="97" t="str">
        <f>表1_8[[#This Row],[MASTER B/L]]</f>
        <v>DJSCSHB2EE91544M</v>
      </c>
      <c r="AI163" s="97" t="str">
        <f>"ETD"&amp;TEXT(表1_8[[#This Row],[ETD]],"mmdd")&amp;" "&amp;表1_8[[#This Row],[HOUSE B/L]]&amp;" "&amp;表1_8[[#This Row],[MASTER B/L]]&amp;" CHECK BL"</f>
        <v>ETD0407 YJCSHAN1905299 DJSCSHB2EE91544M CHECK BL</v>
      </c>
      <c r="AJ163" s="97" t="str">
        <f>"ETD"&amp;TEXT(表1_8[[#This Row],[ETD]],"mmdd")&amp;" "&amp;表1_8[[#This Row],[HOUSE B/L]]&amp;" "&amp;表1_8[[#This Row],[MASTER B/L]]&amp;" 报关单"</f>
        <v>ETD0407 YJCSHAN1905299 DJSCSHB2EE91544M 报关单</v>
      </c>
      <c r="AK163" s="97" t="str">
        <f>"ETD"&amp;TEXT(表1_8[[#This Row],[ETD]],"mmdd")&amp;" "&amp;表1_8[[#This Row],[HOUSE B/L]]&amp;" "&amp;表1_8[[#This Row],[MASTER B/L]]&amp;" 放行单"</f>
        <v>ETD0407 YJCSHAN1905299 DJSCSHB2EE91544M 放行单</v>
      </c>
      <c r="AL163" s="97" t="str">
        <f>"ETD"&amp;TEXT(表1_8[[#This Row],[ETD]],"mmdd")&amp;" "&amp;表1_8[[#This Row],[HOUSE B/L]]&amp;" "&amp;表1_8[[#This Row],[MASTER B/L]]&amp;" SURRENDERED BL"</f>
        <v>ETD0407 YJCSHAN1905299 DJSCSHB2EE91544M SURRENDERED BL</v>
      </c>
    </row>
    <row r="164" spans="2:38" ht="48" hidden="1" x14ac:dyDescent="0.2">
      <c r="B164" s="22">
        <v>43562</v>
      </c>
      <c r="C164" s="23">
        <v>32</v>
      </c>
      <c r="D164" s="23" t="s">
        <v>1096</v>
      </c>
      <c r="E164" s="93"/>
      <c r="F164" s="24" t="s">
        <v>1191</v>
      </c>
      <c r="G164" s="24" t="s">
        <v>1080</v>
      </c>
      <c r="H164" s="24" t="s">
        <v>1123</v>
      </c>
      <c r="I164" s="94">
        <v>2</v>
      </c>
      <c r="J164" s="94">
        <v>30</v>
      </c>
      <c r="K164" s="94">
        <v>0.2</v>
      </c>
      <c r="L164" s="95">
        <v>1</v>
      </c>
      <c r="M164" s="95">
        <v>30</v>
      </c>
      <c r="N164" s="95">
        <v>0.2</v>
      </c>
      <c r="O164" s="31" t="s">
        <v>1161</v>
      </c>
      <c r="P164" s="24" t="s">
        <v>1139</v>
      </c>
      <c r="Q164" s="23" t="s">
        <v>1140</v>
      </c>
      <c r="R164" s="25" t="s">
        <v>1141</v>
      </c>
      <c r="T164" s="97" t="str">
        <f>表1_8[[#This Row],[客户编号]]</f>
        <v>YJCSHAN190531329</v>
      </c>
      <c r="U164" s="97" t="str">
        <f>表1_8[[#This Row],[MASTER B/L]]</f>
        <v>DJSCSHB2EE91545G</v>
      </c>
      <c r="V164" s="97">
        <f>表1_8[[#This Row],[件]]</f>
        <v>2</v>
      </c>
      <c r="W164" s="97">
        <f>表1_8[[#This Row],[毛]]</f>
        <v>30</v>
      </c>
      <c r="X164" s="97">
        <f>表1_8[[#This Row],[体]]</f>
        <v>0.2</v>
      </c>
      <c r="Y164" s="98" t="str">
        <f>表1_8[[#This Row],[品名]]</f>
        <v>MINI ELEC KPR, STD W/ SWITCH &amp; OVERRIDE
BATCH(ES)
BAF &amp; CAF PP</v>
      </c>
      <c r="Z164" s="98" t="str">
        <f>RIGHT(表1_8[[#This Row],[编]],4)</f>
        <v>40HQ</v>
      </c>
      <c r="AA164" s="97" t="str">
        <f>表1_8[[#This Row],[箱号]]</f>
        <v>FCIU7084364</v>
      </c>
      <c r="AB164" s="96" t="str">
        <f>表1_8[[#This Row],[封号]]</f>
        <v>719496</v>
      </c>
      <c r="AC164" s="97">
        <f>表2[[#This Row],[件]]</f>
        <v>2</v>
      </c>
      <c r="AD164" s="97">
        <f>表2[[#This Row],[毛]]</f>
        <v>30</v>
      </c>
      <c r="AE164" s="97">
        <f>表2[[#This Row],[体]]</f>
        <v>0.2</v>
      </c>
      <c r="AG164" s="97" t="str">
        <f>表1_8[[#This Row],[HOUSE B/L]]</f>
        <v>YJCSHAN1905299</v>
      </c>
      <c r="AH164" s="97" t="str">
        <f>表1_8[[#This Row],[MASTER B/L]]</f>
        <v>DJSCSHB2EE91545G</v>
      </c>
      <c r="AI164" s="97" t="str">
        <f>"ETD"&amp;TEXT(表1_8[[#This Row],[ETD]],"mmdd")&amp;" "&amp;表1_8[[#This Row],[HOUSE B/L]]&amp;" "&amp;表1_8[[#This Row],[MASTER B/L]]&amp;" CHECK BL"</f>
        <v>ETD0407 YJCSHAN1905299 DJSCSHB2EE91545G CHECK BL</v>
      </c>
      <c r="AJ164" s="97" t="str">
        <f>"ETD"&amp;TEXT(表1_8[[#This Row],[ETD]],"mmdd")&amp;" "&amp;表1_8[[#This Row],[HOUSE B/L]]&amp;" "&amp;表1_8[[#This Row],[MASTER B/L]]&amp;" 报关单"</f>
        <v>ETD0407 YJCSHAN1905299 DJSCSHB2EE91545G 报关单</v>
      </c>
      <c r="AK164" s="97" t="str">
        <f>"ETD"&amp;TEXT(表1_8[[#This Row],[ETD]],"mmdd")&amp;" "&amp;表1_8[[#This Row],[HOUSE B/L]]&amp;" "&amp;表1_8[[#This Row],[MASTER B/L]]&amp;" 放行单"</f>
        <v>ETD0407 YJCSHAN1905299 DJSCSHB2EE91545G 放行单</v>
      </c>
      <c r="AL164" s="97" t="str">
        <f>"ETD"&amp;TEXT(表1_8[[#This Row],[ETD]],"mmdd")&amp;" "&amp;表1_8[[#This Row],[HOUSE B/L]]&amp;" "&amp;表1_8[[#This Row],[MASTER B/L]]&amp;" SURRENDERED BL"</f>
        <v>ETD0407 YJCSHAN1905299 DJSCSHB2EE91545G SURRENDERED BL</v>
      </c>
    </row>
    <row r="165" spans="2:38" ht="24" x14ac:dyDescent="0.2">
      <c r="B165" s="22">
        <v>43562</v>
      </c>
      <c r="C165" s="23">
        <v>9</v>
      </c>
      <c r="D165" s="23" t="s">
        <v>61</v>
      </c>
      <c r="E165" s="23"/>
      <c r="F165" s="24" t="s">
        <v>1170</v>
      </c>
      <c r="G165" s="24" t="s">
        <v>1061</v>
      </c>
      <c r="H165" s="24" t="s">
        <v>1060</v>
      </c>
      <c r="I165" s="23">
        <v>42</v>
      </c>
      <c r="J165" s="23">
        <v>504.92</v>
      </c>
      <c r="K165" s="23">
        <v>1.69</v>
      </c>
      <c r="L165" s="51">
        <v>2</v>
      </c>
      <c r="M165" s="51">
        <v>504.92</v>
      </c>
      <c r="N165" s="51">
        <v>1.69</v>
      </c>
      <c r="O165" s="31" t="s">
        <v>1059</v>
      </c>
      <c r="P165" s="24" t="s">
        <v>1142</v>
      </c>
      <c r="Q165" s="23" t="s">
        <v>1143</v>
      </c>
      <c r="R165" s="25" t="s">
        <v>1144</v>
      </c>
      <c r="T165" s="97" t="str">
        <f>表1_8[[#This Row],[客户编号]]</f>
        <v>YJCSHAN190531308</v>
      </c>
      <c r="U165" s="97" t="str">
        <f>表1_8[[#This Row],[MASTER B/L]]</f>
        <v>DJSCSHB2EE91544J</v>
      </c>
      <c r="V165" s="97">
        <f>表1_8[[#This Row],[件]]</f>
        <v>42</v>
      </c>
      <c r="W165" s="97">
        <f>表1_8[[#This Row],[毛]]</f>
        <v>504.92</v>
      </c>
      <c r="X165" s="97">
        <f>表1_8[[#This Row],[体]]</f>
        <v>1.69</v>
      </c>
      <c r="Y165" s="98" t="str">
        <f>表1_8[[#This Row],[品名]]</f>
        <v>STEPPING MOTOR</v>
      </c>
      <c r="Z165" s="98" t="str">
        <f>RIGHT(表1_8[[#This Row],[编]],4)</f>
        <v>40HQ</v>
      </c>
      <c r="AA165" s="97" t="str">
        <f>表1_8[[#This Row],[箱号]]</f>
        <v>DJLU5153163</v>
      </c>
      <c r="AB165" s="96" t="str">
        <f>表1_8[[#This Row],[封号]]</f>
        <v>719414</v>
      </c>
      <c r="AC165" s="97">
        <f>表2[[#This Row],[件]]</f>
        <v>42</v>
      </c>
      <c r="AD165" s="97">
        <f>表2[[#This Row],[毛]]</f>
        <v>504.92</v>
      </c>
      <c r="AE165" s="97">
        <f>表2[[#This Row],[体]]</f>
        <v>1.69</v>
      </c>
      <c r="AG165" s="97" t="str">
        <f>表1_8[[#This Row],[HOUSE B/L]]</f>
        <v>YJCSHAN1905278</v>
      </c>
      <c r="AH165" s="97" t="str">
        <f>表1_8[[#This Row],[MASTER B/L]]</f>
        <v>DJSCSHB2EE91544J</v>
      </c>
      <c r="AI165" s="97" t="str">
        <f>"ETD"&amp;TEXT(表1_8[[#This Row],[ETD]],"mmdd")&amp;" "&amp;表1_8[[#This Row],[HOUSE B/L]]&amp;" "&amp;表1_8[[#This Row],[MASTER B/L]]&amp;" CHECK BL"</f>
        <v>ETD0407 YJCSHAN1905278 DJSCSHB2EE91544J CHECK BL</v>
      </c>
      <c r="AJ165" s="97" t="str">
        <f>"ETD"&amp;TEXT(表1_8[[#This Row],[ETD]],"mmdd")&amp;" "&amp;表1_8[[#This Row],[HOUSE B/L]]&amp;" "&amp;表1_8[[#This Row],[MASTER B/L]]&amp;" 报关单"</f>
        <v>ETD0407 YJCSHAN1905278 DJSCSHB2EE91544J 报关单</v>
      </c>
      <c r="AK165" s="97" t="str">
        <f>"ETD"&amp;TEXT(表1_8[[#This Row],[ETD]],"mmdd")&amp;" "&amp;表1_8[[#This Row],[HOUSE B/L]]&amp;" "&amp;表1_8[[#This Row],[MASTER B/L]]&amp;" 放行单"</f>
        <v>ETD0407 YJCSHAN1905278 DJSCSHB2EE91544J 放行单</v>
      </c>
      <c r="AL165" s="97" t="str">
        <f>"ETD"&amp;TEXT(表1_8[[#This Row],[ETD]],"mmdd")&amp;" "&amp;表1_8[[#This Row],[HOUSE B/L]]&amp;" "&amp;表1_8[[#This Row],[MASTER B/L]]&amp;" SURRENDERED BL"</f>
        <v>ETD0407 YJCSHAN1905278 DJSCSHB2EE91544J SURRENDERED BL</v>
      </c>
    </row>
    <row r="166" spans="2:38" ht="24" hidden="1" x14ac:dyDescent="0.2">
      <c r="B166" s="22">
        <v>43562</v>
      </c>
      <c r="C166" s="23">
        <v>15</v>
      </c>
      <c r="D166" s="23" t="s">
        <v>1098</v>
      </c>
      <c r="E166" s="23"/>
      <c r="F166" s="24" t="s">
        <v>1175</v>
      </c>
      <c r="G166" s="24" t="s">
        <v>1050</v>
      </c>
      <c r="H166" s="24" t="s">
        <v>1051</v>
      </c>
      <c r="I166" s="23">
        <v>8</v>
      </c>
      <c r="J166" s="23">
        <v>3618</v>
      </c>
      <c r="K166" s="23">
        <v>13</v>
      </c>
      <c r="L166" s="51">
        <v>8</v>
      </c>
      <c r="M166" s="51">
        <v>3618</v>
      </c>
      <c r="N166" s="51">
        <v>13</v>
      </c>
      <c r="O166" s="31" t="s">
        <v>1052</v>
      </c>
      <c r="P166" s="24" t="s">
        <v>1131</v>
      </c>
      <c r="Q166" s="23" t="s">
        <v>1129</v>
      </c>
      <c r="R166" s="25" t="s">
        <v>1130</v>
      </c>
      <c r="T166" s="97" t="str">
        <f>表1_8[[#This Row],[客户编号]]</f>
        <v>YJCSHAN190531313</v>
      </c>
      <c r="U166" s="97" t="str">
        <f>表1_8[[#This Row],[MASTER B/L]]</f>
        <v>DJSCSHB2EE91544P</v>
      </c>
      <c r="V166" s="97">
        <f>表1_8[[#This Row],[件]]</f>
        <v>8</v>
      </c>
      <c r="W166" s="97">
        <f>表1_8[[#This Row],[毛]]</f>
        <v>3618</v>
      </c>
      <c r="X166" s="97">
        <f>表1_8[[#This Row],[体]]</f>
        <v>13</v>
      </c>
      <c r="Y166" s="98" t="str">
        <f>表1_8[[#This Row],[品名]]</f>
        <v>COIL
ELECTRONIC EXPANSION VALUE</v>
      </c>
      <c r="Z166" s="98" t="str">
        <f>RIGHT(表1_8[[#This Row],[编]],4)</f>
        <v>40HQ</v>
      </c>
      <c r="AA166" s="97" t="str">
        <f>表1_8[[#This Row],[箱号]]</f>
        <v>DJLU5156049</v>
      </c>
      <c r="AB166" s="96" t="str">
        <f>表1_8[[#This Row],[封号]]</f>
        <v>DJSC719477</v>
      </c>
      <c r="AC166" s="97">
        <f>表2[[#This Row],[件]]</f>
        <v>8</v>
      </c>
      <c r="AD166" s="97">
        <f>表2[[#This Row],[毛]]</f>
        <v>3618</v>
      </c>
      <c r="AE166" s="97">
        <f>表2[[#This Row],[体]]</f>
        <v>13</v>
      </c>
      <c r="AG166" s="97" t="str">
        <f>表1_8[[#This Row],[HOUSE B/L]]</f>
        <v>YJCSHAN1905314</v>
      </c>
      <c r="AH166" s="97" t="str">
        <f>表1_8[[#This Row],[MASTER B/L]]</f>
        <v>DJSCSHB2EE91544P</v>
      </c>
      <c r="AI166" s="97" t="str">
        <f>"ETD"&amp;TEXT(表1_8[[#This Row],[ETD]],"mmdd")&amp;" "&amp;表1_8[[#This Row],[HOUSE B/L]]&amp;" "&amp;表1_8[[#This Row],[MASTER B/L]]&amp;" CHECK BL"</f>
        <v>ETD0407 YJCSHAN1905314 DJSCSHB2EE91544P CHECK BL</v>
      </c>
      <c r="AJ166" s="97" t="str">
        <f>"ETD"&amp;TEXT(表1_8[[#This Row],[ETD]],"mmdd")&amp;" "&amp;表1_8[[#This Row],[HOUSE B/L]]&amp;" "&amp;表1_8[[#This Row],[MASTER B/L]]&amp;" 报关单"</f>
        <v>ETD0407 YJCSHAN1905314 DJSCSHB2EE91544P 报关单</v>
      </c>
      <c r="AK166" s="97" t="str">
        <f>"ETD"&amp;TEXT(表1_8[[#This Row],[ETD]],"mmdd")&amp;" "&amp;表1_8[[#This Row],[HOUSE B/L]]&amp;" "&amp;表1_8[[#This Row],[MASTER B/L]]&amp;" 放行单"</f>
        <v>ETD0407 YJCSHAN1905314 DJSCSHB2EE91544P 放行单</v>
      </c>
      <c r="AL166" s="97" t="str">
        <f>"ETD"&amp;TEXT(表1_8[[#This Row],[ETD]],"mmdd")&amp;" "&amp;表1_8[[#This Row],[HOUSE B/L]]&amp;" "&amp;表1_8[[#This Row],[MASTER B/L]]&amp;" SURRENDERED BL"</f>
        <v>ETD0407 YJCSHAN1905314 DJSCSHB2EE91544P SURRENDERED BL</v>
      </c>
    </row>
    <row r="167" spans="2:38" ht="60" x14ac:dyDescent="0.2">
      <c r="B167" s="22">
        <v>43562</v>
      </c>
      <c r="C167" s="23">
        <v>14</v>
      </c>
      <c r="D167" s="23" t="s">
        <v>801</v>
      </c>
      <c r="E167" s="23"/>
      <c r="F167" s="24" t="s">
        <v>1084</v>
      </c>
      <c r="G167" s="24" t="s">
        <v>1084</v>
      </c>
      <c r="H167" s="24" t="s">
        <v>1073</v>
      </c>
      <c r="I167" s="23">
        <v>2</v>
      </c>
      <c r="J167" s="23">
        <v>135</v>
      </c>
      <c r="K167" s="23">
        <v>0.7</v>
      </c>
      <c r="L167" s="51">
        <v>2</v>
      </c>
      <c r="M167" s="51">
        <v>135</v>
      </c>
      <c r="N167" s="51">
        <v>0.7</v>
      </c>
      <c r="O167" s="31" t="s">
        <v>1118</v>
      </c>
      <c r="P167" s="24" t="s">
        <v>1142</v>
      </c>
      <c r="Q167" s="23" t="s">
        <v>1143</v>
      </c>
      <c r="R167" s="25" t="s">
        <v>1144</v>
      </c>
      <c r="T167" s="97" t="str">
        <f>表1_8[[#This Row],[客户编号]]</f>
        <v>YJCSHAN1905313</v>
      </c>
      <c r="U167" s="97" t="str">
        <f>表1_8[[#This Row],[MASTER B/L]]</f>
        <v>DJSCSHB2EE91544A</v>
      </c>
      <c r="V167" s="97">
        <f>表1_8[[#This Row],[件]]</f>
        <v>2</v>
      </c>
      <c r="W167" s="97">
        <f>表1_8[[#This Row],[毛]]</f>
        <v>135</v>
      </c>
      <c r="X167" s="97">
        <f>表1_8[[#This Row],[体]]</f>
        <v>0.7</v>
      </c>
      <c r="Y167" s="98" t="str">
        <f>表1_8[[#This Row],[品名]]</f>
        <v>ELECTRONIC EXPANSION VALVE
COIL</v>
      </c>
      <c r="Z167" s="98" t="str">
        <f>RIGHT(表1_8[[#This Row],[编]],4)</f>
        <v>40HQ</v>
      </c>
      <c r="AA167" s="97" t="str">
        <f>表1_8[[#This Row],[箱号]]</f>
        <v>DJLU5153163</v>
      </c>
      <c r="AB167" s="96" t="str">
        <f>表1_8[[#This Row],[封号]]</f>
        <v>719414</v>
      </c>
      <c r="AC167" s="97">
        <f>表2[[#This Row],[件]]</f>
        <v>2</v>
      </c>
      <c r="AD167" s="97">
        <f>表2[[#This Row],[毛]]</f>
        <v>135</v>
      </c>
      <c r="AE167" s="97">
        <f>表2[[#This Row],[体]]</f>
        <v>0.7</v>
      </c>
      <c r="AG167" s="97" t="str">
        <f>表1_8[[#This Row],[HOUSE B/L]]</f>
        <v>YJCSHAN1905313</v>
      </c>
      <c r="AH167" s="97" t="str">
        <f>表1_8[[#This Row],[MASTER B/L]]</f>
        <v>DJSCSHB2EE91544A</v>
      </c>
      <c r="AI167" s="97" t="str">
        <f>"ETD"&amp;TEXT(表1_8[[#This Row],[ETD]],"mmdd")&amp;" "&amp;表1_8[[#This Row],[HOUSE B/L]]&amp;" "&amp;表1_8[[#This Row],[MASTER B/L]]&amp;" CHECK BL"</f>
        <v>ETD0407 YJCSHAN1905313 DJSCSHB2EE91544A CHECK BL</v>
      </c>
      <c r="AJ167" s="97" t="str">
        <f>"ETD"&amp;TEXT(表1_8[[#This Row],[ETD]],"mmdd")&amp;" "&amp;表1_8[[#This Row],[HOUSE B/L]]&amp;" "&amp;表1_8[[#This Row],[MASTER B/L]]&amp;" 报关单"</f>
        <v>ETD0407 YJCSHAN1905313 DJSCSHB2EE91544A 报关单</v>
      </c>
      <c r="AK167" s="97" t="str">
        <f>"ETD"&amp;TEXT(表1_8[[#This Row],[ETD]],"mmdd")&amp;" "&amp;表1_8[[#This Row],[HOUSE B/L]]&amp;" "&amp;表1_8[[#This Row],[MASTER B/L]]&amp;" 放行单"</f>
        <v>ETD0407 YJCSHAN1905313 DJSCSHB2EE91544A 放行单</v>
      </c>
      <c r="AL167" s="97" t="str">
        <f>"ETD"&amp;TEXT(表1_8[[#This Row],[ETD]],"mmdd")&amp;" "&amp;表1_8[[#This Row],[HOUSE B/L]]&amp;" "&amp;表1_8[[#This Row],[MASTER B/L]]&amp;" SURRENDERED BL"</f>
        <v>ETD0407 YJCSHAN1905313 DJSCSHB2EE91544A SURRENDERED BL</v>
      </c>
    </row>
    <row r="168" spans="2:38" hidden="1" x14ac:dyDescent="0.2">
      <c r="B168" s="22">
        <v>43562</v>
      </c>
      <c r="C168" s="23">
        <v>13</v>
      </c>
      <c r="D168" s="23" t="s">
        <v>1097</v>
      </c>
      <c r="E168" s="23"/>
      <c r="F168" s="24" t="s">
        <v>1174</v>
      </c>
      <c r="G168" s="24" t="s">
        <v>1081</v>
      </c>
      <c r="H168" s="24" t="s">
        <v>1083</v>
      </c>
      <c r="I168" s="23">
        <v>1</v>
      </c>
      <c r="J168" s="23">
        <v>66</v>
      </c>
      <c r="K168" s="23">
        <v>0.9</v>
      </c>
      <c r="L168" s="51">
        <v>1</v>
      </c>
      <c r="M168" s="51">
        <v>66</v>
      </c>
      <c r="N168" s="51">
        <v>0.9</v>
      </c>
      <c r="O168" s="31" t="s">
        <v>1116</v>
      </c>
      <c r="P168" s="24" t="s">
        <v>1139</v>
      </c>
      <c r="Q168" s="23" t="s">
        <v>1140</v>
      </c>
      <c r="R168" s="25" t="s">
        <v>1141</v>
      </c>
      <c r="T168" s="97" t="str">
        <f>表1_8[[#This Row],[客户编号]]</f>
        <v>YJCSHAN190531312</v>
      </c>
      <c r="U168" s="97" t="str">
        <f>表1_8[[#This Row],[MASTER B/L]]</f>
        <v>DJSCSHB2EE91544N</v>
      </c>
      <c r="V168" s="97">
        <f>表1_8[[#This Row],[件]]</f>
        <v>1</v>
      </c>
      <c r="W168" s="97">
        <f>表1_8[[#This Row],[毛]]</f>
        <v>66</v>
      </c>
      <c r="X168" s="97">
        <f>表1_8[[#This Row],[体]]</f>
        <v>0.9</v>
      </c>
      <c r="Y168" s="98" t="str">
        <f>表1_8[[#This Row],[品名]]</f>
        <v>CASSETTE-OPENING ROOF</v>
      </c>
      <c r="Z168" s="98" t="str">
        <f>RIGHT(表1_8[[#This Row],[编]],4)</f>
        <v>40HQ</v>
      </c>
      <c r="AA168" s="97" t="str">
        <f>表1_8[[#This Row],[箱号]]</f>
        <v>FCIU7084364</v>
      </c>
      <c r="AB168" s="96" t="str">
        <f>表1_8[[#This Row],[封号]]</f>
        <v>719496</v>
      </c>
      <c r="AC168" s="97">
        <f>表2[[#This Row],[件]]</f>
        <v>1</v>
      </c>
      <c r="AD168" s="97">
        <f>表2[[#This Row],[毛]]</f>
        <v>66</v>
      </c>
      <c r="AE168" s="97">
        <f>表2[[#This Row],[体]]</f>
        <v>0.9</v>
      </c>
      <c r="AG168" s="97" t="str">
        <f>表1_8[[#This Row],[HOUSE B/L]]</f>
        <v>YJCSHAN1905311</v>
      </c>
      <c r="AH168" s="97" t="str">
        <f>表1_8[[#This Row],[MASTER B/L]]</f>
        <v>DJSCSHB2EE91544N</v>
      </c>
      <c r="AI168" s="97" t="str">
        <f>"ETD"&amp;TEXT(表1_8[[#This Row],[ETD]],"mmdd")&amp;" "&amp;表1_8[[#This Row],[HOUSE B/L]]&amp;" "&amp;表1_8[[#This Row],[MASTER B/L]]&amp;" CHECK BL"</f>
        <v>ETD0407 YJCSHAN1905311 DJSCSHB2EE91544N CHECK BL</v>
      </c>
      <c r="AJ168" s="97" t="str">
        <f>"ETD"&amp;TEXT(表1_8[[#This Row],[ETD]],"mmdd")&amp;" "&amp;表1_8[[#This Row],[HOUSE B/L]]&amp;" "&amp;表1_8[[#This Row],[MASTER B/L]]&amp;" 报关单"</f>
        <v>ETD0407 YJCSHAN1905311 DJSCSHB2EE91544N 报关单</v>
      </c>
      <c r="AK168" s="97" t="str">
        <f>"ETD"&amp;TEXT(表1_8[[#This Row],[ETD]],"mmdd")&amp;" "&amp;表1_8[[#This Row],[HOUSE B/L]]&amp;" "&amp;表1_8[[#This Row],[MASTER B/L]]&amp;" 放行单"</f>
        <v>ETD0407 YJCSHAN1905311 DJSCSHB2EE91544N 放行单</v>
      </c>
      <c r="AL168" s="97" t="str">
        <f>"ETD"&amp;TEXT(表1_8[[#This Row],[ETD]],"mmdd")&amp;" "&amp;表1_8[[#This Row],[HOUSE B/L]]&amp;" "&amp;表1_8[[#This Row],[MASTER B/L]]&amp;" SURRENDERED BL"</f>
        <v>ETD0407 YJCSHAN1905311 DJSCSHB2EE91544N SURRENDERED BL</v>
      </c>
    </row>
    <row r="169" spans="2:38" ht="60" x14ac:dyDescent="0.2">
      <c r="B169" s="22">
        <v>43562</v>
      </c>
      <c r="C169" s="23">
        <v>16</v>
      </c>
      <c r="D169" s="23" t="s">
        <v>1098</v>
      </c>
      <c r="E169" s="23"/>
      <c r="F169" s="24" t="s">
        <v>1176</v>
      </c>
      <c r="G169" s="24" t="s">
        <v>1053</v>
      </c>
      <c r="H169" s="24" t="s">
        <v>1054</v>
      </c>
      <c r="I169" s="23">
        <v>5</v>
      </c>
      <c r="J169" s="23">
        <v>2125</v>
      </c>
      <c r="K169" s="23">
        <v>7.5</v>
      </c>
      <c r="L169" s="51">
        <v>5</v>
      </c>
      <c r="M169" s="51">
        <v>2125</v>
      </c>
      <c r="N169" s="51">
        <v>7.5</v>
      </c>
      <c r="O169" s="31" t="s">
        <v>1055</v>
      </c>
      <c r="P169" s="24" t="s">
        <v>1142</v>
      </c>
      <c r="Q169" s="23" t="s">
        <v>1143</v>
      </c>
      <c r="R169" s="25" t="s">
        <v>1144</v>
      </c>
      <c r="T169" s="97" t="str">
        <f>表1_8[[#This Row],[客户编号]]</f>
        <v>YJCSHAN190531314</v>
      </c>
      <c r="U169" s="97" t="str">
        <f>表1_8[[#This Row],[MASTER B/L]]</f>
        <v>DJSCSHB2EE91544Q</v>
      </c>
      <c r="V169" s="97">
        <f>表1_8[[#This Row],[件]]</f>
        <v>5</v>
      </c>
      <c r="W169" s="97">
        <f>表1_8[[#This Row],[毛]]</f>
        <v>2125</v>
      </c>
      <c r="X169" s="97">
        <f>表1_8[[#This Row],[体]]</f>
        <v>7.5</v>
      </c>
      <c r="Y169" s="98" t="str">
        <f>表1_8[[#This Row],[品名]]</f>
        <v>COIL
CHARGE VALVE
SERVICE VALVE
SOLENOID VALVE
4 WAY REVERSING VALVE</v>
      </c>
      <c r="Z169" s="98" t="str">
        <f>RIGHT(表1_8[[#This Row],[编]],4)</f>
        <v>40HQ</v>
      </c>
      <c r="AA169" s="97" t="str">
        <f>表1_8[[#This Row],[箱号]]</f>
        <v>DJLU5153163</v>
      </c>
      <c r="AB169" s="96" t="str">
        <f>表1_8[[#This Row],[封号]]</f>
        <v>719414</v>
      </c>
      <c r="AC169" s="97">
        <f>表2[[#This Row],[件]]</f>
        <v>5</v>
      </c>
      <c r="AD169" s="97">
        <f>表2[[#This Row],[毛]]</f>
        <v>2125</v>
      </c>
      <c r="AE169" s="97">
        <f>表2[[#This Row],[体]]</f>
        <v>7.5</v>
      </c>
      <c r="AG169" s="97" t="str">
        <f>表1_8[[#This Row],[HOUSE B/L]]</f>
        <v>YJCSHAN1905315</v>
      </c>
      <c r="AH169" s="97" t="str">
        <f>表1_8[[#This Row],[MASTER B/L]]</f>
        <v>DJSCSHB2EE91544Q</v>
      </c>
      <c r="AI169" s="97" t="str">
        <f>"ETD"&amp;TEXT(表1_8[[#This Row],[ETD]],"mmdd")&amp;" "&amp;表1_8[[#This Row],[HOUSE B/L]]&amp;" "&amp;表1_8[[#This Row],[MASTER B/L]]&amp;" CHECK BL"</f>
        <v>ETD0407 YJCSHAN1905315 DJSCSHB2EE91544Q CHECK BL</v>
      </c>
      <c r="AJ169" s="97" t="str">
        <f>"ETD"&amp;TEXT(表1_8[[#This Row],[ETD]],"mmdd")&amp;" "&amp;表1_8[[#This Row],[HOUSE B/L]]&amp;" "&amp;表1_8[[#This Row],[MASTER B/L]]&amp;" 报关单"</f>
        <v>ETD0407 YJCSHAN1905315 DJSCSHB2EE91544Q 报关单</v>
      </c>
      <c r="AK169" s="97" t="str">
        <f>"ETD"&amp;TEXT(表1_8[[#This Row],[ETD]],"mmdd")&amp;" "&amp;表1_8[[#This Row],[HOUSE B/L]]&amp;" "&amp;表1_8[[#This Row],[MASTER B/L]]&amp;" 放行单"</f>
        <v>ETD0407 YJCSHAN1905315 DJSCSHB2EE91544Q 放行单</v>
      </c>
      <c r="AL169" s="97" t="str">
        <f>"ETD"&amp;TEXT(表1_8[[#This Row],[ETD]],"mmdd")&amp;" "&amp;表1_8[[#This Row],[HOUSE B/L]]&amp;" "&amp;表1_8[[#This Row],[MASTER B/L]]&amp;" SURRENDERED BL"</f>
        <v>ETD0407 YJCSHAN1905315 DJSCSHB2EE91544Q SURRENDERED BL</v>
      </c>
    </row>
    <row r="170" spans="2:38" x14ac:dyDescent="0.2">
      <c r="B170" s="22">
        <v>43562</v>
      </c>
      <c r="C170" s="23">
        <v>18</v>
      </c>
      <c r="D170" s="23" t="s">
        <v>1099</v>
      </c>
      <c r="E170" s="23"/>
      <c r="F170" s="24" t="s">
        <v>1178</v>
      </c>
      <c r="G170" s="24" t="s">
        <v>1070</v>
      </c>
      <c r="H170" s="24" t="s">
        <v>1069</v>
      </c>
      <c r="I170" s="23">
        <v>3</v>
      </c>
      <c r="J170" s="23">
        <v>1218</v>
      </c>
      <c r="K170" s="23">
        <v>1.2</v>
      </c>
      <c r="L170" s="51">
        <v>3</v>
      </c>
      <c r="M170" s="51">
        <v>1218</v>
      </c>
      <c r="N170" s="51">
        <v>1.2</v>
      </c>
      <c r="O170" s="31" t="s">
        <v>1071</v>
      </c>
      <c r="P170" s="24" t="s">
        <v>1142</v>
      </c>
      <c r="Q170" s="23" t="s">
        <v>1143</v>
      </c>
      <c r="R170" s="25" t="s">
        <v>1144</v>
      </c>
      <c r="T170" s="97" t="str">
        <f>表1_8[[#This Row],[客户编号]]</f>
        <v>YJCSHAN190531316</v>
      </c>
      <c r="U170" s="97" t="str">
        <f>表1_8[[#This Row],[MASTER B/L]]</f>
        <v>DJSCSHB2EE91544S</v>
      </c>
      <c r="V170" s="97">
        <f>表1_8[[#This Row],[件]]</f>
        <v>3</v>
      </c>
      <c r="W170" s="97">
        <f>表1_8[[#This Row],[毛]]</f>
        <v>1218</v>
      </c>
      <c r="X170" s="97">
        <f>表1_8[[#This Row],[体]]</f>
        <v>1.2</v>
      </c>
      <c r="Y170" s="98" t="str">
        <f>表1_8[[#This Row],[品名]]</f>
        <v>BEARING</v>
      </c>
      <c r="Z170" s="98" t="str">
        <f>RIGHT(表1_8[[#This Row],[编]],4)</f>
        <v>40HQ</v>
      </c>
      <c r="AA170" s="97" t="str">
        <f>表1_8[[#This Row],[箱号]]</f>
        <v>DJLU5153163</v>
      </c>
      <c r="AB170" s="96" t="str">
        <f>表1_8[[#This Row],[封号]]</f>
        <v>719414</v>
      </c>
      <c r="AC170" s="97">
        <f>表2[[#This Row],[件]]</f>
        <v>3</v>
      </c>
      <c r="AD170" s="97">
        <f>表2[[#This Row],[毛]]</f>
        <v>1218</v>
      </c>
      <c r="AE170" s="97">
        <f>表2[[#This Row],[体]]</f>
        <v>1.2</v>
      </c>
      <c r="AG170" s="97" t="str">
        <f>表1_8[[#This Row],[HOUSE B/L]]</f>
        <v>YJCSHAN1905322</v>
      </c>
      <c r="AH170" s="97" t="str">
        <f>表1_8[[#This Row],[MASTER B/L]]</f>
        <v>DJSCSHB2EE91544S</v>
      </c>
      <c r="AI170" s="97" t="str">
        <f>"ETD"&amp;TEXT(表1_8[[#This Row],[ETD]],"mmdd")&amp;" "&amp;表1_8[[#This Row],[HOUSE B/L]]&amp;" "&amp;表1_8[[#This Row],[MASTER B/L]]&amp;" CHECK BL"</f>
        <v>ETD0407 YJCSHAN1905322 DJSCSHB2EE91544S CHECK BL</v>
      </c>
      <c r="AJ170" s="97" t="str">
        <f>"ETD"&amp;TEXT(表1_8[[#This Row],[ETD]],"mmdd")&amp;" "&amp;表1_8[[#This Row],[HOUSE B/L]]&amp;" "&amp;表1_8[[#This Row],[MASTER B/L]]&amp;" 报关单"</f>
        <v>ETD0407 YJCSHAN1905322 DJSCSHB2EE91544S 报关单</v>
      </c>
      <c r="AK170" s="97" t="str">
        <f>"ETD"&amp;TEXT(表1_8[[#This Row],[ETD]],"mmdd")&amp;" "&amp;表1_8[[#This Row],[HOUSE B/L]]&amp;" "&amp;表1_8[[#This Row],[MASTER B/L]]&amp;" 放行单"</f>
        <v>ETD0407 YJCSHAN1905322 DJSCSHB2EE91544S 放行单</v>
      </c>
      <c r="AL170" s="97" t="str">
        <f>"ETD"&amp;TEXT(表1_8[[#This Row],[ETD]],"mmdd")&amp;" "&amp;表1_8[[#This Row],[HOUSE B/L]]&amp;" "&amp;表1_8[[#This Row],[MASTER B/L]]&amp;" SURRENDERED BL"</f>
        <v>ETD0407 YJCSHAN1905322 DJSCSHB2EE91544S SURRENDERED BL</v>
      </c>
    </row>
    <row r="171" spans="2:38" ht="60" hidden="1" x14ac:dyDescent="0.2">
      <c r="B171" s="22">
        <v>43562</v>
      </c>
      <c r="C171" s="23">
        <v>20</v>
      </c>
      <c r="D171" s="23" t="s">
        <v>1101</v>
      </c>
      <c r="E171" s="23"/>
      <c r="F171" s="24" t="s">
        <v>1180</v>
      </c>
      <c r="G171" s="24" t="s">
        <v>1068</v>
      </c>
      <c r="H171" s="24" t="s">
        <v>1067</v>
      </c>
      <c r="I171" s="23">
        <v>1</v>
      </c>
      <c r="J171" s="23">
        <v>605</v>
      </c>
      <c r="K171" s="23">
        <v>1.2</v>
      </c>
      <c r="L171" s="51">
        <v>1</v>
      </c>
      <c r="M171" s="51">
        <v>605</v>
      </c>
      <c r="N171" s="51">
        <v>1.2</v>
      </c>
      <c r="O171" s="31" t="s">
        <v>1066</v>
      </c>
      <c r="P171" s="24" t="s">
        <v>1131</v>
      </c>
      <c r="Q171" s="23" t="s">
        <v>1129</v>
      </c>
      <c r="R171" s="25" t="s">
        <v>1130</v>
      </c>
      <c r="T171" s="97" t="str">
        <f>表1_8[[#This Row],[客户编号]]</f>
        <v>YJCSHAN190531318</v>
      </c>
      <c r="U171" s="97" t="str">
        <f>表1_8[[#This Row],[MASTER B/L]]</f>
        <v>DJSCSHB2EE91544U</v>
      </c>
      <c r="V171" s="97">
        <f>表1_8[[#This Row],[件]]</f>
        <v>1</v>
      </c>
      <c r="W171" s="97">
        <f>表1_8[[#This Row],[毛]]</f>
        <v>605</v>
      </c>
      <c r="X171" s="97">
        <f>表1_8[[#This Row],[体]]</f>
        <v>1.2</v>
      </c>
      <c r="Y171" s="98" t="str">
        <f>表1_8[[#This Row],[品名]]</f>
        <v>ASSY TUBE-TRIPOD
ASSY TUBE-TRIPOD BEND
ASSY TUBE U BEND-CONNECTOR
TUBE-B BEND
DISTRIBUTER AIR</v>
      </c>
      <c r="Z171" s="98" t="str">
        <f>RIGHT(表1_8[[#This Row],[编]],4)</f>
        <v>40HQ</v>
      </c>
      <c r="AA171" s="97" t="str">
        <f>表1_8[[#This Row],[箱号]]</f>
        <v>DJLU5156049</v>
      </c>
      <c r="AB171" s="96" t="str">
        <f>表1_8[[#This Row],[封号]]</f>
        <v>DJSC719477</v>
      </c>
      <c r="AC171" s="97">
        <f>表2[[#This Row],[件]]</f>
        <v>1</v>
      </c>
      <c r="AD171" s="97">
        <f>表2[[#This Row],[毛]]</f>
        <v>605</v>
      </c>
      <c r="AE171" s="97">
        <f>表2[[#This Row],[体]]</f>
        <v>1.2</v>
      </c>
      <c r="AG171" s="97" t="str">
        <f>表1_8[[#This Row],[HOUSE B/L]]</f>
        <v>YJCSHAN1905358</v>
      </c>
      <c r="AH171" s="97" t="str">
        <f>表1_8[[#This Row],[MASTER B/L]]</f>
        <v>DJSCSHB2EE91544U</v>
      </c>
      <c r="AI171" s="97" t="str">
        <f>"ETD"&amp;TEXT(表1_8[[#This Row],[ETD]],"mmdd")&amp;" "&amp;表1_8[[#This Row],[HOUSE B/L]]&amp;" "&amp;表1_8[[#This Row],[MASTER B/L]]&amp;" CHECK BL"</f>
        <v>ETD0407 YJCSHAN1905358 DJSCSHB2EE91544U CHECK BL</v>
      </c>
      <c r="AJ171" s="97" t="str">
        <f>"ETD"&amp;TEXT(表1_8[[#This Row],[ETD]],"mmdd")&amp;" "&amp;表1_8[[#This Row],[HOUSE B/L]]&amp;" "&amp;表1_8[[#This Row],[MASTER B/L]]&amp;" 报关单"</f>
        <v>ETD0407 YJCSHAN1905358 DJSCSHB2EE91544U 报关单</v>
      </c>
      <c r="AK171" s="97" t="str">
        <f>"ETD"&amp;TEXT(表1_8[[#This Row],[ETD]],"mmdd")&amp;" "&amp;表1_8[[#This Row],[HOUSE B/L]]&amp;" "&amp;表1_8[[#This Row],[MASTER B/L]]&amp;" 放行单"</f>
        <v>ETD0407 YJCSHAN1905358 DJSCSHB2EE91544U 放行单</v>
      </c>
      <c r="AL171" s="97" t="str">
        <f>"ETD"&amp;TEXT(表1_8[[#This Row],[ETD]],"mmdd")&amp;" "&amp;表1_8[[#This Row],[HOUSE B/L]]&amp;" "&amp;表1_8[[#This Row],[MASTER B/L]]&amp;" SURRENDERED BL"</f>
        <v>ETD0407 YJCSHAN1905358 DJSCSHB2EE91544U SURRENDERED BL</v>
      </c>
    </row>
    <row r="172" spans="2:38" x14ac:dyDescent="0.2">
      <c r="B172" s="22">
        <v>43562</v>
      </c>
      <c r="C172" s="23">
        <v>19</v>
      </c>
      <c r="D172" s="23" t="s">
        <v>1100</v>
      </c>
      <c r="E172" s="23"/>
      <c r="F172" s="24" t="s">
        <v>1179</v>
      </c>
      <c r="G172" s="24" t="s">
        <v>1027</v>
      </c>
      <c r="H172" s="24" t="s">
        <v>1028</v>
      </c>
      <c r="I172" s="23">
        <v>1</v>
      </c>
      <c r="J172" s="23">
        <v>500</v>
      </c>
      <c r="K172" s="23">
        <v>1</v>
      </c>
      <c r="L172" s="51">
        <v>1</v>
      </c>
      <c r="M172" s="51">
        <v>500</v>
      </c>
      <c r="N172" s="51">
        <v>1</v>
      </c>
      <c r="O172" s="31" t="s">
        <v>1029</v>
      </c>
      <c r="P172" s="24" t="s">
        <v>1142</v>
      </c>
      <c r="Q172" s="23" t="s">
        <v>1143</v>
      </c>
      <c r="R172" s="25" t="s">
        <v>1144</v>
      </c>
      <c r="T172" s="97" t="str">
        <f>表1_8[[#This Row],[客户编号]]</f>
        <v>YJCSHAN190531317</v>
      </c>
      <c r="U172" s="97" t="str">
        <f>表1_8[[#This Row],[MASTER B/L]]</f>
        <v>DJSCSHB2EE91544T</v>
      </c>
      <c r="V172" s="97">
        <f>表1_8[[#This Row],[件]]</f>
        <v>1</v>
      </c>
      <c r="W172" s="97">
        <f>表1_8[[#This Row],[毛]]</f>
        <v>500</v>
      </c>
      <c r="X172" s="97">
        <f>表1_8[[#This Row],[体]]</f>
        <v>1</v>
      </c>
      <c r="Y172" s="98" t="str">
        <f>表1_8[[#This Row],[品名]]</f>
        <v>MCC PARTS</v>
      </c>
      <c r="Z172" s="98" t="str">
        <f>RIGHT(表1_8[[#This Row],[编]],4)</f>
        <v>40HQ</v>
      </c>
      <c r="AA172" s="97" t="str">
        <f>表1_8[[#This Row],[箱号]]</f>
        <v>DJLU5153163</v>
      </c>
      <c r="AB172" s="96" t="str">
        <f>表1_8[[#This Row],[封号]]</f>
        <v>719414</v>
      </c>
      <c r="AC172" s="97">
        <f>表2[[#This Row],[件]]</f>
        <v>1</v>
      </c>
      <c r="AD172" s="97">
        <f>表2[[#This Row],[毛]]</f>
        <v>500</v>
      </c>
      <c r="AE172" s="97">
        <f>表2[[#This Row],[体]]</f>
        <v>1</v>
      </c>
      <c r="AG172" s="97" t="str">
        <f>表1_8[[#This Row],[HOUSE B/L]]</f>
        <v>YJCSHAN1905340</v>
      </c>
      <c r="AH172" s="97" t="str">
        <f>表1_8[[#This Row],[MASTER B/L]]</f>
        <v>DJSCSHB2EE91544T</v>
      </c>
      <c r="AI172" s="97" t="str">
        <f>"ETD"&amp;TEXT(表1_8[[#This Row],[ETD]],"mmdd")&amp;" "&amp;表1_8[[#This Row],[HOUSE B/L]]&amp;" "&amp;表1_8[[#This Row],[MASTER B/L]]&amp;" CHECK BL"</f>
        <v>ETD0407 YJCSHAN1905340 DJSCSHB2EE91544T CHECK BL</v>
      </c>
      <c r="AJ172" s="97" t="str">
        <f>"ETD"&amp;TEXT(表1_8[[#This Row],[ETD]],"mmdd")&amp;" "&amp;表1_8[[#This Row],[HOUSE B/L]]&amp;" "&amp;表1_8[[#This Row],[MASTER B/L]]&amp;" 报关单"</f>
        <v>ETD0407 YJCSHAN1905340 DJSCSHB2EE91544T 报关单</v>
      </c>
      <c r="AK172" s="97" t="str">
        <f>"ETD"&amp;TEXT(表1_8[[#This Row],[ETD]],"mmdd")&amp;" "&amp;表1_8[[#This Row],[HOUSE B/L]]&amp;" "&amp;表1_8[[#This Row],[MASTER B/L]]&amp;" 放行单"</f>
        <v>ETD0407 YJCSHAN1905340 DJSCSHB2EE91544T 放行单</v>
      </c>
      <c r="AL172" s="97" t="str">
        <f>"ETD"&amp;TEXT(表1_8[[#This Row],[ETD]],"mmdd")&amp;" "&amp;表1_8[[#This Row],[HOUSE B/L]]&amp;" "&amp;表1_8[[#This Row],[MASTER B/L]]&amp;" SURRENDERED BL"</f>
        <v>ETD0407 YJCSHAN1905340 DJSCSHB2EE91544T SURRENDERED BL</v>
      </c>
    </row>
    <row r="173" spans="2:38" x14ac:dyDescent="0.2">
      <c r="B173" s="22">
        <v>43562</v>
      </c>
      <c r="C173" s="23">
        <v>21</v>
      </c>
      <c r="D173" s="23" t="s">
        <v>1102</v>
      </c>
      <c r="E173" s="23"/>
      <c r="F173" s="24" t="s">
        <v>1181</v>
      </c>
      <c r="G173" s="24" t="s">
        <v>1042</v>
      </c>
      <c r="H173" s="24" t="s">
        <v>1043</v>
      </c>
      <c r="I173" s="23">
        <v>2</v>
      </c>
      <c r="J173" s="23">
        <v>1634</v>
      </c>
      <c r="K173" s="23">
        <v>1.536</v>
      </c>
      <c r="L173" s="51">
        <v>2</v>
      </c>
      <c r="M173" s="51">
        <v>1634</v>
      </c>
      <c r="N173" s="51">
        <v>1.536</v>
      </c>
      <c r="O173" s="31" t="s">
        <v>1044</v>
      </c>
      <c r="P173" s="24" t="s">
        <v>1142</v>
      </c>
      <c r="Q173" s="23" t="s">
        <v>1143</v>
      </c>
      <c r="R173" s="25" t="s">
        <v>1144</v>
      </c>
      <c r="T173" s="97" t="str">
        <f>表1_8[[#This Row],[客户编号]]</f>
        <v>YJCSHAN190531319</v>
      </c>
      <c r="U173" s="97" t="str">
        <f>表1_8[[#This Row],[MASTER B/L]]</f>
        <v>DJSCSHB2EE91544V</v>
      </c>
      <c r="V173" s="97">
        <f>表1_8[[#This Row],[件]]</f>
        <v>2</v>
      </c>
      <c r="W173" s="97">
        <f>表1_8[[#This Row],[毛]]</f>
        <v>1634</v>
      </c>
      <c r="X173" s="97">
        <f>表1_8[[#This Row],[体]]</f>
        <v>1.536</v>
      </c>
      <c r="Y173" s="98" t="str">
        <f>表1_8[[#This Row],[品名]]</f>
        <v>LAGERUNG W166-1053462</v>
      </c>
      <c r="Z173" s="98" t="str">
        <f>RIGHT(表1_8[[#This Row],[编]],4)</f>
        <v>40HQ</v>
      </c>
      <c r="AA173" s="97" t="str">
        <f>表1_8[[#This Row],[箱号]]</f>
        <v>DJLU5153163</v>
      </c>
      <c r="AB173" s="96" t="str">
        <f>表1_8[[#This Row],[封号]]</f>
        <v>719414</v>
      </c>
      <c r="AC173" s="97">
        <f>表2[[#This Row],[件]]</f>
        <v>2</v>
      </c>
      <c r="AD173" s="97">
        <f>表2[[#This Row],[毛]]</f>
        <v>1634</v>
      </c>
      <c r="AE173" s="97">
        <f>表2[[#This Row],[体]]</f>
        <v>1.536</v>
      </c>
      <c r="AG173" s="97" t="str">
        <f>表1_8[[#This Row],[HOUSE B/L]]</f>
        <v>YJCSHAN1905361</v>
      </c>
      <c r="AH173" s="97" t="str">
        <f>表1_8[[#This Row],[MASTER B/L]]</f>
        <v>DJSCSHB2EE91544V</v>
      </c>
      <c r="AI173" s="97" t="str">
        <f>"ETD"&amp;TEXT(表1_8[[#This Row],[ETD]],"mmdd")&amp;" "&amp;表1_8[[#This Row],[HOUSE B/L]]&amp;" "&amp;表1_8[[#This Row],[MASTER B/L]]&amp;" CHECK BL"</f>
        <v>ETD0407 YJCSHAN1905361 DJSCSHB2EE91544V CHECK BL</v>
      </c>
      <c r="AJ173" s="97" t="str">
        <f>"ETD"&amp;TEXT(表1_8[[#This Row],[ETD]],"mmdd")&amp;" "&amp;表1_8[[#This Row],[HOUSE B/L]]&amp;" "&amp;表1_8[[#This Row],[MASTER B/L]]&amp;" 报关单"</f>
        <v>ETD0407 YJCSHAN1905361 DJSCSHB2EE91544V 报关单</v>
      </c>
      <c r="AK173" s="97" t="str">
        <f>"ETD"&amp;TEXT(表1_8[[#This Row],[ETD]],"mmdd")&amp;" "&amp;表1_8[[#This Row],[HOUSE B/L]]&amp;" "&amp;表1_8[[#This Row],[MASTER B/L]]&amp;" 放行单"</f>
        <v>ETD0407 YJCSHAN1905361 DJSCSHB2EE91544V 放行单</v>
      </c>
      <c r="AL173" s="97" t="str">
        <f>"ETD"&amp;TEXT(表1_8[[#This Row],[ETD]],"mmdd")&amp;" "&amp;表1_8[[#This Row],[HOUSE B/L]]&amp;" "&amp;表1_8[[#This Row],[MASTER B/L]]&amp;" SURRENDERED BL"</f>
        <v>ETD0407 YJCSHAN1905361 DJSCSHB2EE91544V SURRENDERED BL</v>
      </c>
    </row>
    <row r="174" spans="2:38" x14ac:dyDescent="0.2">
      <c r="B174" s="22">
        <v>43562</v>
      </c>
      <c r="C174" s="23">
        <v>23</v>
      </c>
      <c r="D174" s="23" t="s">
        <v>1103</v>
      </c>
      <c r="E174" s="23"/>
      <c r="F174" s="24" t="s">
        <v>1183</v>
      </c>
      <c r="G174" s="24" t="s">
        <v>1085</v>
      </c>
      <c r="H174" s="24" t="s">
        <v>1086</v>
      </c>
      <c r="I174" s="23">
        <v>3</v>
      </c>
      <c r="J174" s="23">
        <v>351.9</v>
      </c>
      <c r="K174" s="23">
        <v>3.84</v>
      </c>
      <c r="L174" s="51">
        <v>3</v>
      </c>
      <c r="M174" s="51">
        <v>351.9</v>
      </c>
      <c r="N174" s="51">
        <v>3.84</v>
      </c>
      <c r="O174" s="31" t="s">
        <v>1117</v>
      </c>
      <c r="P174" s="24" t="s">
        <v>1142</v>
      </c>
      <c r="Q174" s="23" t="s">
        <v>1143</v>
      </c>
      <c r="R174" s="25" t="s">
        <v>1144</v>
      </c>
      <c r="T174" s="97" t="str">
        <f>表1_8[[#This Row],[客户编号]]</f>
        <v>YJCSHAN190531321</v>
      </c>
      <c r="U174" s="97" t="str">
        <f>表1_8[[#This Row],[MASTER B/L]]</f>
        <v>DJSCSHB2EE91544X</v>
      </c>
      <c r="V174" s="97">
        <f>表1_8[[#This Row],[件]]</f>
        <v>3</v>
      </c>
      <c r="W174" s="97">
        <f>表1_8[[#This Row],[毛]]</f>
        <v>351.9</v>
      </c>
      <c r="X174" s="97">
        <f>表1_8[[#This Row],[体]]</f>
        <v>3.84</v>
      </c>
      <c r="Y174" s="98" t="str">
        <f>表1_8[[#This Row],[品名]]</f>
        <v>SEALING PARTS</v>
      </c>
      <c r="Z174" s="98" t="str">
        <f>RIGHT(表1_8[[#This Row],[编]],4)</f>
        <v>40HQ</v>
      </c>
      <c r="AA174" s="97" t="str">
        <f>表1_8[[#This Row],[箱号]]</f>
        <v>DJLU5153163</v>
      </c>
      <c r="AB174" s="96" t="str">
        <f>表1_8[[#This Row],[封号]]</f>
        <v>719414</v>
      </c>
      <c r="AC174" s="97">
        <f>表2[[#This Row],[件]]</f>
        <v>3</v>
      </c>
      <c r="AD174" s="97">
        <f>表2[[#This Row],[毛]]</f>
        <v>351.9</v>
      </c>
      <c r="AE174" s="97">
        <f>表2[[#This Row],[体]]</f>
        <v>3.84</v>
      </c>
      <c r="AG174" s="97" t="str">
        <f>表1_8[[#This Row],[HOUSE B/L]]</f>
        <v>YJCSHAN1905385</v>
      </c>
      <c r="AH174" s="97" t="str">
        <f>表1_8[[#This Row],[MASTER B/L]]</f>
        <v>DJSCSHB2EE91544X</v>
      </c>
      <c r="AI174" s="97" t="str">
        <f>"ETD"&amp;TEXT(表1_8[[#This Row],[ETD]],"mmdd")&amp;" "&amp;表1_8[[#This Row],[HOUSE B/L]]&amp;" "&amp;表1_8[[#This Row],[MASTER B/L]]&amp;" CHECK BL"</f>
        <v>ETD0407 YJCSHAN1905385 DJSCSHB2EE91544X CHECK BL</v>
      </c>
      <c r="AJ174" s="97" t="str">
        <f>"ETD"&amp;TEXT(表1_8[[#This Row],[ETD]],"mmdd")&amp;" "&amp;表1_8[[#This Row],[HOUSE B/L]]&amp;" "&amp;表1_8[[#This Row],[MASTER B/L]]&amp;" 报关单"</f>
        <v>ETD0407 YJCSHAN1905385 DJSCSHB2EE91544X 报关单</v>
      </c>
      <c r="AK174" s="97" t="str">
        <f>"ETD"&amp;TEXT(表1_8[[#This Row],[ETD]],"mmdd")&amp;" "&amp;表1_8[[#This Row],[HOUSE B/L]]&amp;" "&amp;表1_8[[#This Row],[MASTER B/L]]&amp;" 放行单"</f>
        <v>ETD0407 YJCSHAN1905385 DJSCSHB2EE91544X 放行单</v>
      </c>
      <c r="AL174" s="97" t="str">
        <f>"ETD"&amp;TEXT(表1_8[[#This Row],[ETD]],"mmdd")&amp;" "&amp;表1_8[[#This Row],[HOUSE B/L]]&amp;" "&amp;表1_8[[#This Row],[MASTER B/L]]&amp;" SURRENDERED BL"</f>
        <v>ETD0407 YJCSHAN1905385 DJSCSHB2EE91544X SURRENDERED BL</v>
      </c>
    </row>
    <row r="175" spans="2:38" ht="24" x14ac:dyDescent="0.2">
      <c r="B175" s="22">
        <v>43562</v>
      </c>
      <c r="C175" s="23">
        <v>24</v>
      </c>
      <c r="D175" s="23" t="s">
        <v>272</v>
      </c>
      <c r="E175" s="23"/>
      <c r="F175" s="24" t="s">
        <v>1184</v>
      </c>
      <c r="G175" s="24" t="s">
        <v>1105</v>
      </c>
      <c r="H175" s="24" t="s">
        <v>1106</v>
      </c>
      <c r="I175" s="23">
        <v>19</v>
      </c>
      <c r="J175" s="23">
        <v>380</v>
      </c>
      <c r="K175" s="23">
        <v>1.5</v>
      </c>
      <c r="L175" s="51">
        <v>19</v>
      </c>
      <c r="M175" s="51">
        <v>380</v>
      </c>
      <c r="N175" s="51">
        <v>1.5</v>
      </c>
      <c r="O175" s="31" t="s">
        <v>1120</v>
      </c>
      <c r="P175" s="24" t="s">
        <v>1142</v>
      </c>
      <c r="Q175" s="23" t="s">
        <v>1143</v>
      </c>
      <c r="R175" s="25" t="s">
        <v>1144</v>
      </c>
      <c r="T175" s="97" t="str">
        <f>表1_8[[#This Row],[客户编号]]</f>
        <v>YJCSHAN190531322</v>
      </c>
      <c r="U175" s="97" t="str">
        <f>表1_8[[#This Row],[MASTER B/L]]</f>
        <v>DJSCSHB2EE91544Y</v>
      </c>
      <c r="V175" s="97">
        <f>表1_8[[#This Row],[件]]</f>
        <v>19</v>
      </c>
      <c r="W175" s="97">
        <f>表1_8[[#This Row],[毛]]</f>
        <v>380</v>
      </c>
      <c r="X175" s="97">
        <f>表1_8[[#This Row],[体]]</f>
        <v>1.5</v>
      </c>
      <c r="Y175" s="98" t="str">
        <f>表1_8[[#This Row],[品名]]</f>
        <v>LADIES ONE-PIECE
LADIES BLOUSE</v>
      </c>
      <c r="Z175" s="98" t="str">
        <f>RIGHT(表1_8[[#This Row],[编]],4)</f>
        <v>40HQ</v>
      </c>
      <c r="AA175" s="97" t="str">
        <f>表1_8[[#This Row],[箱号]]</f>
        <v>DJLU5153163</v>
      </c>
      <c r="AB175" s="96" t="str">
        <f>表1_8[[#This Row],[封号]]</f>
        <v>719414</v>
      </c>
      <c r="AC175" s="97">
        <f>表2[[#This Row],[件]]</f>
        <v>19</v>
      </c>
      <c r="AD175" s="97">
        <f>表2[[#This Row],[毛]]</f>
        <v>380</v>
      </c>
      <c r="AE175" s="97">
        <f>表2[[#This Row],[体]]</f>
        <v>1.5</v>
      </c>
      <c r="AG175" s="97" t="str">
        <f>表1_8[[#This Row],[HOUSE B/L]]</f>
        <v>YJCSHAN1905402</v>
      </c>
      <c r="AH175" s="97" t="str">
        <f>表1_8[[#This Row],[MASTER B/L]]</f>
        <v>DJSCSHB2EE91544Y</v>
      </c>
      <c r="AI175" s="97" t="str">
        <f>"ETD"&amp;TEXT(表1_8[[#This Row],[ETD]],"mmdd")&amp;" "&amp;表1_8[[#This Row],[HOUSE B/L]]&amp;" "&amp;表1_8[[#This Row],[MASTER B/L]]&amp;" CHECK BL"</f>
        <v>ETD0407 YJCSHAN1905402 DJSCSHB2EE91544Y CHECK BL</v>
      </c>
      <c r="AJ175" s="97" t="str">
        <f>"ETD"&amp;TEXT(表1_8[[#This Row],[ETD]],"mmdd")&amp;" "&amp;表1_8[[#This Row],[HOUSE B/L]]&amp;" "&amp;表1_8[[#This Row],[MASTER B/L]]&amp;" 报关单"</f>
        <v>ETD0407 YJCSHAN1905402 DJSCSHB2EE91544Y 报关单</v>
      </c>
      <c r="AK175" s="97" t="str">
        <f>"ETD"&amp;TEXT(表1_8[[#This Row],[ETD]],"mmdd")&amp;" "&amp;表1_8[[#This Row],[HOUSE B/L]]&amp;" "&amp;表1_8[[#This Row],[MASTER B/L]]&amp;" 放行单"</f>
        <v>ETD0407 YJCSHAN1905402 DJSCSHB2EE91544Y 放行单</v>
      </c>
      <c r="AL175" s="97" t="str">
        <f>"ETD"&amp;TEXT(表1_8[[#This Row],[ETD]],"mmdd")&amp;" "&amp;表1_8[[#This Row],[HOUSE B/L]]&amp;" "&amp;表1_8[[#This Row],[MASTER B/L]]&amp;" SURRENDERED BL"</f>
        <v>ETD0407 YJCSHAN1905402 DJSCSHB2EE91544Y SURRENDERED BL</v>
      </c>
    </row>
    <row r="176" spans="2:38" hidden="1" x14ac:dyDescent="0.2">
      <c r="B176" s="22">
        <v>43562</v>
      </c>
      <c r="C176" s="23">
        <v>26</v>
      </c>
      <c r="D176" s="23" t="s">
        <v>1104</v>
      </c>
      <c r="E176" s="23"/>
      <c r="F176" s="24" t="s">
        <v>1185</v>
      </c>
      <c r="G176" s="24" t="s">
        <v>1087</v>
      </c>
      <c r="H176" s="24" t="s">
        <v>1088</v>
      </c>
      <c r="I176" s="23">
        <v>2</v>
      </c>
      <c r="J176" s="23">
        <v>294</v>
      </c>
      <c r="K176" s="23">
        <v>2.84</v>
      </c>
      <c r="L176" s="51">
        <v>2</v>
      </c>
      <c r="M176" s="51">
        <v>294</v>
      </c>
      <c r="N176" s="51">
        <v>2.84</v>
      </c>
      <c r="O176" s="31" t="s">
        <v>1124</v>
      </c>
      <c r="P176" s="24" t="s">
        <v>1131</v>
      </c>
      <c r="Q176" s="23" t="s">
        <v>1129</v>
      </c>
      <c r="R176" s="25" t="s">
        <v>1130</v>
      </c>
      <c r="T176" s="97" t="str">
        <f>表1_8[[#This Row],[客户编号]]</f>
        <v>YJCSHAN190531323</v>
      </c>
      <c r="U176" s="97" t="str">
        <f>表1_8[[#This Row],[MASTER B/L]]</f>
        <v>DJSCSHB2EE91545A</v>
      </c>
      <c r="V176" s="97">
        <f>表1_8[[#This Row],[件]]</f>
        <v>2</v>
      </c>
      <c r="W176" s="97">
        <f>表1_8[[#This Row],[毛]]</f>
        <v>294</v>
      </c>
      <c r="X176" s="97">
        <f>表1_8[[#This Row],[体]]</f>
        <v>2.84</v>
      </c>
      <c r="Y176" s="98" t="str">
        <f>表1_8[[#This Row],[品名]]</f>
        <v>LAMP BULB HOLDER - REAR FENDER RH/LH</v>
      </c>
      <c r="Z176" s="98" t="str">
        <f>RIGHT(表1_8[[#This Row],[编]],4)</f>
        <v>40HQ</v>
      </c>
      <c r="AA176" s="97" t="str">
        <f>表1_8[[#This Row],[箱号]]</f>
        <v>DJLU5156049</v>
      </c>
      <c r="AB176" s="96" t="str">
        <f>表1_8[[#This Row],[封号]]</f>
        <v>DJSC719477</v>
      </c>
      <c r="AC176" s="97">
        <f>表2[[#This Row],[件]]</f>
        <v>2</v>
      </c>
      <c r="AD176" s="97">
        <f>表2[[#This Row],[毛]]</f>
        <v>294</v>
      </c>
      <c r="AE176" s="97">
        <f>表2[[#This Row],[体]]</f>
        <v>2.84</v>
      </c>
      <c r="AG176" s="97" t="str">
        <f>表1_8[[#This Row],[HOUSE B/L]]</f>
        <v>YJCSHAN1905438</v>
      </c>
      <c r="AH176" s="97" t="str">
        <f>表1_8[[#This Row],[MASTER B/L]]</f>
        <v>DJSCSHB2EE91545A</v>
      </c>
      <c r="AI176" s="97" t="str">
        <f>"ETD"&amp;TEXT(表1_8[[#This Row],[ETD]],"mmdd")&amp;" "&amp;表1_8[[#This Row],[HOUSE B/L]]&amp;" "&amp;表1_8[[#This Row],[MASTER B/L]]&amp;" CHECK BL"</f>
        <v>ETD0407 YJCSHAN1905438 DJSCSHB2EE91545A CHECK BL</v>
      </c>
      <c r="AJ176" s="97" t="str">
        <f>"ETD"&amp;TEXT(表1_8[[#This Row],[ETD]],"mmdd")&amp;" "&amp;表1_8[[#This Row],[HOUSE B/L]]&amp;" "&amp;表1_8[[#This Row],[MASTER B/L]]&amp;" 报关单"</f>
        <v>ETD0407 YJCSHAN1905438 DJSCSHB2EE91545A 报关单</v>
      </c>
      <c r="AK176" s="97" t="str">
        <f>"ETD"&amp;TEXT(表1_8[[#This Row],[ETD]],"mmdd")&amp;" "&amp;表1_8[[#This Row],[HOUSE B/L]]&amp;" "&amp;表1_8[[#This Row],[MASTER B/L]]&amp;" 放行单"</f>
        <v>ETD0407 YJCSHAN1905438 DJSCSHB2EE91545A 放行单</v>
      </c>
      <c r="AL176" s="97" t="str">
        <f>"ETD"&amp;TEXT(表1_8[[#This Row],[ETD]],"mmdd")&amp;" "&amp;表1_8[[#This Row],[HOUSE B/L]]&amp;" "&amp;表1_8[[#This Row],[MASTER B/L]]&amp;" SURRENDERED BL"</f>
        <v>ETD0407 YJCSHAN1905438 DJSCSHB2EE91545A SURRENDERED BL</v>
      </c>
    </row>
    <row r="177" spans="2:38" ht="24" x14ac:dyDescent="0.2">
      <c r="B177" s="22">
        <v>43562</v>
      </c>
      <c r="C177" s="23">
        <v>27</v>
      </c>
      <c r="D177" s="23" t="s">
        <v>272</v>
      </c>
      <c r="E177" s="23">
        <v>5402</v>
      </c>
      <c r="F177" s="24" t="s">
        <v>1186</v>
      </c>
      <c r="G177" s="24" t="s">
        <v>1089</v>
      </c>
      <c r="H177" s="24" t="s">
        <v>1090</v>
      </c>
      <c r="I177" s="23">
        <v>22</v>
      </c>
      <c r="J177" s="23">
        <v>440</v>
      </c>
      <c r="K177" s="23">
        <v>2.2000000000000002</v>
      </c>
      <c r="L177" s="51">
        <v>22</v>
      </c>
      <c r="M177" s="51">
        <v>440</v>
      </c>
      <c r="N177" s="51">
        <v>2.2000000000000002</v>
      </c>
      <c r="O177" s="31" t="s">
        <v>1128</v>
      </c>
      <c r="P177" s="24" t="s">
        <v>1142</v>
      </c>
      <c r="Q177" s="23" t="s">
        <v>1143</v>
      </c>
      <c r="R177" s="25" t="s">
        <v>1144</v>
      </c>
      <c r="T177" s="97" t="str">
        <f>表1_8[[#This Row],[客户编号]]</f>
        <v>YJCSHAN190531324</v>
      </c>
      <c r="U177" s="97" t="str">
        <f>表1_8[[#This Row],[MASTER B/L]]</f>
        <v>DJSCSHB2EE91545B</v>
      </c>
      <c r="V177" s="97">
        <f>表1_8[[#This Row],[件]]</f>
        <v>22</v>
      </c>
      <c r="W177" s="97">
        <f>表1_8[[#This Row],[毛]]</f>
        <v>440</v>
      </c>
      <c r="X177" s="97">
        <f>表1_8[[#This Row],[体]]</f>
        <v>2.2000000000000002</v>
      </c>
      <c r="Y177" s="98" t="str">
        <f>表1_8[[#This Row],[品名]]</f>
        <v>LADIES WOVEN BLOUSE
LADIES WOVEN DRESS</v>
      </c>
      <c r="Z177" s="98" t="str">
        <f>RIGHT(表1_8[[#This Row],[编]],4)</f>
        <v>40HQ</v>
      </c>
      <c r="AA177" s="97" t="str">
        <f>表1_8[[#This Row],[箱号]]</f>
        <v>DJLU5153163</v>
      </c>
      <c r="AB177" s="96" t="str">
        <f>表1_8[[#This Row],[封号]]</f>
        <v>719414</v>
      </c>
      <c r="AC177" s="97">
        <f>表2[[#This Row],[件]]</f>
        <v>22</v>
      </c>
      <c r="AD177" s="97">
        <f>表2[[#This Row],[毛]]</f>
        <v>440</v>
      </c>
      <c r="AE177" s="97">
        <f>表2[[#This Row],[体]]</f>
        <v>2.2000000000000002</v>
      </c>
      <c r="AG177" s="97" t="str">
        <f>表1_8[[#This Row],[HOUSE B/L]]</f>
        <v>YJCSHAN1905440</v>
      </c>
      <c r="AH177" s="97" t="str">
        <f>表1_8[[#This Row],[MASTER B/L]]</f>
        <v>DJSCSHB2EE91545B</v>
      </c>
      <c r="AI177" s="97" t="str">
        <f>"ETD"&amp;TEXT(表1_8[[#This Row],[ETD]],"mmdd")&amp;" "&amp;表1_8[[#This Row],[HOUSE B/L]]&amp;" "&amp;表1_8[[#This Row],[MASTER B/L]]&amp;" CHECK BL"</f>
        <v>ETD0407 YJCSHAN1905440 DJSCSHB2EE91545B CHECK BL</v>
      </c>
      <c r="AJ177" s="97" t="str">
        <f>"ETD"&amp;TEXT(表1_8[[#This Row],[ETD]],"mmdd")&amp;" "&amp;表1_8[[#This Row],[HOUSE B/L]]&amp;" "&amp;表1_8[[#This Row],[MASTER B/L]]&amp;" 报关单"</f>
        <v>ETD0407 YJCSHAN1905440 DJSCSHB2EE91545B 报关单</v>
      </c>
      <c r="AK177" s="97" t="str">
        <f>"ETD"&amp;TEXT(表1_8[[#This Row],[ETD]],"mmdd")&amp;" "&amp;表1_8[[#This Row],[HOUSE B/L]]&amp;" "&amp;表1_8[[#This Row],[MASTER B/L]]&amp;" 放行单"</f>
        <v>ETD0407 YJCSHAN1905440 DJSCSHB2EE91545B 放行单</v>
      </c>
      <c r="AL177" s="97" t="str">
        <f>"ETD"&amp;TEXT(表1_8[[#This Row],[ETD]],"mmdd")&amp;" "&amp;表1_8[[#This Row],[HOUSE B/L]]&amp;" "&amp;表1_8[[#This Row],[MASTER B/L]]&amp;" SURRENDERED BL"</f>
        <v>ETD0407 YJCSHAN1905440 DJSCSHB2EE91545B SURRENDERED BL</v>
      </c>
    </row>
    <row r="178" spans="2:38" x14ac:dyDescent="0.2">
      <c r="B178" s="22">
        <v>43562</v>
      </c>
      <c r="C178" s="23">
        <v>28</v>
      </c>
      <c r="D178" s="23" t="s">
        <v>312</v>
      </c>
      <c r="E178" s="23"/>
      <c r="F178" s="24" t="s">
        <v>1187</v>
      </c>
      <c r="G178" s="24" t="s">
        <v>1091</v>
      </c>
      <c r="H178" s="24" t="s">
        <v>1092</v>
      </c>
      <c r="I178" s="23">
        <v>2</v>
      </c>
      <c r="J178" s="23">
        <v>24</v>
      </c>
      <c r="K178" s="23">
        <v>0.05</v>
      </c>
      <c r="L178" s="51">
        <v>2</v>
      </c>
      <c r="M178" s="51">
        <v>24</v>
      </c>
      <c r="N178" s="51">
        <v>0.05</v>
      </c>
      <c r="O178" s="31" t="s">
        <v>1114</v>
      </c>
      <c r="P178" s="24" t="s">
        <v>1142</v>
      </c>
      <c r="Q178" s="23" t="s">
        <v>1143</v>
      </c>
      <c r="R178" s="25" t="s">
        <v>1144</v>
      </c>
      <c r="T178" s="97" t="str">
        <f>表1_8[[#This Row],[客户编号]]</f>
        <v>YJCSHAN190531325</v>
      </c>
      <c r="U178" s="97" t="str">
        <f>表1_8[[#This Row],[MASTER B/L]]</f>
        <v>DJSCSHB2EE91545C</v>
      </c>
      <c r="V178" s="97">
        <f>表1_8[[#This Row],[件]]</f>
        <v>2</v>
      </c>
      <c r="W178" s="97">
        <f>表1_8[[#This Row],[毛]]</f>
        <v>24</v>
      </c>
      <c r="X178" s="97">
        <f>表1_8[[#This Row],[体]]</f>
        <v>0.05</v>
      </c>
      <c r="Y178" s="98" t="str">
        <f>表1_8[[#This Row],[品名]]</f>
        <v>MAGNET R.S</v>
      </c>
      <c r="Z178" s="98" t="str">
        <f>RIGHT(表1_8[[#This Row],[编]],4)</f>
        <v>40HQ</v>
      </c>
      <c r="AA178" s="97" t="str">
        <f>表1_8[[#This Row],[箱号]]</f>
        <v>DJLU5153163</v>
      </c>
      <c r="AB178" s="96" t="str">
        <f>表1_8[[#This Row],[封号]]</f>
        <v>719414</v>
      </c>
      <c r="AC178" s="97">
        <f>表2[[#This Row],[件]]</f>
        <v>2</v>
      </c>
      <c r="AD178" s="97">
        <f>表2[[#This Row],[毛]]</f>
        <v>24</v>
      </c>
      <c r="AE178" s="97">
        <f>表2[[#This Row],[体]]</f>
        <v>0.05</v>
      </c>
      <c r="AG178" s="97" t="str">
        <f>表1_8[[#This Row],[HOUSE B/L]]</f>
        <v>YJCSHAN1905466</v>
      </c>
      <c r="AH178" s="97" t="str">
        <f>表1_8[[#This Row],[MASTER B/L]]</f>
        <v>DJSCSHB2EE91545C</v>
      </c>
      <c r="AI178" s="97" t="str">
        <f>"ETD"&amp;TEXT(表1_8[[#This Row],[ETD]],"mmdd")&amp;" "&amp;表1_8[[#This Row],[HOUSE B/L]]&amp;" "&amp;表1_8[[#This Row],[MASTER B/L]]&amp;" CHECK BL"</f>
        <v>ETD0407 YJCSHAN1905466 DJSCSHB2EE91545C CHECK BL</v>
      </c>
      <c r="AJ178" s="97" t="str">
        <f>"ETD"&amp;TEXT(表1_8[[#This Row],[ETD]],"mmdd")&amp;" "&amp;表1_8[[#This Row],[HOUSE B/L]]&amp;" "&amp;表1_8[[#This Row],[MASTER B/L]]&amp;" 报关单"</f>
        <v>ETD0407 YJCSHAN1905466 DJSCSHB2EE91545C 报关单</v>
      </c>
      <c r="AK178" s="97" t="str">
        <f>"ETD"&amp;TEXT(表1_8[[#This Row],[ETD]],"mmdd")&amp;" "&amp;表1_8[[#This Row],[HOUSE B/L]]&amp;" "&amp;表1_8[[#This Row],[MASTER B/L]]&amp;" 放行单"</f>
        <v>ETD0407 YJCSHAN1905466 DJSCSHB2EE91545C 放行单</v>
      </c>
      <c r="AL178" s="97" t="str">
        <f>"ETD"&amp;TEXT(表1_8[[#This Row],[ETD]],"mmdd")&amp;" "&amp;表1_8[[#This Row],[HOUSE B/L]]&amp;" "&amp;表1_8[[#This Row],[MASTER B/L]]&amp;" SURRENDERED BL"</f>
        <v>ETD0407 YJCSHAN1905466 DJSCSHB2EE91545C SURRENDERED BL</v>
      </c>
    </row>
    <row r="179" spans="2:38" ht="24" x14ac:dyDescent="0.2">
      <c r="B179" s="22">
        <v>43562</v>
      </c>
      <c r="C179" s="23">
        <v>29</v>
      </c>
      <c r="D179" s="23" t="s">
        <v>312</v>
      </c>
      <c r="E179" s="93"/>
      <c r="F179" s="24" t="s">
        <v>1188</v>
      </c>
      <c r="G179" s="24" t="s">
        <v>1110</v>
      </c>
      <c r="H179" s="24" t="s">
        <v>1112</v>
      </c>
      <c r="I179" s="94">
        <v>1</v>
      </c>
      <c r="J179" s="94">
        <v>70</v>
      </c>
      <c r="K179" s="94">
        <v>0.1</v>
      </c>
      <c r="L179" s="95">
        <v>1</v>
      </c>
      <c r="M179" s="95">
        <v>70</v>
      </c>
      <c r="N179" s="95">
        <v>0.1</v>
      </c>
      <c r="O179" s="31" t="s">
        <v>1115</v>
      </c>
      <c r="P179" s="24" t="s">
        <v>1142</v>
      </c>
      <c r="Q179" s="23" t="s">
        <v>1143</v>
      </c>
      <c r="R179" s="25" t="s">
        <v>1144</v>
      </c>
      <c r="T179" s="97" t="str">
        <f>表1_8[[#This Row],[客户编号]]</f>
        <v>YJCSHAN190531326</v>
      </c>
      <c r="U179" s="97" t="str">
        <f>表1_8[[#This Row],[MASTER B/L]]</f>
        <v>DJSCSHB2EE91545D</v>
      </c>
      <c r="V179" s="97">
        <f>表1_8[[#This Row],[件]]</f>
        <v>1</v>
      </c>
      <c r="W179" s="97">
        <f>表1_8[[#This Row],[毛]]</f>
        <v>70</v>
      </c>
      <c r="X179" s="97">
        <f>表1_8[[#This Row],[体]]</f>
        <v>0.1</v>
      </c>
      <c r="Y179" s="98" t="str">
        <f>表1_8[[#This Row],[品名]]</f>
        <v>SWITCH-DIP
HEAT SINK</v>
      </c>
      <c r="Z179" s="98" t="str">
        <f>RIGHT(表1_8[[#This Row],[编]],4)</f>
        <v>40HQ</v>
      </c>
      <c r="AA179" s="97" t="str">
        <f>表1_8[[#This Row],[箱号]]</f>
        <v>DJLU5153163</v>
      </c>
      <c r="AB179" s="96" t="str">
        <f>表1_8[[#This Row],[封号]]</f>
        <v>719414</v>
      </c>
      <c r="AC179" s="97">
        <f>表2[[#This Row],[件]]</f>
        <v>1</v>
      </c>
      <c r="AD179" s="97">
        <f>表2[[#This Row],[毛]]</f>
        <v>70</v>
      </c>
      <c r="AE179" s="97">
        <f>表2[[#This Row],[体]]</f>
        <v>0.1</v>
      </c>
      <c r="AG179" s="97" t="str">
        <f>表1_8[[#This Row],[HOUSE B/L]]</f>
        <v>YJCSHAN1905467</v>
      </c>
      <c r="AH179" s="97" t="str">
        <f>表1_8[[#This Row],[MASTER B/L]]</f>
        <v>DJSCSHB2EE91545D</v>
      </c>
      <c r="AI179" s="97" t="str">
        <f>"ETD"&amp;TEXT(表1_8[[#This Row],[ETD]],"mmdd")&amp;" "&amp;表1_8[[#This Row],[HOUSE B/L]]&amp;" "&amp;表1_8[[#This Row],[MASTER B/L]]&amp;" CHECK BL"</f>
        <v>ETD0407 YJCSHAN1905467 DJSCSHB2EE91545D CHECK BL</v>
      </c>
      <c r="AJ179" s="97" t="str">
        <f>"ETD"&amp;TEXT(表1_8[[#This Row],[ETD]],"mmdd")&amp;" "&amp;表1_8[[#This Row],[HOUSE B/L]]&amp;" "&amp;表1_8[[#This Row],[MASTER B/L]]&amp;" 报关单"</f>
        <v>ETD0407 YJCSHAN1905467 DJSCSHB2EE91545D 报关单</v>
      </c>
      <c r="AK179" s="97" t="str">
        <f>"ETD"&amp;TEXT(表1_8[[#This Row],[ETD]],"mmdd")&amp;" "&amp;表1_8[[#This Row],[HOUSE B/L]]&amp;" "&amp;表1_8[[#This Row],[MASTER B/L]]&amp;" 放行单"</f>
        <v>ETD0407 YJCSHAN1905467 DJSCSHB2EE91545D 放行单</v>
      </c>
      <c r="AL179" s="97" t="str">
        <f>"ETD"&amp;TEXT(表1_8[[#This Row],[ETD]],"mmdd")&amp;" "&amp;表1_8[[#This Row],[HOUSE B/L]]&amp;" "&amp;表1_8[[#This Row],[MASTER B/L]]&amp;" SURRENDERED BL"</f>
        <v>ETD0407 YJCSHAN1905467 DJSCSHB2EE91545D SURRENDERED BL</v>
      </c>
    </row>
    <row r="180" spans="2:38" ht="36" x14ac:dyDescent="0.2">
      <c r="B180" s="22">
        <v>43562</v>
      </c>
      <c r="C180" s="23">
        <v>30</v>
      </c>
      <c r="D180" s="23" t="s">
        <v>1136</v>
      </c>
      <c r="E180" s="93" t="s">
        <v>1192</v>
      </c>
      <c r="F180" s="24" t="s">
        <v>1189</v>
      </c>
      <c r="G180" s="24" t="s">
        <v>1138</v>
      </c>
      <c r="H180" s="24" t="s">
        <v>1126</v>
      </c>
      <c r="I180" s="94">
        <v>1</v>
      </c>
      <c r="J180" s="94">
        <v>124</v>
      </c>
      <c r="K180" s="94">
        <v>0.66400000000000003</v>
      </c>
      <c r="L180" s="95">
        <v>1</v>
      </c>
      <c r="M180" s="95">
        <v>124</v>
      </c>
      <c r="N180" s="95">
        <v>0.66400000000000003</v>
      </c>
      <c r="O180" s="31" t="s">
        <v>1162</v>
      </c>
      <c r="P180" s="24" t="s">
        <v>1142</v>
      </c>
      <c r="Q180" s="23" t="s">
        <v>1143</v>
      </c>
      <c r="R180" s="25" t="s">
        <v>1144</v>
      </c>
      <c r="T180" s="97" t="str">
        <f>表1_8[[#This Row],[客户编号]]</f>
        <v>YJCSHAN190531327</v>
      </c>
      <c r="U180" s="97" t="str">
        <f>表1_8[[#This Row],[MASTER B/L]]</f>
        <v>DJSCSHB2EE91545E</v>
      </c>
      <c r="V180" s="97">
        <f>表1_8[[#This Row],[件]]</f>
        <v>1</v>
      </c>
      <c r="W180" s="97">
        <f>表1_8[[#This Row],[毛]]</f>
        <v>124</v>
      </c>
      <c r="X180" s="97">
        <f>表1_8[[#This Row],[体]]</f>
        <v>0.66400000000000003</v>
      </c>
      <c r="Y180" s="98" t="str">
        <f>表1_8[[#This Row],[品名]]</f>
        <v>15CP3-27.81 PRESSURE TRANSDUCER 5000 EA
BAF &amp; CAF PP</v>
      </c>
      <c r="Z180" s="98" t="str">
        <f>RIGHT(表1_8[[#This Row],[编]],4)</f>
        <v>40HQ</v>
      </c>
      <c r="AA180" s="97" t="str">
        <f>表1_8[[#This Row],[箱号]]</f>
        <v>DJLU5153163</v>
      </c>
      <c r="AB180" s="96" t="str">
        <f>表1_8[[#This Row],[封号]]</f>
        <v>719414</v>
      </c>
      <c r="AC180" s="97">
        <f>表2[[#This Row],[件]]</f>
        <v>1</v>
      </c>
      <c r="AD180" s="97">
        <f>表2[[#This Row],[毛]]</f>
        <v>124</v>
      </c>
      <c r="AE180" s="97">
        <f>表2[[#This Row],[体]]</f>
        <v>0.66400000000000003</v>
      </c>
      <c r="AG180" s="97" t="str">
        <f>表1_8[[#This Row],[HOUSE B/L]]</f>
        <v>YJCSHAN1905476A</v>
      </c>
      <c r="AH180" s="97" t="str">
        <f>表1_8[[#This Row],[MASTER B/L]]</f>
        <v>DJSCSHB2EE91545E</v>
      </c>
      <c r="AI180" s="97" t="str">
        <f>"ETD"&amp;TEXT(表1_8[[#This Row],[ETD]],"mmdd")&amp;" "&amp;表1_8[[#This Row],[HOUSE B/L]]&amp;" "&amp;表1_8[[#This Row],[MASTER B/L]]&amp;" CHECK BL"</f>
        <v>ETD0407 YJCSHAN1905476A DJSCSHB2EE91545E CHECK BL</v>
      </c>
      <c r="AJ180" s="97" t="str">
        <f>"ETD"&amp;TEXT(表1_8[[#This Row],[ETD]],"mmdd")&amp;" "&amp;表1_8[[#This Row],[HOUSE B/L]]&amp;" "&amp;表1_8[[#This Row],[MASTER B/L]]&amp;" 报关单"</f>
        <v>ETD0407 YJCSHAN1905476A DJSCSHB2EE91545E 报关单</v>
      </c>
      <c r="AK180" s="97" t="str">
        <f>"ETD"&amp;TEXT(表1_8[[#This Row],[ETD]],"mmdd")&amp;" "&amp;表1_8[[#This Row],[HOUSE B/L]]&amp;" "&amp;表1_8[[#This Row],[MASTER B/L]]&amp;" 放行单"</f>
        <v>ETD0407 YJCSHAN1905476A DJSCSHB2EE91545E 放行单</v>
      </c>
      <c r="AL180" s="97" t="str">
        <f>"ETD"&amp;TEXT(表1_8[[#This Row],[ETD]],"mmdd")&amp;" "&amp;表1_8[[#This Row],[HOUSE B/L]]&amp;" "&amp;表1_8[[#This Row],[MASTER B/L]]&amp;" SURRENDERED BL"</f>
        <v>ETD0407 YJCSHAN1905476A DJSCSHB2EE91545E SURRENDERED BL</v>
      </c>
    </row>
    <row r="181" spans="2:38" ht="36" hidden="1" x14ac:dyDescent="0.2">
      <c r="B181" s="22">
        <v>43562</v>
      </c>
      <c r="C181" s="23">
        <v>31</v>
      </c>
      <c r="D181" s="23" t="s">
        <v>1132</v>
      </c>
      <c r="E181" s="93"/>
      <c r="F181" s="24" t="s">
        <v>1190</v>
      </c>
      <c r="G181" s="24" t="s">
        <v>1133</v>
      </c>
      <c r="H181" s="24" t="s">
        <v>1135</v>
      </c>
      <c r="I181" s="94">
        <v>2</v>
      </c>
      <c r="J181" s="94">
        <v>520</v>
      </c>
      <c r="K181" s="94">
        <v>3</v>
      </c>
      <c r="L181" s="95">
        <v>2</v>
      </c>
      <c r="M181" s="95">
        <v>520</v>
      </c>
      <c r="N181" s="95">
        <v>3</v>
      </c>
      <c r="O181" s="31" t="s">
        <v>356</v>
      </c>
      <c r="P181" s="24" t="s">
        <v>1131</v>
      </c>
      <c r="Q181" s="23" t="s">
        <v>1129</v>
      </c>
      <c r="R181" s="25" t="s">
        <v>1130</v>
      </c>
      <c r="T181" s="97" t="str">
        <f>表1_8[[#This Row],[客户编号]]</f>
        <v>YJCSHAN190531328</v>
      </c>
      <c r="U181" s="97" t="str">
        <f>表1_8[[#This Row],[MASTER B/L]]</f>
        <v>DJSCSHB2EE91545F</v>
      </c>
      <c r="V181" s="97">
        <f>表1_8[[#This Row],[件]]</f>
        <v>2</v>
      </c>
      <c r="W181" s="97">
        <f>表1_8[[#This Row],[毛]]</f>
        <v>520</v>
      </c>
      <c r="X181" s="97">
        <f>表1_8[[#This Row],[体]]</f>
        <v>3</v>
      </c>
      <c r="Y181" s="98" t="str">
        <f>表1_8[[#This Row],[品名]]</f>
        <v>TAB LEAD
BAF &amp; CAF PP</v>
      </c>
      <c r="Z181" s="98" t="str">
        <f>RIGHT(表1_8[[#This Row],[编]],4)</f>
        <v>40HQ</v>
      </c>
      <c r="AA181" s="97" t="str">
        <f>表1_8[[#This Row],[箱号]]</f>
        <v>DJLU5156049</v>
      </c>
      <c r="AB181" s="96" t="str">
        <f>表1_8[[#This Row],[封号]]</f>
        <v>DJSC719477</v>
      </c>
      <c r="AC181" s="97">
        <f>表2[[#This Row],[件]]</f>
        <v>2</v>
      </c>
      <c r="AD181" s="97">
        <f>表2[[#This Row],[毛]]</f>
        <v>520</v>
      </c>
      <c r="AE181" s="97">
        <f>表2[[#This Row],[体]]</f>
        <v>3</v>
      </c>
      <c r="AG181" s="97" t="str">
        <f>表1_8[[#This Row],[HOUSE B/L]]</f>
        <v>YJCSHAN1905477</v>
      </c>
      <c r="AH181" s="97" t="str">
        <f>表1_8[[#This Row],[MASTER B/L]]</f>
        <v>DJSCSHB2EE91545F</v>
      </c>
      <c r="AI181" s="97" t="str">
        <f>"ETD"&amp;TEXT(表1_8[[#This Row],[ETD]],"mmdd")&amp;" "&amp;表1_8[[#This Row],[HOUSE B/L]]&amp;" "&amp;表1_8[[#This Row],[MASTER B/L]]&amp;" CHECK BL"</f>
        <v>ETD0407 YJCSHAN1905477 DJSCSHB2EE91545F CHECK BL</v>
      </c>
      <c r="AJ181" s="97" t="str">
        <f>"ETD"&amp;TEXT(表1_8[[#This Row],[ETD]],"mmdd")&amp;" "&amp;表1_8[[#This Row],[HOUSE B/L]]&amp;" "&amp;表1_8[[#This Row],[MASTER B/L]]&amp;" 报关单"</f>
        <v>ETD0407 YJCSHAN1905477 DJSCSHB2EE91545F 报关单</v>
      </c>
      <c r="AK181" s="97" t="str">
        <f>"ETD"&amp;TEXT(表1_8[[#This Row],[ETD]],"mmdd")&amp;" "&amp;表1_8[[#This Row],[HOUSE B/L]]&amp;" "&amp;表1_8[[#This Row],[MASTER B/L]]&amp;" 放行单"</f>
        <v>ETD0407 YJCSHAN1905477 DJSCSHB2EE91545F 放行单</v>
      </c>
      <c r="AL181" s="97" t="str">
        <f>"ETD"&amp;TEXT(表1_8[[#This Row],[ETD]],"mmdd")&amp;" "&amp;表1_8[[#This Row],[HOUSE B/L]]&amp;" "&amp;表1_8[[#This Row],[MASTER B/L]]&amp;" SURRENDERED BL"</f>
        <v>ETD0407 YJCSHAN1905477 DJSCSHB2EE91545F SURRENDERED BL</v>
      </c>
    </row>
    <row r="182" spans="2:38" ht="48" hidden="1" x14ac:dyDescent="0.2">
      <c r="B182" s="22">
        <v>43562</v>
      </c>
      <c r="C182" s="23">
        <v>17</v>
      </c>
      <c r="D182" s="23" t="s">
        <v>1098</v>
      </c>
      <c r="E182" s="23"/>
      <c r="F182" s="24" t="s">
        <v>1177</v>
      </c>
      <c r="G182" s="24" t="s">
        <v>1058</v>
      </c>
      <c r="H182" s="24" t="s">
        <v>1057</v>
      </c>
      <c r="I182" s="23">
        <v>7</v>
      </c>
      <c r="J182" s="23">
        <v>2113</v>
      </c>
      <c r="K182" s="23">
        <v>12.6</v>
      </c>
      <c r="L182" s="51">
        <v>7</v>
      </c>
      <c r="M182" s="51">
        <v>2113</v>
      </c>
      <c r="N182" s="51">
        <v>12.6</v>
      </c>
      <c r="O182" s="31" t="s">
        <v>1056</v>
      </c>
      <c r="P182" s="24" t="s">
        <v>1139</v>
      </c>
      <c r="Q182" s="23" t="s">
        <v>1140</v>
      </c>
      <c r="R182" s="25" t="s">
        <v>1141</v>
      </c>
      <c r="T182" s="97" t="str">
        <f>表1_8[[#This Row],[客户编号]]</f>
        <v>YJCSHAN190531315</v>
      </c>
      <c r="U182" s="97" t="str">
        <f>表1_8[[#This Row],[MASTER B/L]]</f>
        <v>DJSCSHB2EE91544R</v>
      </c>
      <c r="V182" s="97">
        <f>表1_8[[#This Row],[件]]</f>
        <v>7</v>
      </c>
      <c r="W182" s="97">
        <f>表1_8[[#This Row],[毛]]</f>
        <v>2113</v>
      </c>
      <c r="X182" s="97">
        <f>表1_8[[#This Row],[体]]</f>
        <v>12.6</v>
      </c>
      <c r="Y182" s="98" t="str">
        <f>表1_8[[#This Row],[品名]]</f>
        <v>4 WAY REVERSING VALVE</v>
      </c>
      <c r="Z182" s="98" t="str">
        <f>RIGHT(表1_8[[#This Row],[编]],4)</f>
        <v>40HQ</v>
      </c>
      <c r="AA182" s="97" t="str">
        <f>表1_8[[#This Row],[箱号]]</f>
        <v>FCIU7084364</v>
      </c>
      <c r="AB182" s="96" t="str">
        <f>表1_8[[#This Row],[封号]]</f>
        <v>719496</v>
      </c>
      <c r="AC182" s="97">
        <f>表2[[#This Row],[件]]</f>
        <v>7</v>
      </c>
      <c r="AD182" s="97">
        <f>表2[[#This Row],[毛]]</f>
        <v>2113</v>
      </c>
      <c r="AE182" s="97">
        <f>表2[[#This Row],[体]]</f>
        <v>12.6</v>
      </c>
      <c r="AG182" s="97" t="str">
        <f>表1_8[[#This Row],[HOUSE B/L]]</f>
        <v>YJCSHAN1905316</v>
      </c>
      <c r="AH182" s="97" t="str">
        <f>表1_8[[#This Row],[MASTER B/L]]</f>
        <v>DJSCSHB2EE91544R</v>
      </c>
      <c r="AI182" s="97" t="str">
        <f>"ETD"&amp;TEXT(表1_8[[#This Row],[ETD]],"mmdd")&amp;" "&amp;表1_8[[#This Row],[HOUSE B/L]]&amp;" "&amp;表1_8[[#This Row],[MASTER B/L]]&amp;" CHECK BL"</f>
        <v>ETD0407 YJCSHAN1905316 DJSCSHB2EE91544R CHECK BL</v>
      </c>
      <c r="AJ182" s="97" t="str">
        <f>"ETD"&amp;TEXT(表1_8[[#This Row],[ETD]],"mmdd")&amp;" "&amp;表1_8[[#This Row],[HOUSE B/L]]&amp;" "&amp;表1_8[[#This Row],[MASTER B/L]]&amp;" 报关单"</f>
        <v>ETD0407 YJCSHAN1905316 DJSCSHB2EE91544R 报关单</v>
      </c>
      <c r="AK182" s="97" t="str">
        <f>"ETD"&amp;TEXT(表1_8[[#This Row],[ETD]],"mmdd")&amp;" "&amp;表1_8[[#This Row],[HOUSE B/L]]&amp;" "&amp;表1_8[[#This Row],[MASTER B/L]]&amp;" 放行单"</f>
        <v>ETD0407 YJCSHAN1905316 DJSCSHB2EE91544R 放行单</v>
      </c>
      <c r="AL182" s="97" t="str">
        <f>"ETD"&amp;TEXT(表1_8[[#This Row],[ETD]],"mmdd")&amp;" "&amp;表1_8[[#This Row],[HOUSE B/L]]&amp;" "&amp;表1_8[[#This Row],[MASTER B/L]]&amp;" SURRENDERED BL"</f>
        <v>ETD0407 YJCSHAN1905316 DJSCSHB2EE91544R SURRENDERED BL</v>
      </c>
    </row>
    <row r="183" spans="2:38" ht="24" hidden="1" x14ac:dyDescent="0.2">
      <c r="B183" s="22">
        <v>43566</v>
      </c>
      <c r="C183" s="23"/>
      <c r="D183" s="23"/>
      <c r="E183" s="23"/>
      <c r="F183" s="24"/>
      <c r="G183" s="24" t="s">
        <v>1030</v>
      </c>
      <c r="H183" s="24" t="s">
        <v>1031</v>
      </c>
      <c r="I183" s="23"/>
      <c r="J183" s="23"/>
      <c r="K183" s="23"/>
      <c r="L183" s="51"/>
      <c r="M183" s="51"/>
      <c r="N183" s="51"/>
      <c r="O183" s="31" t="s">
        <v>1032</v>
      </c>
      <c r="P183" s="24"/>
      <c r="Q183" s="23"/>
      <c r="R183" s="25"/>
      <c r="T183" s="97">
        <f>表1_8[[#This Row],[客户编号]]</f>
        <v>0</v>
      </c>
      <c r="U183" s="97" t="str">
        <f>表1_8[[#This Row],[MASTER B/L]]</f>
        <v>DJSCSHBMSE90844H</v>
      </c>
      <c r="V183" s="97">
        <f>表1_8[[#This Row],[件]]</f>
        <v>0</v>
      </c>
      <c r="W183" s="97">
        <f>表1_8[[#This Row],[毛]]</f>
        <v>0</v>
      </c>
      <c r="X183" s="97">
        <f>表1_8[[#This Row],[体]]</f>
        <v>0</v>
      </c>
      <c r="Y183" s="98" t="str">
        <f>表1_8[[#This Row],[品名]]</f>
        <v>ESCL SYSTEM
CLAMP</v>
      </c>
      <c r="Z183" s="98" t="str">
        <f>RIGHT(表1_8[[#This Row],[编]],4)</f>
        <v/>
      </c>
      <c r="AA183" s="97">
        <f>表1_8[[#This Row],[箱号]]</f>
        <v>0</v>
      </c>
      <c r="AB183" s="96">
        <f>表1_8[[#This Row],[封号]]</f>
        <v>0</v>
      </c>
      <c r="AC183" s="97">
        <f>表2[[#This Row],[件]]</f>
        <v>0</v>
      </c>
      <c r="AD183" s="97">
        <f>表2[[#This Row],[毛]]</f>
        <v>0</v>
      </c>
      <c r="AE183" s="97">
        <f>表2[[#This Row],[体]]</f>
        <v>0</v>
      </c>
      <c r="AG183" s="97" t="str">
        <f>表1_8[[#This Row],[HOUSE B/L]]</f>
        <v>YJCSHAN1905405</v>
      </c>
      <c r="AH183" s="97" t="str">
        <f>表1_8[[#This Row],[MASTER B/L]]</f>
        <v>DJSCSHBMSE90844H</v>
      </c>
      <c r="AI183" s="97" t="str">
        <f>"ETD"&amp;TEXT(表1_8[[#This Row],[ETD]],"mmdd")&amp;" "&amp;表1_8[[#This Row],[HOUSE B/L]]&amp;" "&amp;表1_8[[#This Row],[MASTER B/L]]&amp;" CHECK BL"</f>
        <v>ETD0411 YJCSHAN1905405 DJSCSHBMSE90844H CHECK BL</v>
      </c>
      <c r="AJ183" s="97" t="str">
        <f>"ETD"&amp;TEXT(表1_8[[#This Row],[ETD]],"mmdd")&amp;" "&amp;表1_8[[#This Row],[HOUSE B/L]]&amp;" "&amp;表1_8[[#This Row],[MASTER B/L]]&amp;" 报关单"</f>
        <v>ETD0411 YJCSHAN1905405 DJSCSHBMSE90844H 报关单</v>
      </c>
      <c r="AK183" s="97" t="str">
        <f>"ETD"&amp;TEXT(表1_8[[#This Row],[ETD]],"mmdd")&amp;" "&amp;表1_8[[#This Row],[HOUSE B/L]]&amp;" "&amp;表1_8[[#This Row],[MASTER B/L]]&amp;" 放行单"</f>
        <v>ETD0411 YJCSHAN1905405 DJSCSHBMSE90844H 放行单</v>
      </c>
      <c r="AL183" s="97" t="str">
        <f>"ETD"&amp;TEXT(表1_8[[#This Row],[ETD]],"mmdd")&amp;" "&amp;表1_8[[#This Row],[HOUSE B/L]]&amp;" "&amp;表1_8[[#This Row],[MASTER B/L]]&amp;" SURRENDERED BL"</f>
        <v>ETD0411 YJCSHAN1905405 DJSCSHBMSE90844H SURRENDERED BL</v>
      </c>
    </row>
    <row r="184" spans="2:38" x14ac:dyDescent="0.2">
      <c r="B184" s="99" t="s">
        <v>1137</v>
      </c>
      <c r="C184" s="99"/>
      <c r="D184" s="99"/>
      <c r="E184" s="99"/>
      <c r="F184" s="99"/>
      <c r="G184" s="99"/>
      <c r="H184" s="99"/>
      <c r="I184" s="99"/>
      <c r="J184"/>
      <c r="K184" s="99"/>
      <c r="L184" s="99">
        <f>SUBTOTAL(109,表1_8[实件])</f>
        <v>203</v>
      </c>
      <c r="M184" s="99">
        <f>SUBTOTAL(109,表1_8[实毛])</f>
        <v>11236.56</v>
      </c>
      <c r="N184" s="99">
        <f>SUBTOTAL(109,表1_8[实体])</f>
        <v>29.971000000000004</v>
      </c>
      <c r="O184" s="100"/>
      <c r="P184" s="100"/>
      <c r="Q184" s="99"/>
      <c r="R184" s="99"/>
    </row>
  </sheetData>
  <sortState ref="G157:H180">
    <sortCondition ref="G180"/>
  </sortState>
  <phoneticPr fontId="2" type="noConversion"/>
  <conditionalFormatting sqref="L2:N183">
    <cfRule type="expression" dxfId="45" priority="1">
      <formula>L2&lt;&gt;I2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A176-9D11-4AA2-AAFA-CB8D0F1A4AAB}">
  <sheetPr>
    <pageSetUpPr autoPageBreaks="0" fitToPage="1"/>
  </sheetPr>
  <dimension ref="A1:H168"/>
  <sheetViews>
    <sheetView showGridLines="0" zoomScaleNormal="100" workbookViewId="0">
      <selection activeCell="L12" sqref="L12"/>
    </sheetView>
  </sheetViews>
  <sheetFormatPr defaultColWidth="8.75" defaultRowHeight="16.5" x14ac:dyDescent="0.3"/>
  <cols>
    <col min="1" max="1" width="2" style="8" customWidth="1"/>
    <col min="2" max="8" width="18.25" style="8" customWidth="1"/>
    <col min="9" max="9" width="2.5" style="8" customWidth="1"/>
    <col min="10" max="13" width="8.75" style="8"/>
    <col min="14" max="14" width="6.75" style="8" customWidth="1"/>
    <col min="15" max="16384" width="8.75" style="8"/>
  </cols>
  <sheetData>
    <row r="1" spans="1:8" ht="54" customHeight="1" x14ac:dyDescent="0.75">
      <c r="A1" s="5"/>
      <c r="B1" s="6">
        <f ca="1">YEAR(TODAY())</f>
        <v>2019</v>
      </c>
      <c r="C1" s="7" t="s">
        <v>331</v>
      </c>
      <c r="D1" s="5"/>
      <c r="E1" s="5"/>
      <c r="F1" s="5"/>
      <c r="G1" s="5"/>
      <c r="H1" s="5"/>
    </row>
    <row r="2" spans="1:8" ht="14.25" customHeight="1" x14ac:dyDescent="0.35">
      <c r="A2" s="9"/>
      <c r="B2" s="10" t="s">
        <v>332</v>
      </c>
      <c r="C2" s="11" t="str">
        <f t="shared" ref="C2:H2" ca="1" si="0">UPPER(TEXT(C3,"aaaa"))</f>
        <v>星期一</v>
      </c>
      <c r="D2" s="10" t="str">
        <f t="shared" ca="1" si="0"/>
        <v>星期二</v>
      </c>
      <c r="E2" s="12" t="str">
        <f t="shared" ca="1" si="0"/>
        <v>星期三</v>
      </c>
      <c r="F2" s="10" t="str">
        <f t="shared" ca="1" si="0"/>
        <v>星期四</v>
      </c>
      <c r="G2" s="12" t="str">
        <f t="shared" ca="1" si="0"/>
        <v>星期五</v>
      </c>
      <c r="H2" s="10" t="str">
        <f t="shared" ca="1" si="0"/>
        <v>星期六</v>
      </c>
    </row>
    <row r="3" spans="1:8" ht="16.5" customHeight="1" x14ac:dyDescent="0.3">
      <c r="B3" s="13">
        <f t="array" aca="1" ref="B3:H3" ca="1">日+1+DATE(Calendar1Year,Calendar1MonthOption,1)-WEEKDAY(DATE(Calendar1Year,Calendar1MonthOption,1),WeekdayOption)</f>
        <v>43520</v>
      </c>
      <c r="C3" s="13">
        <f ca="1"/>
        <v>43521</v>
      </c>
      <c r="D3" s="13">
        <f ca="1"/>
        <v>43522</v>
      </c>
      <c r="E3" s="13">
        <f ca="1"/>
        <v>43523</v>
      </c>
      <c r="F3" s="13">
        <f ca="1"/>
        <v>43524</v>
      </c>
      <c r="G3" s="13">
        <f ca="1"/>
        <v>43525</v>
      </c>
      <c r="H3" s="14">
        <f ca="1"/>
        <v>43526</v>
      </c>
    </row>
    <row r="4" spans="1:8" ht="56.25" customHeight="1" x14ac:dyDescent="0.3">
      <c r="B4" s="15"/>
      <c r="C4" s="15"/>
      <c r="D4" s="15"/>
      <c r="E4" s="15"/>
      <c r="F4" s="15"/>
      <c r="G4" s="15"/>
      <c r="H4" s="16"/>
    </row>
    <row r="5" spans="1:8" ht="16.5" customHeight="1" x14ac:dyDescent="0.3">
      <c r="B5" s="13">
        <f t="array" aca="1" ref="B5:H5" ca="1">日+8+DATE(Calendar1Year,Calendar1MonthOption,1)-WEEKDAY(DATE(Calendar1Year,Calendar1MonthOption,1),WeekdayOption)</f>
        <v>43527</v>
      </c>
      <c r="C5" s="13">
        <f ca="1"/>
        <v>43528</v>
      </c>
      <c r="D5" s="13">
        <f ca="1"/>
        <v>43529</v>
      </c>
      <c r="E5" s="13">
        <f ca="1"/>
        <v>43530</v>
      </c>
      <c r="F5" s="13">
        <f ca="1"/>
        <v>43531</v>
      </c>
      <c r="G5" s="13">
        <f ca="1"/>
        <v>43532</v>
      </c>
      <c r="H5" s="14">
        <f ca="1"/>
        <v>43533</v>
      </c>
    </row>
    <row r="6" spans="1:8" ht="56.25" customHeight="1" x14ac:dyDescent="0.3">
      <c r="B6" s="17" t="s">
        <v>333</v>
      </c>
      <c r="C6" s="15"/>
      <c r="D6" s="17" t="s">
        <v>334</v>
      </c>
      <c r="E6" s="15"/>
      <c r="F6" s="18" t="s">
        <v>335</v>
      </c>
      <c r="G6" s="15"/>
      <c r="H6" s="15"/>
    </row>
    <row r="7" spans="1:8" ht="16.5" customHeight="1" x14ac:dyDescent="0.3">
      <c r="B7" s="13">
        <f t="array" aca="1" ref="B7:H7" ca="1">日+15+DATE(Calendar1Year,Calendar1MonthOption,1)-WEEKDAY(DATE(Calendar1Year,Calendar1MonthOption,1),WeekdayOption)</f>
        <v>43534</v>
      </c>
      <c r="C7" s="13">
        <f ca="1"/>
        <v>43535</v>
      </c>
      <c r="D7" s="13">
        <f ca="1"/>
        <v>43536</v>
      </c>
      <c r="E7" s="13">
        <f ca="1"/>
        <v>43537</v>
      </c>
      <c r="F7" s="13">
        <f ca="1"/>
        <v>43538</v>
      </c>
      <c r="G7" s="13">
        <f ca="1"/>
        <v>43539</v>
      </c>
      <c r="H7" s="14">
        <f ca="1"/>
        <v>43540</v>
      </c>
    </row>
    <row r="8" spans="1:8" ht="56.25" customHeight="1" x14ac:dyDescent="0.3">
      <c r="B8" s="17" t="s">
        <v>336</v>
      </c>
      <c r="C8" s="15"/>
      <c r="D8" s="17" t="s">
        <v>337</v>
      </c>
      <c r="E8" s="15"/>
      <c r="F8" s="18" t="s">
        <v>338</v>
      </c>
      <c r="G8" s="15"/>
      <c r="H8" s="16"/>
    </row>
    <row r="9" spans="1:8" ht="16.5" customHeight="1" x14ac:dyDescent="0.3">
      <c r="B9" s="13">
        <f t="array" aca="1" ref="B9:H9" ca="1">日+22+DATE(Calendar1Year,Calendar1MonthOption,1)-WEEKDAY(DATE(Calendar1Year,Calendar1MonthOption,1),WeekdayOption)</f>
        <v>43541</v>
      </c>
      <c r="C9" s="13">
        <f ca="1"/>
        <v>43542</v>
      </c>
      <c r="D9" s="13">
        <f ca="1"/>
        <v>43543</v>
      </c>
      <c r="E9" s="13">
        <f ca="1"/>
        <v>43544</v>
      </c>
      <c r="F9" s="13">
        <f ca="1"/>
        <v>43545</v>
      </c>
      <c r="G9" s="13">
        <f ca="1"/>
        <v>43546</v>
      </c>
      <c r="H9" s="14">
        <f ca="1"/>
        <v>43547</v>
      </c>
    </row>
    <row r="10" spans="1:8" ht="56.25" customHeight="1" x14ac:dyDescent="0.3">
      <c r="B10" s="17" t="s">
        <v>339</v>
      </c>
      <c r="C10" s="15"/>
      <c r="D10" s="17" t="s">
        <v>340</v>
      </c>
      <c r="E10" s="15"/>
      <c r="F10" s="18" t="s">
        <v>341</v>
      </c>
      <c r="G10" s="15"/>
      <c r="H10" s="16"/>
    </row>
    <row r="11" spans="1:8" ht="16.5" customHeight="1" x14ac:dyDescent="0.3">
      <c r="B11" s="13">
        <f t="array" aca="1" ref="B11:H11" ca="1">日+29+DATE(Calendar1Year,Calendar1MonthOption,1)-WEEKDAY(DATE(Calendar1Year,Calendar1MonthOption,1),WeekdayOption)</f>
        <v>43548</v>
      </c>
      <c r="C11" s="13">
        <f ca="1"/>
        <v>43549</v>
      </c>
      <c r="D11" s="13">
        <f ca="1"/>
        <v>43550</v>
      </c>
      <c r="E11" s="13">
        <f ca="1"/>
        <v>43551</v>
      </c>
      <c r="F11" s="13">
        <f ca="1"/>
        <v>43552</v>
      </c>
      <c r="G11" s="13">
        <f ca="1"/>
        <v>43553</v>
      </c>
      <c r="H11" s="14">
        <f ca="1"/>
        <v>43554</v>
      </c>
    </row>
    <row r="12" spans="1:8" ht="57" customHeight="1" x14ac:dyDescent="0.3">
      <c r="B12" s="17" t="s">
        <v>342</v>
      </c>
      <c r="C12" s="15"/>
      <c r="D12" s="17" t="s">
        <v>343</v>
      </c>
      <c r="E12" s="15"/>
      <c r="F12" s="18" t="s">
        <v>344</v>
      </c>
      <c r="G12" s="15"/>
      <c r="H12" s="16"/>
    </row>
    <row r="13" spans="1:8" ht="16.5" customHeight="1" x14ac:dyDescent="0.3">
      <c r="B13" s="13">
        <f t="array" aca="1" ref="B13:C13" ca="1">日+36+DATE(Calendar1Year,Calendar1MonthOption,1)-WEEKDAY(DATE(Calendar1Year,Calendar1MonthOption,1),WeekdayOption)</f>
        <v>43555</v>
      </c>
      <c r="C13" s="13">
        <f ca="1"/>
        <v>43556</v>
      </c>
      <c r="D13" s="91" t="s">
        <v>345</v>
      </c>
      <c r="E13" s="91"/>
      <c r="F13" s="91"/>
      <c r="G13" s="91"/>
      <c r="H13" s="91"/>
    </row>
    <row r="14" spans="1:8" ht="63.75" customHeight="1" x14ac:dyDescent="0.3">
      <c r="B14" s="17" t="s">
        <v>346</v>
      </c>
      <c r="C14" s="15"/>
      <c r="D14" s="90"/>
      <c r="E14" s="90"/>
      <c r="F14" s="90"/>
      <c r="G14" s="90"/>
      <c r="H14" s="90"/>
    </row>
    <row r="15" spans="1:8" ht="54" customHeight="1" x14ac:dyDescent="0.75">
      <c r="A15" s="5"/>
      <c r="B15" s="6">
        <f ca="1">YEAR(DATE(Calendar1Year,Calendar1MonthOption+1,1))</f>
        <v>2019</v>
      </c>
      <c r="C15" s="19" t="str">
        <f ca="1">TEXT(DATE(Calendar1Year,Calendar1MonthOption+1,1),"m月")</f>
        <v>4月</v>
      </c>
      <c r="D15" s="5"/>
      <c r="E15" s="5"/>
      <c r="F15" s="5"/>
      <c r="G15" s="5"/>
      <c r="H15" s="5"/>
    </row>
    <row r="16" spans="1:8" ht="14.25" customHeight="1" x14ac:dyDescent="0.35">
      <c r="A16" s="9"/>
      <c r="B16" s="10" t="str">
        <f t="shared" ref="B16:H16" ca="1" si="1">UPPER(TEXT(B17,"aaaa"))</f>
        <v>星期日</v>
      </c>
      <c r="C16" s="12" t="str">
        <f t="shared" ca="1" si="1"/>
        <v>星期一</v>
      </c>
      <c r="D16" s="10" t="str">
        <f t="shared" ca="1" si="1"/>
        <v>星期二</v>
      </c>
      <c r="E16" s="12" t="str">
        <f t="shared" ca="1" si="1"/>
        <v>星期三</v>
      </c>
      <c r="F16" s="10" t="str">
        <f t="shared" ca="1" si="1"/>
        <v>星期四</v>
      </c>
      <c r="G16" s="12" t="str">
        <f t="shared" ca="1" si="1"/>
        <v>星期五</v>
      </c>
      <c r="H16" s="10" t="str">
        <f t="shared" ca="1" si="1"/>
        <v>星期六</v>
      </c>
    </row>
    <row r="17" spans="1:8" ht="16.5" customHeight="1" x14ac:dyDescent="0.3">
      <c r="B17" s="13">
        <f t="array" aca="1" ref="B17:H17" ca="1">日+1+DATE(Calendar2Year,Calendar2MonthOption,1)-WEEKDAY(DATE(Calendar2Year,Calendar2MonthOption,1),WeekdayOption)</f>
        <v>43555</v>
      </c>
      <c r="C17" s="13">
        <f ca="1"/>
        <v>43556</v>
      </c>
      <c r="D17" s="13">
        <f ca="1"/>
        <v>43557</v>
      </c>
      <c r="E17" s="13">
        <f ca="1"/>
        <v>43558</v>
      </c>
      <c r="F17" s="13">
        <f ca="1"/>
        <v>43559</v>
      </c>
      <c r="G17" s="13">
        <f ca="1"/>
        <v>43560</v>
      </c>
      <c r="H17" s="14">
        <f ca="1"/>
        <v>43561</v>
      </c>
    </row>
    <row r="18" spans="1:8" ht="56.25" customHeight="1" x14ac:dyDescent="0.3">
      <c r="B18" s="15"/>
      <c r="C18" s="15"/>
      <c r="D18" s="15"/>
      <c r="E18" s="15"/>
      <c r="F18" s="15"/>
      <c r="G18" s="15"/>
      <c r="H18" s="16"/>
    </row>
    <row r="19" spans="1:8" ht="16.5" customHeight="1" x14ac:dyDescent="0.3">
      <c r="B19" s="13">
        <f t="array" aca="1" ref="B19:H19" ca="1">日+8+DATE(Calendar2Year,Calendar2MonthOption,1)-WEEKDAY(DATE(Calendar2Year,Calendar2MonthOption,1),WeekdayOption)</f>
        <v>43562</v>
      </c>
      <c r="C19" s="13">
        <f ca="1"/>
        <v>43563</v>
      </c>
      <c r="D19" s="13">
        <f ca="1"/>
        <v>43564</v>
      </c>
      <c r="E19" s="13">
        <f ca="1"/>
        <v>43565</v>
      </c>
      <c r="F19" s="13">
        <f ca="1"/>
        <v>43566</v>
      </c>
      <c r="G19" s="13">
        <f ca="1"/>
        <v>43567</v>
      </c>
      <c r="H19" s="14">
        <f ca="1"/>
        <v>43568</v>
      </c>
    </row>
    <row r="20" spans="1:8" ht="56.25" customHeight="1" x14ac:dyDescent="0.3">
      <c r="B20" s="15"/>
      <c r="C20" s="15"/>
      <c r="D20" s="15"/>
      <c r="E20" s="15"/>
      <c r="F20" s="15"/>
      <c r="G20" s="15"/>
      <c r="H20" s="16"/>
    </row>
    <row r="21" spans="1:8" ht="16.5" customHeight="1" x14ac:dyDescent="0.3">
      <c r="B21" s="13">
        <f t="array" aca="1" ref="B21:H21" ca="1">日+15+DATE(Calendar2Year,Calendar2MonthOption,1)-WEEKDAY(DATE(Calendar2Year,Calendar2MonthOption,1),WeekdayOption)</f>
        <v>43569</v>
      </c>
      <c r="C21" s="13">
        <f ca="1"/>
        <v>43570</v>
      </c>
      <c r="D21" s="13">
        <f ca="1"/>
        <v>43571</v>
      </c>
      <c r="E21" s="13">
        <f ca="1"/>
        <v>43572</v>
      </c>
      <c r="F21" s="13">
        <f ca="1"/>
        <v>43573</v>
      </c>
      <c r="G21" s="13">
        <f ca="1"/>
        <v>43574</v>
      </c>
      <c r="H21" s="14">
        <f ca="1"/>
        <v>43575</v>
      </c>
    </row>
    <row r="22" spans="1:8" ht="56.25" customHeight="1" x14ac:dyDescent="0.3">
      <c r="B22" s="15"/>
      <c r="C22" s="15"/>
      <c r="D22" s="15"/>
      <c r="E22" s="15"/>
      <c r="F22" s="15"/>
      <c r="G22" s="15"/>
      <c r="H22" s="16"/>
    </row>
    <row r="23" spans="1:8" ht="16.5" customHeight="1" x14ac:dyDescent="0.3">
      <c r="B23" s="13">
        <f t="array" aca="1" ref="B23:H23" ca="1">日+22+DATE(Calendar2Year,Calendar2MonthOption,1)-WEEKDAY(DATE(Calendar2Year,Calendar2MonthOption,1),WeekdayOption)</f>
        <v>43576</v>
      </c>
      <c r="C23" s="13">
        <f ca="1"/>
        <v>43577</v>
      </c>
      <c r="D23" s="13">
        <f ca="1"/>
        <v>43578</v>
      </c>
      <c r="E23" s="13">
        <f ca="1"/>
        <v>43579</v>
      </c>
      <c r="F23" s="13">
        <f ca="1"/>
        <v>43580</v>
      </c>
      <c r="G23" s="13">
        <f ca="1"/>
        <v>43581</v>
      </c>
      <c r="H23" s="14">
        <f ca="1"/>
        <v>43582</v>
      </c>
    </row>
    <row r="24" spans="1:8" ht="56.25" customHeight="1" x14ac:dyDescent="0.3">
      <c r="B24" s="15"/>
      <c r="C24" s="15"/>
      <c r="D24" s="15"/>
      <c r="E24" s="15"/>
      <c r="F24" s="15"/>
      <c r="G24" s="15"/>
      <c r="H24" s="16"/>
    </row>
    <row r="25" spans="1:8" ht="16.5" customHeight="1" x14ac:dyDescent="0.3">
      <c r="B25" s="13">
        <f t="array" aca="1" ref="B25:H25" ca="1">日+29+DATE(Calendar2Year,Calendar2MonthOption,1)-WEEKDAY(DATE(Calendar2Year,Calendar2MonthOption,1),WeekdayOption)</f>
        <v>43583</v>
      </c>
      <c r="C25" s="13">
        <f ca="1"/>
        <v>43584</v>
      </c>
      <c r="D25" s="13">
        <f ca="1"/>
        <v>43585</v>
      </c>
      <c r="E25" s="13">
        <f ca="1"/>
        <v>43586</v>
      </c>
      <c r="F25" s="13">
        <f ca="1"/>
        <v>43587</v>
      </c>
      <c r="G25" s="13">
        <f ca="1"/>
        <v>43588</v>
      </c>
      <c r="H25" s="14">
        <f ca="1"/>
        <v>43589</v>
      </c>
    </row>
    <row r="26" spans="1:8" ht="57" customHeight="1" x14ac:dyDescent="0.3">
      <c r="B26" s="15"/>
      <c r="C26" s="15"/>
      <c r="D26" s="15"/>
      <c r="E26" s="15"/>
      <c r="F26" s="15"/>
      <c r="G26" s="15"/>
      <c r="H26" s="20"/>
    </row>
    <row r="27" spans="1:8" ht="16.5" customHeight="1" x14ac:dyDescent="0.3">
      <c r="B27" s="13">
        <f t="array" aca="1" ref="B27:C27" ca="1">日+36+DATE(Calendar2Year,Calendar2MonthOption,1)-WEEKDAY(DATE(Calendar2Year,Calendar2MonthOption,1),WeekdayOption)</f>
        <v>43590</v>
      </c>
      <c r="C27" s="13">
        <f ca="1"/>
        <v>43591</v>
      </c>
      <c r="D27" s="92" t="s">
        <v>345</v>
      </c>
      <c r="E27" s="92"/>
      <c r="F27" s="92"/>
      <c r="G27" s="92"/>
      <c r="H27" s="92"/>
    </row>
    <row r="28" spans="1:8" ht="63.75" customHeight="1" x14ac:dyDescent="0.3">
      <c r="B28" s="15"/>
      <c r="C28" s="15"/>
      <c r="D28" s="90"/>
      <c r="E28" s="90"/>
      <c r="F28" s="90"/>
      <c r="G28" s="90"/>
      <c r="H28" s="90"/>
    </row>
    <row r="29" spans="1:8" ht="54" customHeight="1" x14ac:dyDescent="0.75">
      <c r="A29" s="5"/>
      <c r="B29" s="6">
        <f ca="1">YEAR(DATE(Calendar2Year,Calendar2MonthOption+1,1))</f>
        <v>2019</v>
      </c>
      <c r="C29" s="7" t="str">
        <f ca="1">TEXT(DATE(Calendar2Year,Calendar2MonthOption+1,1),"m月")</f>
        <v>5月</v>
      </c>
      <c r="D29" s="5"/>
      <c r="E29" s="5"/>
      <c r="F29" s="5"/>
      <c r="G29" s="5"/>
      <c r="H29" s="5"/>
    </row>
    <row r="30" spans="1:8" ht="14.25" customHeight="1" x14ac:dyDescent="0.35">
      <c r="A30" s="9"/>
      <c r="B30" s="10" t="str">
        <f t="shared" ref="B30:H30" ca="1" si="2">UPPER(TEXT(B31,"aaaa"))</f>
        <v>星期日</v>
      </c>
      <c r="C30" s="12" t="str">
        <f t="shared" ca="1" si="2"/>
        <v>星期一</v>
      </c>
      <c r="D30" s="10" t="str">
        <f t="shared" ca="1" si="2"/>
        <v>星期二</v>
      </c>
      <c r="E30" s="12" t="str">
        <f t="shared" ca="1" si="2"/>
        <v>星期三</v>
      </c>
      <c r="F30" s="10" t="str">
        <f t="shared" ca="1" si="2"/>
        <v>星期四</v>
      </c>
      <c r="G30" s="12" t="str">
        <f t="shared" ca="1" si="2"/>
        <v>星期五</v>
      </c>
      <c r="H30" s="10" t="str">
        <f t="shared" ca="1" si="2"/>
        <v>星期六</v>
      </c>
    </row>
    <row r="31" spans="1:8" ht="16.5" customHeight="1" x14ac:dyDescent="0.3">
      <c r="B31" s="13">
        <f t="array" aca="1" ref="B31:H31" ca="1">日+1+DATE(Calendar3Year,Calendar3MonthOption,1)-WEEKDAY(DATE(Calendar3Year,Calendar3MonthOption,1),WeekdayOption)</f>
        <v>43583</v>
      </c>
      <c r="C31" s="13">
        <f ca="1"/>
        <v>43584</v>
      </c>
      <c r="D31" s="13">
        <f ca="1"/>
        <v>43585</v>
      </c>
      <c r="E31" s="13">
        <f ca="1"/>
        <v>43586</v>
      </c>
      <c r="F31" s="13">
        <f ca="1"/>
        <v>43587</v>
      </c>
      <c r="G31" s="13">
        <f ca="1"/>
        <v>43588</v>
      </c>
      <c r="H31" s="14">
        <f ca="1"/>
        <v>43589</v>
      </c>
    </row>
    <row r="32" spans="1:8" ht="56.25" customHeight="1" x14ac:dyDescent="0.3">
      <c r="B32" s="15"/>
      <c r="C32" s="15"/>
      <c r="D32" s="15"/>
      <c r="E32" s="15"/>
      <c r="F32" s="15"/>
      <c r="G32" s="15"/>
      <c r="H32" s="16"/>
    </row>
    <row r="33" spans="1:8" ht="16.5" customHeight="1" x14ac:dyDescent="0.3">
      <c r="B33" s="13">
        <f t="array" aca="1" ref="B33:H33" ca="1">日+8+DATE(Calendar3Year,Calendar3MonthOption,1)-WEEKDAY(DATE(Calendar3Year,Calendar3MonthOption,1),WeekdayOption)</f>
        <v>43590</v>
      </c>
      <c r="C33" s="13">
        <f ca="1"/>
        <v>43591</v>
      </c>
      <c r="D33" s="13">
        <f ca="1"/>
        <v>43592</v>
      </c>
      <c r="E33" s="13">
        <f ca="1"/>
        <v>43593</v>
      </c>
      <c r="F33" s="13">
        <f ca="1"/>
        <v>43594</v>
      </c>
      <c r="G33" s="13">
        <f ca="1"/>
        <v>43595</v>
      </c>
      <c r="H33" s="14">
        <f ca="1"/>
        <v>43596</v>
      </c>
    </row>
    <row r="34" spans="1:8" ht="56.25" customHeight="1" x14ac:dyDescent="0.3">
      <c r="B34" s="15"/>
      <c r="C34" s="15"/>
      <c r="D34" s="15"/>
      <c r="E34" s="15"/>
      <c r="F34" s="15"/>
      <c r="G34" s="15"/>
      <c r="H34" s="16"/>
    </row>
    <row r="35" spans="1:8" ht="16.5" customHeight="1" x14ac:dyDescent="0.3">
      <c r="B35" s="13">
        <f t="array" aca="1" ref="B35:H35" ca="1">日+15+DATE(Calendar3Year,Calendar3MonthOption,1)-WEEKDAY(DATE(Calendar3Year,Calendar3MonthOption,1),WeekdayOption)</f>
        <v>43597</v>
      </c>
      <c r="C35" s="13">
        <f ca="1"/>
        <v>43598</v>
      </c>
      <c r="D35" s="13">
        <f ca="1"/>
        <v>43599</v>
      </c>
      <c r="E35" s="13">
        <f ca="1"/>
        <v>43600</v>
      </c>
      <c r="F35" s="13">
        <f ca="1"/>
        <v>43601</v>
      </c>
      <c r="G35" s="13">
        <f ca="1"/>
        <v>43602</v>
      </c>
      <c r="H35" s="14">
        <f ca="1"/>
        <v>43603</v>
      </c>
    </row>
    <row r="36" spans="1:8" ht="56.25" customHeight="1" x14ac:dyDescent="0.3">
      <c r="B36" s="15"/>
      <c r="C36" s="15"/>
      <c r="D36" s="15"/>
      <c r="E36" s="15"/>
      <c r="F36" s="15"/>
      <c r="G36" s="15"/>
      <c r="H36" s="16"/>
    </row>
    <row r="37" spans="1:8" ht="16.5" customHeight="1" x14ac:dyDescent="0.3">
      <c r="B37" s="13">
        <f t="array" aca="1" ref="B37:H37" ca="1">日+22+DATE(Calendar3Year,Calendar3MonthOption,1)-WEEKDAY(DATE(Calendar3Year,Calendar3MonthOption,1),WeekdayOption)</f>
        <v>43604</v>
      </c>
      <c r="C37" s="13">
        <f ca="1"/>
        <v>43605</v>
      </c>
      <c r="D37" s="13">
        <f ca="1"/>
        <v>43606</v>
      </c>
      <c r="E37" s="13">
        <f ca="1"/>
        <v>43607</v>
      </c>
      <c r="F37" s="13">
        <f ca="1"/>
        <v>43608</v>
      </c>
      <c r="G37" s="13">
        <f ca="1"/>
        <v>43609</v>
      </c>
      <c r="H37" s="14">
        <f ca="1"/>
        <v>43610</v>
      </c>
    </row>
    <row r="38" spans="1:8" ht="56.25" customHeight="1" x14ac:dyDescent="0.3">
      <c r="B38" s="15"/>
      <c r="C38" s="15"/>
      <c r="D38" s="15"/>
      <c r="E38" s="15"/>
      <c r="F38" s="15"/>
      <c r="G38" s="15"/>
      <c r="H38" s="16"/>
    </row>
    <row r="39" spans="1:8" ht="16.5" customHeight="1" x14ac:dyDescent="0.3">
      <c r="B39" s="13">
        <f t="array" aca="1" ref="B39:H39" ca="1">日+29+DATE(Calendar3Year,Calendar3MonthOption,1)-WEEKDAY(DATE(Calendar3Year,Calendar3MonthOption,1),WeekdayOption)</f>
        <v>43611</v>
      </c>
      <c r="C39" s="13">
        <f ca="1"/>
        <v>43612</v>
      </c>
      <c r="D39" s="13">
        <f ca="1"/>
        <v>43613</v>
      </c>
      <c r="E39" s="13">
        <f ca="1"/>
        <v>43614</v>
      </c>
      <c r="F39" s="13">
        <f ca="1"/>
        <v>43615</v>
      </c>
      <c r="G39" s="13">
        <f ca="1"/>
        <v>43616</v>
      </c>
      <c r="H39" s="14">
        <f ca="1"/>
        <v>43617</v>
      </c>
    </row>
    <row r="40" spans="1:8" ht="57" customHeight="1" x14ac:dyDescent="0.3">
      <c r="B40" s="15"/>
      <c r="C40" s="15"/>
      <c r="D40" s="15"/>
      <c r="E40" s="15"/>
      <c r="F40" s="15"/>
      <c r="G40" s="15"/>
      <c r="H40" s="20"/>
    </row>
    <row r="41" spans="1:8" ht="16.5" customHeight="1" x14ac:dyDescent="0.3">
      <c r="B41" s="13">
        <f t="array" aca="1" ref="B41:C41" ca="1">日+36+DATE(Calendar3Year,Calendar3MonthOption,1)-WEEKDAY(DATE(Calendar3Year,Calendar3MonthOption,1),WeekdayOption)</f>
        <v>43618</v>
      </c>
      <c r="C41" s="13">
        <f ca="1"/>
        <v>43619</v>
      </c>
      <c r="D41" s="92" t="s">
        <v>345</v>
      </c>
      <c r="E41" s="92"/>
      <c r="F41" s="92"/>
      <c r="G41" s="92"/>
      <c r="H41" s="92"/>
    </row>
    <row r="42" spans="1:8" ht="63.75" customHeight="1" x14ac:dyDescent="0.3">
      <c r="B42" s="15"/>
      <c r="C42" s="15"/>
      <c r="D42" s="90"/>
      <c r="E42" s="90"/>
      <c r="F42" s="90"/>
      <c r="G42" s="90"/>
      <c r="H42" s="90"/>
    </row>
    <row r="43" spans="1:8" ht="54" customHeight="1" x14ac:dyDescent="0.75">
      <c r="A43" s="5"/>
      <c r="B43" s="6">
        <f ca="1">YEAR(DATE(Calendar3Year,Calendar3MonthOption+1,1))</f>
        <v>2019</v>
      </c>
      <c r="C43" s="7" t="str">
        <f ca="1">TEXT(DATE(Calendar3Year,Calendar3MonthOption+1,1),"m月")</f>
        <v>6月</v>
      </c>
      <c r="D43" s="5"/>
      <c r="E43" s="5"/>
      <c r="F43" s="5"/>
      <c r="G43" s="5"/>
      <c r="H43" s="5"/>
    </row>
    <row r="44" spans="1:8" ht="14.25" customHeight="1" x14ac:dyDescent="0.35">
      <c r="A44" s="9"/>
      <c r="B44" s="10" t="str">
        <f t="shared" ref="B44:H44" ca="1" si="3">UPPER(TEXT(B45,"aaaa"))</f>
        <v>星期日</v>
      </c>
      <c r="C44" s="12" t="str">
        <f t="shared" ca="1" si="3"/>
        <v>星期一</v>
      </c>
      <c r="D44" s="10" t="str">
        <f t="shared" ca="1" si="3"/>
        <v>星期二</v>
      </c>
      <c r="E44" s="12" t="str">
        <f t="shared" ca="1" si="3"/>
        <v>星期三</v>
      </c>
      <c r="F44" s="10" t="str">
        <f t="shared" ca="1" si="3"/>
        <v>星期四</v>
      </c>
      <c r="G44" s="12" t="str">
        <f t="shared" ca="1" si="3"/>
        <v>星期五</v>
      </c>
      <c r="H44" s="10" t="str">
        <f t="shared" ca="1" si="3"/>
        <v>星期六</v>
      </c>
    </row>
    <row r="45" spans="1:8" ht="16.5" customHeight="1" x14ac:dyDescent="0.3">
      <c r="B45" s="13">
        <f t="array" aca="1" ref="B45:H45" ca="1">日+1+DATE(Calendar4Year,Calendar4MonthOption,1)-WEEKDAY(DATE(Calendar4Year,Calendar4MonthOption,1),WeekdayOption)</f>
        <v>43611</v>
      </c>
      <c r="C45" s="13">
        <f ca="1"/>
        <v>43612</v>
      </c>
      <c r="D45" s="13">
        <f ca="1"/>
        <v>43613</v>
      </c>
      <c r="E45" s="13">
        <f ca="1"/>
        <v>43614</v>
      </c>
      <c r="F45" s="13">
        <f ca="1"/>
        <v>43615</v>
      </c>
      <c r="G45" s="13">
        <f ca="1"/>
        <v>43616</v>
      </c>
      <c r="H45" s="14">
        <f ca="1"/>
        <v>43617</v>
      </c>
    </row>
    <row r="46" spans="1:8" ht="56.25" customHeight="1" x14ac:dyDescent="0.3">
      <c r="B46" s="15"/>
      <c r="C46" s="15"/>
      <c r="D46" s="15"/>
      <c r="E46" s="15"/>
      <c r="F46" s="15"/>
      <c r="G46" s="15"/>
      <c r="H46" s="16"/>
    </row>
    <row r="47" spans="1:8" ht="16.5" customHeight="1" x14ac:dyDescent="0.3">
      <c r="B47" s="13">
        <f t="array" aca="1" ref="B47:H47" ca="1">日+8+DATE(Calendar4Year,Calendar4MonthOption,1)-WEEKDAY(DATE(Calendar4Year,Calendar4MonthOption,1),WeekdayOption)</f>
        <v>43618</v>
      </c>
      <c r="C47" s="13">
        <f ca="1"/>
        <v>43619</v>
      </c>
      <c r="D47" s="13">
        <f ca="1"/>
        <v>43620</v>
      </c>
      <c r="E47" s="13">
        <f ca="1"/>
        <v>43621</v>
      </c>
      <c r="F47" s="13">
        <f ca="1"/>
        <v>43622</v>
      </c>
      <c r="G47" s="13">
        <f ca="1"/>
        <v>43623</v>
      </c>
      <c r="H47" s="14">
        <f ca="1"/>
        <v>43624</v>
      </c>
    </row>
    <row r="48" spans="1:8" ht="56.25" customHeight="1" x14ac:dyDescent="0.3">
      <c r="B48" s="15"/>
      <c r="C48" s="15"/>
      <c r="D48" s="15"/>
      <c r="E48" s="15"/>
      <c r="F48" s="15"/>
      <c r="G48" s="15"/>
      <c r="H48" s="16"/>
    </row>
    <row r="49" spans="1:8" ht="16.5" customHeight="1" x14ac:dyDescent="0.3">
      <c r="B49" s="13">
        <f t="array" aca="1" ref="B49:H49" ca="1">日+15+DATE(Calendar4Year,Calendar4MonthOption,1)-WEEKDAY(DATE(Calendar4Year,Calendar4MonthOption,1),WeekdayOption)</f>
        <v>43625</v>
      </c>
      <c r="C49" s="13">
        <f ca="1"/>
        <v>43626</v>
      </c>
      <c r="D49" s="13">
        <f ca="1"/>
        <v>43627</v>
      </c>
      <c r="E49" s="13">
        <f ca="1"/>
        <v>43628</v>
      </c>
      <c r="F49" s="13">
        <f ca="1"/>
        <v>43629</v>
      </c>
      <c r="G49" s="13">
        <f ca="1"/>
        <v>43630</v>
      </c>
      <c r="H49" s="14">
        <f ca="1"/>
        <v>43631</v>
      </c>
    </row>
    <row r="50" spans="1:8" ht="56.25" customHeight="1" x14ac:dyDescent="0.3">
      <c r="B50" s="15"/>
      <c r="C50" s="15"/>
      <c r="D50" s="15"/>
      <c r="E50" s="15"/>
      <c r="F50" s="15"/>
      <c r="G50" s="15"/>
      <c r="H50" s="16"/>
    </row>
    <row r="51" spans="1:8" ht="16.5" customHeight="1" x14ac:dyDescent="0.3">
      <c r="B51" s="13">
        <f t="array" aca="1" ref="B51:H51" ca="1">日+22+DATE(Calendar4Year,Calendar4MonthOption,1)-WEEKDAY(DATE(Calendar4Year,Calendar4MonthOption,1),WeekdayOption)</f>
        <v>43632</v>
      </c>
      <c r="C51" s="13">
        <f ca="1"/>
        <v>43633</v>
      </c>
      <c r="D51" s="13">
        <f ca="1"/>
        <v>43634</v>
      </c>
      <c r="E51" s="13">
        <f ca="1"/>
        <v>43635</v>
      </c>
      <c r="F51" s="13">
        <f ca="1"/>
        <v>43636</v>
      </c>
      <c r="G51" s="13">
        <f ca="1"/>
        <v>43637</v>
      </c>
      <c r="H51" s="14">
        <f ca="1"/>
        <v>43638</v>
      </c>
    </row>
    <row r="52" spans="1:8" ht="56.25" customHeight="1" x14ac:dyDescent="0.3">
      <c r="B52" s="15"/>
      <c r="C52" s="15"/>
      <c r="D52" s="15"/>
      <c r="E52" s="15"/>
      <c r="F52" s="15"/>
      <c r="G52" s="15"/>
      <c r="H52" s="16"/>
    </row>
    <row r="53" spans="1:8" ht="16.5" customHeight="1" x14ac:dyDescent="0.3">
      <c r="B53" s="13">
        <f t="array" aca="1" ref="B53:H53" ca="1">日+29+DATE(Calendar4Year,Calendar4MonthOption,1)-WEEKDAY(DATE(Calendar4Year,Calendar4MonthOption,1),WeekdayOption)</f>
        <v>43639</v>
      </c>
      <c r="C53" s="13">
        <f ca="1"/>
        <v>43640</v>
      </c>
      <c r="D53" s="13">
        <f ca="1"/>
        <v>43641</v>
      </c>
      <c r="E53" s="13">
        <f ca="1"/>
        <v>43642</v>
      </c>
      <c r="F53" s="13">
        <f ca="1"/>
        <v>43643</v>
      </c>
      <c r="G53" s="13">
        <f ca="1"/>
        <v>43644</v>
      </c>
      <c r="H53" s="14">
        <f ca="1"/>
        <v>43645</v>
      </c>
    </row>
    <row r="54" spans="1:8" ht="57" customHeight="1" x14ac:dyDescent="0.3">
      <c r="B54" s="15"/>
      <c r="C54" s="15"/>
      <c r="D54" s="15"/>
      <c r="E54" s="15"/>
      <c r="F54" s="15"/>
      <c r="G54" s="15"/>
      <c r="H54" s="20"/>
    </row>
    <row r="55" spans="1:8" ht="16.5" customHeight="1" x14ac:dyDescent="0.3">
      <c r="B55" s="13">
        <f t="array" aca="1" ref="B55:C55" ca="1">日+36+DATE(Calendar4Year,Calendar4MonthOption,1)-WEEKDAY(DATE(Calendar4Year,Calendar4MonthOption,1),WeekdayOption)</f>
        <v>43646</v>
      </c>
      <c r="C55" s="13">
        <f ca="1"/>
        <v>43647</v>
      </c>
      <c r="D55" s="92" t="s">
        <v>345</v>
      </c>
      <c r="E55" s="92"/>
      <c r="F55" s="92"/>
      <c r="G55" s="92"/>
      <c r="H55" s="92"/>
    </row>
    <row r="56" spans="1:8" ht="63.75" customHeight="1" x14ac:dyDescent="0.3">
      <c r="B56" s="15"/>
      <c r="C56" s="15"/>
      <c r="D56" s="90"/>
      <c r="E56" s="90"/>
      <c r="F56" s="90"/>
      <c r="G56" s="90"/>
      <c r="H56" s="90"/>
    </row>
    <row r="57" spans="1:8" ht="54" customHeight="1" x14ac:dyDescent="0.75">
      <c r="A57" s="5"/>
      <c r="B57" s="6">
        <f ca="1">YEAR(DATE(Calendar4Year,Calendar4MonthOption+1,1))</f>
        <v>2019</v>
      </c>
      <c r="C57" s="7" t="str">
        <f ca="1">TEXT(DATE(Calendar4Year,Calendar4MonthOption+1,1),"m月")</f>
        <v>7月</v>
      </c>
      <c r="D57" s="5"/>
      <c r="E57" s="5"/>
      <c r="F57" s="5"/>
      <c r="G57" s="5"/>
      <c r="H57" s="5"/>
    </row>
    <row r="58" spans="1:8" ht="14.25" customHeight="1" x14ac:dyDescent="0.35">
      <c r="A58" s="9"/>
      <c r="B58" s="10" t="str">
        <f t="shared" ref="B58:H58" ca="1" si="4">UPPER(TEXT(B59,"aaaa"))</f>
        <v>星期日</v>
      </c>
      <c r="C58" s="12" t="str">
        <f t="shared" ca="1" si="4"/>
        <v>星期一</v>
      </c>
      <c r="D58" s="10" t="str">
        <f t="shared" ca="1" si="4"/>
        <v>星期二</v>
      </c>
      <c r="E58" s="12" t="str">
        <f t="shared" ca="1" si="4"/>
        <v>星期三</v>
      </c>
      <c r="F58" s="10" t="str">
        <f t="shared" ca="1" si="4"/>
        <v>星期四</v>
      </c>
      <c r="G58" s="12" t="str">
        <f t="shared" ca="1" si="4"/>
        <v>星期五</v>
      </c>
      <c r="H58" s="10" t="str">
        <f t="shared" ca="1" si="4"/>
        <v>星期六</v>
      </c>
    </row>
    <row r="59" spans="1:8" ht="16.5" customHeight="1" x14ac:dyDescent="0.3">
      <c r="B59" s="13">
        <f t="array" aca="1" ref="B59:H59" ca="1">日+1+DATE(Calendar5Year,Calendar5MonthOption,1)-WEEKDAY(DATE(Calendar5Year,Calendar5MonthOption,1),WeekdayOption)</f>
        <v>43646</v>
      </c>
      <c r="C59" s="13">
        <f ca="1"/>
        <v>43647</v>
      </c>
      <c r="D59" s="13">
        <f ca="1"/>
        <v>43648</v>
      </c>
      <c r="E59" s="13">
        <f ca="1"/>
        <v>43649</v>
      </c>
      <c r="F59" s="13">
        <f ca="1"/>
        <v>43650</v>
      </c>
      <c r="G59" s="13">
        <f ca="1"/>
        <v>43651</v>
      </c>
      <c r="H59" s="14">
        <f ca="1"/>
        <v>43652</v>
      </c>
    </row>
    <row r="60" spans="1:8" ht="56.25" customHeight="1" x14ac:dyDescent="0.3">
      <c r="B60" s="15"/>
      <c r="C60" s="15"/>
      <c r="D60" s="15"/>
      <c r="E60" s="15"/>
      <c r="F60" s="15"/>
      <c r="G60" s="15"/>
      <c r="H60" s="16"/>
    </row>
    <row r="61" spans="1:8" ht="16.5" customHeight="1" x14ac:dyDescent="0.3">
      <c r="B61" s="13">
        <f t="array" aca="1" ref="B61:H61" ca="1">日+8+DATE(Calendar5Year,Calendar5MonthOption,1)-WEEKDAY(DATE(Calendar5Year,Calendar5MonthOption,1),WeekdayOption)</f>
        <v>43653</v>
      </c>
      <c r="C61" s="13">
        <f ca="1"/>
        <v>43654</v>
      </c>
      <c r="D61" s="13">
        <f ca="1"/>
        <v>43655</v>
      </c>
      <c r="E61" s="13">
        <f ca="1"/>
        <v>43656</v>
      </c>
      <c r="F61" s="13">
        <f ca="1"/>
        <v>43657</v>
      </c>
      <c r="G61" s="13">
        <f ca="1"/>
        <v>43658</v>
      </c>
      <c r="H61" s="14">
        <f ca="1"/>
        <v>43659</v>
      </c>
    </row>
    <row r="62" spans="1:8" ht="56.25" customHeight="1" x14ac:dyDescent="0.3">
      <c r="B62" s="15"/>
      <c r="C62" s="15"/>
      <c r="D62" s="15"/>
      <c r="E62" s="15"/>
      <c r="F62" s="15"/>
      <c r="G62" s="15"/>
      <c r="H62" s="16"/>
    </row>
    <row r="63" spans="1:8" ht="16.5" customHeight="1" x14ac:dyDescent="0.3">
      <c r="B63" s="13">
        <f t="array" aca="1" ref="B63:H63" ca="1">日+15+DATE(Calendar5Year,Calendar5MonthOption,1)-WEEKDAY(DATE(Calendar5Year,Calendar5MonthOption,1),WeekdayOption)</f>
        <v>43660</v>
      </c>
      <c r="C63" s="13">
        <f ca="1"/>
        <v>43661</v>
      </c>
      <c r="D63" s="13">
        <f ca="1"/>
        <v>43662</v>
      </c>
      <c r="E63" s="13">
        <f ca="1"/>
        <v>43663</v>
      </c>
      <c r="F63" s="13">
        <f ca="1"/>
        <v>43664</v>
      </c>
      <c r="G63" s="13">
        <f ca="1"/>
        <v>43665</v>
      </c>
      <c r="H63" s="14">
        <f ca="1"/>
        <v>43666</v>
      </c>
    </row>
    <row r="64" spans="1:8" ht="56.25" customHeight="1" x14ac:dyDescent="0.3">
      <c r="B64" s="15"/>
      <c r="C64" s="15"/>
      <c r="D64" s="15"/>
      <c r="E64" s="15"/>
      <c r="F64" s="15"/>
      <c r="G64" s="15"/>
      <c r="H64" s="16"/>
    </row>
    <row r="65" spans="1:8" ht="16.5" customHeight="1" x14ac:dyDescent="0.3">
      <c r="B65" s="13">
        <f t="array" aca="1" ref="B65:H65" ca="1">日+22+DATE(Calendar5Year,Calendar5MonthOption,1)-WEEKDAY(DATE(Calendar5Year,Calendar5MonthOption,1),WeekdayOption)</f>
        <v>43667</v>
      </c>
      <c r="C65" s="13">
        <f ca="1"/>
        <v>43668</v>
      </c>
      <c r="D65" s="13">
        <f ca="1"/>
        <v>43669</v>
      </c>
      <c r="E65" s="13">
        <f ca="1"/>
        <v>43670</v>
      </c>
      <c r="F65" s="13">
        <f ca="1"/>
        <v>43671</v>
      </c>
      <c r="G65" s="13">
        <f ca="1"/>
        <v>43672</v>
      </c>
      <c r="H65" s="14">
        <f ca="1"/>
        <v>43673</v>
      </c>
    </row>
    <row r="66" spans="1:8" ht="56.25" customHeight="1" x14ac:dyDescent="0.3">
      <c r="B66" s="15"/>
      <c r="C66" s="15"/>
      <c r="D66" s="15"/>
      <c r="E66" s="15"/>
      <c r="F66" s="15"/>
      <c r="G66" s="15"/>
      <c r="H66" s="16"/>
    </row>
    <row r="67" spans="1:8" ht="16.5" customHeight="1" x14ac:dyDescent="0.3">
      <c r="B67" s="13">
        <f t="array" aca="1" ref="B67:H67" ca="1">日+29+DATE(Calendar5Year,Calendar5MonthOption,1)-WEEKDAY(DATE(Calendar5Year,Calendar5MonthOption,1),WeekdayOption)</f>
        <v>43674</v>
      </c>
      <c r="C67" s="13">
        <f ca="1"/>
        <v>43675</v>
      </c>
      <c r="D67" s="13">
        <f ca="1"/>
        <v>43676</v>
      </c>
      <c r="E67" s="13">
        <f ca="1"/>
        <v>43677</v>
      </c>
      <c r="F67" s="13">
        <f ca="1"/>
        <v>43678</v>
      </c>
      <c r="G67" s="13">
        <f ca="1"/>
        <v>43679</v>
      </c>
      <c r="H67" s="14">
        <f ca="1"/>
        <v>43680</v>
      </c>
    </row>
    <row r="68" spans="1:8" ht="57" customHeight="1" x14ac:dyDescent="0.3">
      <c r="B68" s="15"/>
      <c r="C68" s="15"/>
      <c r="D68" s="15"/>
      <c r="E68" s="15"/>
      <c r="F68" s="15"/>
      <c r="G68" s="15"/>
      <c r="H68" s="20"/>
    </row>
    <row r="69" spans="1:8" ht="16.5" customHeight="1" x14ac:dyDescent="0.3">
      <c r="B69" s="13">
        <f t="array" aca="1" ref="B69:C69" ca="1">日+36+DATE(Calendar5Year,Calendar5MonthOption,1)-WEEKDAY(DATE(Calendar5Year,Calendar5MonthOption,1),WeekdayOption)</f>
        <v>43681</v>
      </c>
      <c r="C69" s="13">
        <f ca="1"/>
        <v>43682</v>
      </c>
      <c r="D69" s="92" t="s">
        <v>345</v>
      </c>
      <c r="E69" s="92"/>
      <c r="F69" s="92"/>
      <c r="G69" s="92"/>
      <c r="H69" s="92"/>
    </row>
    <row r="70" spans="1:8" ht="63.75" customHeight="1" x14ac:dyDescent="0.3">
      <c r="B70" s="15"/>
      <c r="C70" s="15"/>
      <c r="D70" s="90"/>
      <c r="E70" s="90"/>
      <c r="F70" s="90"/>
      <c r="G70" s="90"/>
      <c r="H70" s="90"/>
    </row>
    <row r="71" spans="1:8" ht="54" customHeight="1" x14ac:dyDescent="0.75">
      <c r="A71" s="5"/>
      <c r="B71" s="6">
        <f ca="1">YEAR(DATE(Calendar5Year,Calendar5MonthOption+1,1))</f>
        <v>2019</v>
      </c>
      <c r="C71" s="7" t="str">
        <f ca="1">TEXT(DATE(Calendar5Year,Calendar5MonthOption+1,1),"m月")</f>
        <v>8月</v>
      </c>
      <c r="D71" s="5"/>
      <c r="E71" s="5"/>
      <c r="F71" s="5"/>
      <c r="G71" s="5"/>
      <c r="H71" s="5"/>
    </row>
    <row r="72" spans="1:8" ht="14.25" customHeight="1" x14ac:dyDescent="0.35">
      <c r="A72" s="9"/>
      <c r="B72" s="10" t="str">
        <f t="shared" ref="B72:H72" ca="1" si="5">UPPER(TEXT(B73,"aaaa"))</f>
        <v>星期日</v>
      </c>
      <c r="C72" s="12" t="str">
        <f t="shared" ca="1" si="5"/>
        <v>星期一</v>
      </c>
      <c r="D72" s="10" t="str">
        <f t="shared" ca="1" si="5"/>
        <v>星期二</v>
      </c>
      <c r="E72" s="12" t="str">
        <f t="shared" ca="1" si="5"/>
        <v>星期三</v>
      </c>
      <c r="F72" s="10" t="str">
        <f t="shared" ca="1" si="5"/>
        <v>星期四</v>
      </c>
      <c r="G72" s="12" t="str">
        <f t="shared" ca="1" si="5"/>
        <v>星期五</v>
      </c>
      <c r="H72" s="10" t="str">
        <f t="shared" ca="1" si="5"/>
        <v>星期六</v>
      </c>
    </row>
    <row r="73" spans="1:8" ht="16.5" customHeight="1" x14ac:dyDescent="0.3">
      <c r="B73" s="13">
        <f t="array" aca="1" ref="B73:H73" ca="1">日+1+DATE(Calendar6Year,Calendar6MonthOption,1)-WEEKDAY(DATE(Calendar6Year,Calendar6MonthOption,1),WeekdayOption)</f>
        <v>43674</v>
      </c>
      <c r="C73" s="13">
        <f ca="1"/>
        <v>43675</v>
      </c>
      <c r="D73" s="13">
        <f ca="1"/>
        <v>43676</v>
      </c>
      <c r="E73" s="13">
        <f ca="1"/>
        <v>43677</v>
      </c>
      <c r="F73" s="13">
        <f ca="1"/>
        <v>43678</v>
      </c>
      <c r="G73" s="13">
        <f ca="1"/>
        <v>43679</v>
      </c>
      <c r="H73" s="14">
        <f ca="1"/>
        <v>43680</v>
      </c>
    </row>
    <row r="74" spans="1:8" ht="56.25" customHeight="1" x14ac:dyDescent="0.3">
      <c r="B74" s="15"/>
      <c r="C74" s="15"/>
      <c r="D74" s="15"/>
      <c r="E74" s="15"/>
      <c r="F74" s="15"/>
      <c r="G74" s="15"/>
      <c r="H74" s="16"/>
    </row>
    <row r="75" spans="1:8" ht="16.5" customHeight="1" x14ac:dyDescent="0.3">
      <c r="B75" s="13">
        <f t="array" aca="1" ref="B75:H75" ca="1">日+8+DATE(Calendar6Year,Calendar6MonthOption,1)-WEEKDAY(DATE(Calendar6Year,Calendar6MonthOption,1),WeekdayOption)</f>
        <v>43681</v>
      </c>
      <c r="C75" s="13">
        <f ca="1"/>
        <v>43682</v>
      </c>
      <c r="D75" s="13">
        <f ca="1"/>
        <v>43683</v>
      </c>
      <c r="E75" s="13">
        <f ca="1"/>
        <v>43684</v>
      </c>
      <c r="F75" s="13">
        <f ca="1"/>
        <v>43685</v>
      </c>
      <c r="G75" s="13">
        <f ca="1"/>
        <v>43686</v>
      </c>
      <c r="H75" s="14">
        <f ca="1"/>
        <v>43687</v>
      </c>
    </row>
    <row r="76" spans="1:8" ht="56.25" customHeight="1" x14ac:dyDescent="0.3">
      <c r="B76" s="15"/>
      <c r="C76" s="15"/>
      <c r="D76" s="15"/>
      <c r="E76" s="15"/>
      <c r="F76" s="15"/>
      <c r="G76" s="15"/>
      <c r="H76" s="16"/>
    </row>
    <row r="77" spans="1:8" ht="16.5" customHeight="1" x14ac:dyDescent="0.3">
      <c r="B77" s="13">
        <f t="array" aca="1" ref="B77:H77" ca="1">日+15+DATE(Calendar6Year,Calendar6MonthOption,1)-WEEKDAY(DATE(Calendar6Year,Calendar6MonthOption,1),WeekdayOption)</f>
        <v>43688</v>
      </c>
      <c r="C77" s="13">
        <f ca="1"/>
        <v>43689</v>
      </c>
      <c r="D77" s="13">
        <f ca="1"/>
        <v>43690</v>
      </c>
      <c r="E77" s="13">
        <f ca="1"/>
        <v>43691</v>
      </c>
      <c r="F77" s="13">
        <f ca="1"/>
        <v>43692</v>
      </c>
      <c r="G77" s="13">
        <f ca="1"/>
        <v>43693</v>
      </c>
      <c r="H77" s="14">
        <f ca="1"/>
        <v>43694</v>
      </c>
    </row>
    <row r="78" spans="1:8" ht="56.25" customHeight="1" x14ac:dyDescent="0.3">
      <c r="B78" s="15"/>
      <c r="C78" s="15"/>
      <c r="D78" s="15"/>
      <c r="E78" s="15"/>
      <c r="F78" s="15"/>
      <c r="G78" s="15"/>
      <c r="H78" s="16"/>
    </row>
    <row r="79" spans="1:8" ht="16.5" customHeight="1" x14ac:dyDescent="0.3">
      <c r="B79" s="13">
        <f t="array" aca="1" ref="B79:H79" ca="1">日+22+DATE(Calendar6Year,Calendar6MonthOption,1)-WEEKDAY(DATE(Calendar6Year,Calendar6MonthOption,1),WeekdayOption)</f>
        <v>43695</v>
      </c>
      <c r="C79" s="13">
        <f ca="1"/>
        <v>43696</v>
      </c>
      <c r="D79" s="13">
        <f ca="1"/>
        <v>43697</v>
      </c>
      <c r="E79" s="13">
        <f ca="1"/>
        <v>43698</v>
      </c>
      <c r="F79" s="13">
        <f ca="1"/>
        <v>43699</v>
      </c>
      <c r="G79" s="13">
        <f ca="1"/>
        <v>43700</v>
      </c>
      <c r="H79" s="14">
        <f ca="1"/>
        <v>43701</v>
      </c>
    </row>
    <row r="80" spans="1:8" ht="56.25" customHeight="1" x14ac:dyDescent="0.3">
      <c r="B80" s="15"/>
      <c r="C80" s="15"/>
      <c r="D80" s="15"/>
      <c r="E80" s="15"/>
      <c r="F80" s="15"/>
      <c r="G80" s="15"/>
      <c r="H80" s="16"/>
    </row>
    <row r="81" spans="1:8" ht="16.5" customHeight="1" x14ac:dyDescent="0.3">
      <c r="B81" s="13">
        <f t="array" aca="1" ref="B81:H81" ca="1">日+29+DATE(Calendar6Year,Calendar6MonthOption,1)-WEEKDAY(DATE(Calendar6Year,Calendar6MonthOption,1),WeekdayOption)</f>
        <v>43702</v>
      </c>
      <c r="C81" s="13">
        <f ca="1"/>
        <v>43703</v>
      </c>
      <c r="D81" s="13">
        <f ca="1"/>
        <v>43704</v>
      </c>
      <c r="E81" s="13">
        <f ca="1"/>
        <v>43705</v>
      </c>
      <c r="F81" s="13">
        <f ca="1"/>
        <v>43706</v>
      </c>
      <c r="G81" s="13">
        <f ca="1"/>
        <v>43707</v>
      </c>
      <c r="H81" s="14">
        <f ca="1"/>
        <v>43708</v>
      </c>
    </row>
    <row r="82" spans="1:8" ht="57" customHeight="1" x14ac:dyDescent="0.3">
      <c r="B82" s="15"/>
      <c r="C82" s="15"/>
      <c r="D82" s="15"/>
      <c r="E82" s="15"/>
      <c r="F82" s="15"/>
      <c r="G82" s="15"/>
      <c r="H82" s="20"/>
    </row>
    <row r="83" spans="1:8" ht="16.5" customHeight="1" x14ac:dyDescent="0.3">
      <c r="B83" s="13">
        <f t="array" aca="1" ref="B83:C83" ca="1">日+36+DATE(Calendar6Year,Calendar6MonthOption,1)-WEEKDAY(DATE(Calendar6Year,Calendar6MonthOption,1),WeekdayOption)</f>
        <v>43709</v>
      </c>
      <c r="C83" s="13">
        <f ca="1"/>
        <v>43710</v>
      </c>
      <c r="D83" s="92" t="s">
        <v>345</v>
      </c>
      <c r="E83" s="92"/>
      <c r="F83" s="92"/>
      <c r="G83" s="92"/>
      <c r="H83" s="92"/>
    </row>
    <row r="84" spans="1:8" ht="63.75" customHeight="1" x14ac:dyDescent="0.3">
      <c r="B84" s="15"/>
      <c r="C84" s="15"/>
      <c r="D84" s="90"/>
      <c r="E84" s="90"/>
      <c r="F84" s="90"/>
      <c r="G84" s="90"/>
      <c r="H84" s="90"/>
    </row>
    <row r="85" spans="1:8" ht="54" customHeight="1" x14ac:dyDescent="0.75">
      <c r="A85" s="5"/>
      <c r="B85" s="6">
        <f ca="1">YEAR(DATE(Calendar6Year,Calendar6MonthOption+1,1))</f>
        <v>2019</v>
      </c>
      <c r="C85" s="7" t="str">
        <f ca="1">TEXT(DATE(Calendar6Year,Calendar6MonthOption+1,1),"m月")</f>
        <v>9月</v>
      </c>
      <c r="D85" s="5"/>
      <c r="E85" s="5"/>
      <c r="F85" s="5"/>
      <c r="G85" s="5"/>
      <c r="H85" s="5"/>
    </row>
    <row r="86" spans="1:8" ht="14.25" customHeight="1" x14ac:dyDescent="0.35">
      <c r="A86" s="9"/>
      <c r="B86" s="10" t="str">
        <f t="shared" ref="B86:H86" ca="1" si="6">UPPER(TEXT(B87,"aaaa"))</f>
        <v>星期日</v>
      </c>
      <c r="C86" s="12" t="str">
        <f t="shared" ca="1" si="6"/>
        <v>星期一</v>
      </c>
      <c r="D86" s="10" t="str">
        <f t="shared" ca="1" si="6"/>
        <v>星期二</v>
      </c>
      <c r="E86" s="12" t="str">
        <f t="shared" ca="1" si="6"/>
        <v>星期三</v>
      </c>
      <c r="F86" s="10" t="str">
        <f t="shared" ca="1" si="6"/>
        <v>星期四</v>
      </c>
      <c r="G86" s="12" t="str">
        <f t="shared" ca="1" si="6"/>
        <v>星期五</v>
      </c>
      <c r="H86" s="10" t="str">
        <f t="shared" ca="1" si="6"/>
        <v>星期六</v>
      </c>
    </row>
    <row r="87" spans="1:8" ht="16.5" customHeight="1" x14ac:dyDescent="0.3">
      <c r="B87" s="13">
        <f t="array" aca="1" ref="B87:H87" ca="1">日+1+DATE(Calendar7Year,Calendar7MonthOption,1)-WEEKDAY(DATE(Calendar7Year,Calendar7MonthOption,1),WeekdayOption)</f>
        <v>43709</v>
      </c>
      <c r="C87" s="13">
        <f ca="1"/>
        <v>43710</v>
      </c>
      <c r="D87" s="13">
        <f ca="1"/>
        <v>43711</v>
      </c>
      <c r="E87" s="13">
        <f ca="1"/>
        <v>43712</v>
      </c>
      <c r="F87" s="13">
        <f ca="1"/>
        <v>43713</v>
      </c>
      <c r="G87" s="13">
        <f ca="1"/>
        <v>43714</v>
      </c>
      <c r="H87" s="14">
        <f ca="1"/>
        <v>43715</v>
      </c>
    </row>
    <row r="88" spans="1:8" ht="56.25" customHeight="1" x14ac:dyDescent="0.3">
      <c r="B88" s="15"/>
      <c r="C88" s="15"/>
      <c r="D88" s="15"/>
      <c r="E88" s="15"/>
      <c r="F88" s="15"/>
      <c r="G88" s="15"/>
      <c r="H88" s="16"/>
    </row>
    <row r="89" spans="1:8" ht="16.5" customHeight="1" x14ac:dyDescent="0.3">
      <c r="B89" s="13">
        <f t="array" aca="1" ref="B89:H89" ca="1">日+8+DATE(Calendar7Year,Calendar7MonthOption,1)-WEEKDAY(DATE(Calendar7Year,Calendar7MonthOption,1),WeekdayOption)</f>
        <v>43716</v>
      </c>
      <c r="C89" s="13">
        <f ca="1"/>
        <v>43717</v>
      </c>
      <c r="D89" s="13">
        <f ca="1"/>
        <v>43718</v>
      </c>
      <c r="E89" s="13">
        <f ca="1"/>
        <v>43719</v>
      </c>
      <c r="F89" s="13">
        <f ca="1"/>
        <v>43720</v>
      </c>
      <c r="G89" s="13">
        <f ca="1"/>
        <v>43721</v>
      </c>
      <c r="H89" s="14">
        <f ca="1"/>
        <v>43722</v>
      </c>
    </row>
    <row r="90" spans="1:8" ht="56.25" customHeight="1" x14ac:dyDescent="0.3">
      <c r="B90" s="15"/>
      <c r="C90" s="15"/>
      <c r="D90" s="15"/>
      <c r="E90" s="15"/>
      <c r="F90" s="15"/>
      <c r="G90" s="15"/>
      <c r="H90" s="16"/>
    </row>
    <row r="91" spans="1:8" ht="16.5" customHeight="1" x14ac:dyDescent="0.3">
      <c r="B91" s="13">
        <f t="array" aca="1" ref="B91:H91" ca="1">日+15+DATE(Calendar7Year,Calendar7MonthOption,1)-WEEKDAY(DATE(Calendar7Year,Calendar7MonthOption,1),WeekdayOption)</f>
        <v>43723</v>
      </c>
      <c r="C91" s="13">
        <f ca="1"/>
        <v>43724</v>
      </c>
      <c r="D91" s="13">
        <f ca="1"/>
        <v>43725</v>
      </c>
      <c r="E91" s="13">
        <f ca="1"/>
        <v>43726</v>
      </c>
      <c r="F91" s="13">
        <f ca="1"/>
        <v>43727</v>
      </c>
      <c r="G91" s="13">
        <f ca="1"/>
        <v>43728</v>
      </c>
      <c r="H91" s="14">
        <f ca="1"/>
        <v>43729</v>
      </c>
    </row>
    <row r="92" spans="1:8" ht="56.25" customHeight="1" x14ac:dyDescent="0.3">
      <c r="B92" s="15"/>
      <c r="C92" s="15"/>
      <c r="D92" s="15"/>
      <c r="E92" s="15"/>
      <c r="F92" s="15"/>
      <c r="G92" s="15"/>
      <c r="H92" s="16"/>
    </row>
    <row r="93" spans="1:8" ht="16.5" customHeight="1" x14ac:dyDescent="0.3">
      <c r="B93" s="13">
        <f t="array" aca="1" ref="B93:H93" ca="1">日+22+DATE(Calendar7Year,Calendar7MonthOption,1)-WEEKDAY(DATE(Calendar7Year,Calendar7MonthOption,1),WeekdayOption)</f>
        <v>43730</v>
      </c>
      <c r="C93" s="13">
        <f ca="1"/>
        <v>43731</v>
      </c>
      <c r="D93" s="13">
        <f ca="1"/>
        <v>43732</v>
      </c>
      <c r="E93" s="13">
        <f ca="1"/>
        <v>43733</v>
      </c>
      <c r="F93" s="13">
        <f ca="1"/>
        <v>43734</v>
      </c>
      <c r="G93" s="13">
        <f ca="1"/>
        <v>43735</v>
      </c>
      <c r="H93" s="14">
        <f ca="1"/>
        <v>43736</v>
      </c>
    </row>
    <row r="94" spans="1:8" ht="56.25" customHeight="1" x14ac:dyDescent="0.3">
      <c r="B94" s="15"/>
      <c r="C94" s="15"/>
      <c r="D94" s="15"/>
      <c r="E94" s="15"/>
      <c r="F94" s="15"/>
      <c r="G94" s="15"/>
      <c r="H94" s="16"/>
    </row>
    <row r="95" spans="1:8" ht="16.5" customHeight="1" x14ac:dyDescent="0.3">
      <c r="B95" s="13">
        <f t="array" aca="1" ref="B95:H95" ca="1">日+29+DATE(Calendar7Year,Calendar7MonthOption,1)-WEEKDAY(DATE(Calendar7Year,Calendar7MonthOption,1),WeekdayOption)</f>
        <v>43737</v>
      </c>
      <c r="C95" s="13">
        <f ca="1"/>
        <v>43738</v>
      </c>
      <c r="D95" s="13">
        <f ca="1"/>
        <v>43739</v>
      </c>
      <c r="E95" s="13">
        <f ca="1"/>
        <v>43740</v>
      </c>
      <c r="F95" s="13">
        <f ca="1"/>
        <v>43741</v>
      </c>
      <c r="G95" s="13">
        <f ca="1"/>
        <v>43742</v>
      </c>
      <c r="H95" s="14">
        <f ca="1"/>
        <v>43743</v>
      </c>
    </row>
    <row r="96" spans="1:8" ht="57" customHeight="1" x14ac:dyDescent="0.3">
      <c r="B96" s="15"/>
      <c r="C96" s="15"/>
      <c r="D96" s="15"/>
      <c r="E96" s="15"/>
      <c r="F96" s="15"/>
      <c r="G96" s="15"/>
      <c r="H96" s="20"/>
    </row>
    <row r="97" spans="1:8" ht="16.5" customHeight="1" x14ac:dyDescent="0.3">
      <c r="B97" s="13">
        <f t="array" aca="1" ref="B97:C97" ca="1">日+36+DATE(Calendar7Year,Calendar7MonthOption,1)-WEEKDAY(DATE(Calendar7Year,Calendar7MonthOption,1),WeekdayOption)</f>
        <v>43744</v>
      </c>
      <c r="C97" s="13">
        <f ca="1"/>
        <v>43745</v>
      </c>
      <c r="D97" s="92" t="s">
        <v>345</v>
      </c>
      <c r="E97" s="92"/>
      <c r="F97" s="92"/>
      <c r="G97" s="92"/>
      <c r="H97" s="92"/>
    </row>
    <row r="98" spans="1:8" ht="63.75" customHeight="1" x14ac:dyDescent="0.3">
      <c r="B98" s="15"/>
      <c r="C98" s="15"/>
      <c r="D98" s="90"/>
      <c r="E98" s="90"/>
      <c r="F98" s="90"/>
      <c r="G98" s="90"/>
      <c r="H98" s="90"/>
    </row>
    <row r="99" spans="1:8" ht="54" customHeight="1" x14ac:dyDescent="0.75">
      <c r="A99" s="5"/>
      <c r="B99" s="6">
        <f ca="1">YEAR(DATE(Calendar7Year,Calendar7MonthOption+1,1))</f>
        <v>2019</v>
      </c>
      <c r="C99" s="7" t="str">
        <f ca="1">TEXT(DATE(Calendar7Year,Calendar7MonthOption+1,1),"m月")</f>
        <v>10月</v>
      </c>
      <c r="D99" s="5"/>
      <c r="E99" s="5"/>
      <c r="F99" s="5"/>
      <c r="G99" s="5"/>
      <c r="H99" s="5"/>
    </row>
    <row r="100" spans="1:8" ht="14.25" customHeight="1" x14ac:dyDescent="0.35">
      <c r="A100" s="9"/>
      <c r="B100" s="10" t="str">
        <f t="shared" ref="B100:H100" ca="1" si="7">UPPER(TEXT(B101,"aaaa"))</f>
        <v>星期日</v>
      </c>
      <c r="C100" s="12" t="str">
        <f t="shared" ca="1" si="7"/>
        <v>星期一</v>
      </c>
      <c r="D100" s="10" t="str">
        <f t="shared" ca="1" si="7"/>
        <v>星期二</v>
      </c>
      <c r="E100" s="12" t="str">
        <f t="shared" ca="1" si="7"/>
        <v>星期三</v>
      </c>
      <c r="F100" s="10" t="str">
        <f t="shared" ca="1" si="7"/>
        <v>星期四</v>
      </c>
      <c r="G100" s="12" t="str">
        <f t="shared" ca="1" si="7"/>
        <v>星期五</v>
      </c>
      <c r="H100" s="10" t="str">
        <f t="shared" ca="1" si="7"/>
        <v>星期六</v>
      </c>
    </row>
    <row r="101" spans="1:8" ht="16.5" customHeight="1" x14ac:dyDescent="0.3">
      <c r="B101" s="13">
        <f t="array" aca="1" ref="B101:H101" ca="1">日+1+DATE(Calendar8Year,Calendar8MonthOption,1)-WEEKDAY(DATE(Calendar8Year,Calendar8MonthOption,1),WeekdayOption)</f>
        <v>43737</v>
      </c>
      <c r="C101" s="13">
        <f ca="1"/>
        <v>43738</v>
      </c>
      <c r="D101" s="13">
        <f ca="1"/>
        <v>43739</v>
      </c>
      <c r="E101" s="13">
        <f ca="1"/>
        <v>43740</v>
      </c>
      <c r="F101" s="13">
        <f ca="1"/>
        <v>43741</v>
      </c>
      <c r="G101" s="13">
        <f ca="1"/>
        <v>43742</v>
      </c>
      <c r="H101" s="14">
        <f ca="1"/>
        <v>43743</v>
      </c>
    </row>
    <row r="102" spans="1:8" ht="56.25" customHeight="1" x14ac:dyDescent="0.3">
      <c r="B102" s="15"/>
      <c r="C102" s="15"/>
      <c r="D102" s="15"/>
      <c r="E102" s="15"/>
      <c r="F102" s="15"/>
      <c r="G102" s="15"/>
      <c r="H102" s="16"/>
    </row>
    <row r="103" spans="1:8" ht="16.5" customHeight="1" x14ac:dyDescent="0.3">
      <c r="B103" s="13">
        <f t="array" aca="1" ref="B103:H103" ca="1">日+8+DATE(Calendar8Year,Calendar8MonthOption,1)-WEEKDAY(DATE(Calendar8Year,Calendar8MonthOption,1),WeekdayOption)</f>
        <v>43744</v>
      </c>
      <c r="C103" s="13">
        <f ca="1"/>
        <v>43745</v>
      </c>
      <c r="D103" s="13">
        <f ca="1"/>
        <v>43746</v>
      </c>
      <c r="E103" s="13">
        <f ca="1"/>
        <v>43747</v>
      </c>
      <c r="F103" s="13">
        <f ca="1"/>
        <v>43748</v>
      </c>
      <c r="G103" s="13">
        <f ca="1"/>
        <v>43749</v>
      </c>
      <c r="H103" s="14">
        <f ca="1"/>
        <v>43750</v>
      </c>
    </row>
    <row r="104" spans="1:8" ht="56.25" customHeight="1" x14ac:dyDescent="0.3">
      <c r="B104" s="15"/>
      <c r="C104" s="15"/>
      <c r="D104" s="15"/>
      <c r="E104" s="15"/>
      <c r="F104" s="15"/>
      <c r="G104" s="15"/>
      <c r="H104" s="16"/>
    </row>
    <row r="105" spans="1:8" ht="16.5" customHeight="1" x14ac:dyDescent="0.3">
      <c r="B105" s="13">
        <f t="array" aca="1" ref="B105:H105" ca="1">日+15+DATE(Calendar8Year,Calendar8MonthOption,1)-WEEKDAY(DATE(Calendar8Year,Calendar8MonthOption,1),WeekdayOption)</f>
        <v>43751</v>
      </c>
      <c r="C105" s="13">
        <f ca="1"/>
        <v>43752</v>
      </c>
      <c r="D105" s="13">
        <f ca="1"/>
        <v>43753</v>
      </c>
      <c r="E105" s="13">
        <f ca="1"/>
        <v>43754</v>
      </c>
      <c r="F105" s="13">
        <f ca="1"/>
        <v>43755</v>
      </c>
      <c r="G105" s="13">
        <f ca="1"/>
        <v>43756</v>
      </c>
      <c r="H105" s="14">
        <f ca="1"/>
        <v>43757</v>
      </c>
    </row>
    <row r="106" spans="1:8" ht="56.25" customHeight="1" x14ac:dyDescent="0.3">
      <c r="B106" s="15"/>
      <c r="C106" s="15"/>
      <c r="D106" s="15"/>
      <c r="E106" s="15"/>
      <c r="F106" s="15"/>
      <c r="G106" s="15"/>
      <c r="H106" s="16"/>
    </row>
    <row r="107" spans="1:8" ht="16.5" customHeight="1" x14ac:dyDescent="0.3">
      <c r="B107" s="13">
        <f t="array" aca="1" ref="B107:H107" ca="1">日+22+DATE(Calendar8Year,Calendar8MonthOption,1)-WEEKDAY(DATE(Calendar8Year,Calendar8MonthOption,1),WeekdayOption)</f>
        <v>43758</v>
      </c>
      <c r="C107" s="13">
        <f ca="1"/>
        <v>43759</v>
      </c>
      <c r="D107" s="13">
        <f ca="1"/>
        <v>43760</v>
      </c>
      <c r="E107" s="13">
        <f ca="1"/>
        <v>43761</v>
      </c>
      <c r="F107" s="13">
        <f ca="1"/>
        <v>43762</v>
      </c>
      <c r="G107" s="13">
        <f ca="1"/>
        <v>43763</v>
      </c>
      <c r="H107" s="14">
        <f ca="1"/>
        <v>43764</v>
      </c>
    </row>
    <row r="108" spans="1:8" ht="56.25" customHeight="1" x14ac:dyDescent="0.3">
      <c r="B108" s="15"/>
      <c r="C108" s="15"/>
      <c r="D108" s="15"/>
      <c r="E108" s="15"/>
      <c r="F108" s="15"/>
      <c r="G108" s="15"/>
      <c r="H108" s="16"/>
    </row>
    <row r="109" spans="1:8" ht="16.5" customHeight="1" x14ac:dyDescent="0.3">
      <c r="B109" s="13">
        <f t="array" aca="1" ref="B109:H109" ca="1">日+29+DATE(Calendar8Year,Calendar8MonthOption,1)-WEEKDAY(DATE(Calendar8Year,Calendar8MonthOption,1),WeekdayOption)</f>
        <v>43765</v>
      </c>
      <c r="C109" s="13">
        <f ca="1"/>
        <v>43766</v>
      </c>
      <c r="D109" s="13">
        <f ca="1"/>
        <v>43767</v>
      </c>
      <c r="E109" s="13">
        <f ca="1"/>
        <v>43768</v>
      </c>
      <c r="F109" s="13">
        <f ca="1"/>
        <v>43769</v>
      </c>
      <c r="G109" s="13">
        <f ca="1"/>
        <v>43770</v>
      </c>
      <c r="H109" s="14">
        <f ca="1"/>
        <v>43771</v>
      </c>
    </row>
    <row r="110" spans="1:8" ht="57" customHeight="1" x14ac:dyDescent="0.3">
      <c r="B110" s="15"/>
      <c r="C110" s="15"/>
      <c r="D110" s="15"/>
      <c r="E110" s="15"/>
      <c r="F110" s="15"/>
      <c r="G110" s="15"/>
      <c r="H110" s="20"/>
    </row>
    <row r="111" spans="1:8" ht="16.5" customHeight="1" x14ac:dyDescent="0.3">
      <c r="B111" s="13">
        <f t="array" aca="1" ref="B111:C111" ca="1">日+36+DATE(Calendar8Year,Calendar8MonthOption,1)-WEEKDAY(DATE(Calendar8Year,Calendar8MonthOption,1),WeekdayOption)</f>
        <v>43772</v>
      </c>
      <c r="C111" s="13">
        <f ca="1"/>
        <v>43773</v>
      </c>
      <c r="D111" s="92" t="s">
        <v>345</v>
      </c>
      <c r="E111" s="92"/>
      <c r="F111" s="92"/>
      <c r="G111" s="92"/>
      <c r="H111" s="92"/>
    </row>
    <row r="112" spans="1:8" ht="63.75" customHeight="1" x14ac:dyDescent="0.3">
      <c r="B112" s="15"/>
      <c r="C112" s="15"/>
      <c r="D112" s="90"/>
      <c r="E112" s="90"/>
      <c r="F112" s="90"/>
      <c r="G112" s="90"/>
      <c r="H112" s="90"/>
    </row>
    <row r="113" spans="1:8" ht="54" customHeight="1" x14ac:dyDescent="0.75">
      <c r="A113" s="5"/>
      <c r="B113" s="6">
        <f ca="1">YEAR(DATE(Calendar8Year,Calendar8MonthOption+1,1))</f>
        <v>2019</v>
      </c>
      <c r="C113" s="7" t="str">
        <f ca="1">TEXT(DATE(Calendar8Year,Calendar8MonthOption+1,1),"m月")</f>
        <v>11月</v>
      </c>
      <c r="D113" s="5"/>
      <c r="E113" s="5"/>
      <c r="F113" s="5"/>
      <c r="G113" s="5"/>
      <c r="H113" s="5"/>
    </row>
    <row r="114" spans="1:8" ht="14.25" customHeight="1" x14ac:dyDescent="0.35">
      <c r="A114" s="9"/>
      <c r="B114" s="10" t="str">
        <f t="shared" ref="B114:H114" ca="1" si="8">UPPER(TEXT(B115,"aaaa"))</f>
        <v>星期日</v>
      </c>
      <c r="C114" s="12" t="str">
        <f t="shared" ca="1" si="8"/>
        <v>星期一</v>
      </c>
      <c r="D114" s="10" t="str">
        <f t="shared" ca="1" si="8"/>
        <v>星期二</v>
      </c>
      <c r="E114" s="12" t="str">
        <f t="shared" ca="1" si="8"/>
        <v>星期三</v>
      </c>
      <c r="F114" s="10" t="str">
        <f t="shared" ca="1" si="8"/>
        <v>星期四</v>
      </c>
      <c r="G114" s="12" t="str">
        <f t="shared" ca="1" si="8"/>
        <v>星期五</v>
      </c>
      <c r="H114" s="10" t="str">
        <f t="shared" ca="1" si="8"/>
        <v>星期六</v>
      </c>
    </row>
    <row r="115" spans="1:8" ht="16.5" customHeight="1" x14ac:dyDescent="0.3">
      <c r="B115" s="13">
        <f t="array" aca="1" ref="B115:H115" ca="1">日+1+DATE(Calendar9Year,Calendar9MonthOption,1)-WEEKDAY(DATE(Calendar9Year,Calendar9MonthOption,1),WeekdayOption)</f>
        <v>43765</v>
      </c>
      <c r="C115" s="13">
        <f ca="1"/>
        <v>43766</v>
      </c>
      <c r="D115" s="13">
        <f ca="1"/>
        <v>43767</v>
      </c>
      <c r="E115" s="13">
        <f ca="1"/>
        <v>43768</v>
      </c>
      <c r="F115" s="13">
        <f ca="1"/>
        <v>43769</v>
      </c>
      <c r="G115" s="13">
        <f ca="1"/>
        <v>43770</v>
      </c>
      <c r="H115" s="14">
        <f ca="1"/>
        <v>43771</v>
      </c>
    </row>
    <row r="116" spans="1:8" ht="56.25" customHeight="1" x14ac:dyDescent="0.3">
      <c r="B116" s="15"/>
      <c r="C116" s="15"/>
      <c r="D116" s="15"/>
      <c r="E116" s="15"/>
      <c r="F116" s="15"/>
      <c r="G116" s="15"/>
      <c r="H116" s="16"/>
    </row>
    <row r="117" spans="1:8" ht="16.5" customHeight="1" x14ac:dyDescent="0.3">
      <c r="B117" s="13">
        <f t="array" aca="1" ref="B117:H117" ca="1">日+8+DATE(Calendar9Year,Calendar9MonthOption,1)-WEEKDAY(DATE(Calendar9Year,Calendar9MonthOption,1),WeekdayOption)</f>
        <v>43772</v>
      </c>
      <c r="C117" s="13">
        <f ca="1"/>
        <v>43773</v>
      </c>
      <c r="D117" s="13">
        <f ca="1"/>
        <v>43774</v>
      </c>
      <c r="E117" s="13">
        <f ca="1"/>
        <v>43775</v>
      </c>
      <c r="F117" s="13">
        <f ca="1"/>
        <v>43776</v>
      </c>
      <c r="G117" s="13">
        <f ca="1"/>
        <v>43777</v>
      </c>
      <c r="H117" s="14">
        <f ca="1"/>
        <v>43778</v>
      </c>
    </row>
    <row r="118" spans="1:8" ht="56.25" customHeight="1" x14ac:dyDescent="0.3">
      <c r="B118" s="15"/>
      <c r="C118" s="15"/>
      <c r="D118" s="15"/>
      <c r="E118" s="15"/>
      <c r="F118" s="15"/>
      <c r="G118" s="15"/>
      <c r="H118" s="16"/>
    </row>
    <row r="119" spans="1:8" ht="16.5" customHeight="1" x14ac:dyDescent="0.3">
      <c r="B119" s="13">
        <f t="array" aca="1" ref="B119:H119" ca="1">日+15+DATE(Calendar9Year,Calendar9MonthOption,1)-WEEKDAY(DATE(Calendar9Year,Calendar9MonthOption,1),WeekdayOption)</f>
        <v>43779</v>
      </c>
      <c r="C119" s="13">
        <f ca="1"/>
        <v>43780</v>
      </c>
      <c r="D119" s="13">
        <f ca="1"/>
        <v>43781</v>
      </c>
      <c r="E119" s="13">
        <f ca="1"/>
        <v>43782</v>
      </c>
      <c r="F119" s="13">
        <f ca="1"/>
        <v>43783</v>
      </c>
      <c r="G119" s="13">
        <f ca="1"/>
        <v>43784</v>
      </c>
      <c r="H119" s="14">
        <f ca="1"/>
        <v>43785</v>
      </c>
    </row>
    <row r="120" spans="1:8" ht="56.25" customHeight="1" x14ac:dyDescent="0.3">
      <c r="B120" s="15"/>
      <c r="C120" s="15"/>
      <c r="D120" s="15"/>
      <c r="E120" s="15"/>
      <c r="F120" s="15"/>
      <c r="G120" s="15"/>
      <c r="H120" s="16"/>
    </row>
    <row r="121" spans="1:8" ht="16.5" customHeight="1" x14ac:dyDescent="0.3">
      <c r="B121" s="13">
        <f t="array" aca="1" ref="B121:H121" ca="1">日+22+DATE(Calendar9Year,Calendar9MonthOption,1)-WEEKDAY(DATE(Calendar9Year,Calendar9MonthOption,1),WeekdayOption)</f>
        <v>43786</v>
      </c>
      <c r="C121" s="13">
        <f ca="1"/>
        <v>43787</v>
      </c>
      <c r="D121" s="13">
        <f ca="1"/>
        <v>43788</v>
      </c>
      <c r="E121" s="13">
        <f ca="1"/>
        <v>43789</v>
      </c>
      <c r="F121" s="13">
        <f ca="1"/>
        <v>43790</v>
      </c>
      <c r="G121" s="13">
        <f ca="1"/>
        <v>43791</v>
      </c>
      <c r="H121" s="14">
        <f ca="1"/>
        <v>43792</v>
      </c>
    </row>
    <row r="122" spans="1:8" ht="56.25" customHeight="1" x14ac:dyDescent="0.3">
      <c r="B122" s="15"/>
      <c r="C122" s="15"/>
      <c r="D122" s="15"/>
      <c r="E122" s="15"/>
      <c r="F122" s="15"/>
      <c r="G122" s="15"/>
      <c r="H122" s="16"/>
    </row>
    <row r="123" spans="1:8" ht="16.5" customHeight="1" x14ac:dyDescent="0.3">
      <c r="B123" s="13">
        <f t="array" aca="1" ref="B123:H123" ca="1">日+29+DATE(Calendar9Year,Calendar9MonthOption,1)-WEEKDAY(DATE(Calendar9Year,Calendar9MonthOption,1),WeekdayOption)</f>
        <v>43793</v>
      </c>
      <c r="C123" s="13">
        <f ca="1"/>
        <v>43794</v>
      </c>
      <c r="D123" s="13">
        <f ca="1"/>
        <v>43795</v>
      </c>
      <c r="E123" s="13">
        <f ca="1"/>
        <v>43796</v>
      </c>
      <c r="F123" s="13">
        <f ca="1"/>
        <v>43797</v>
      </c>
      <c r="G123" s="13">
        <f ca="1"/>
        <v>43798</v>
      </c>
      <c r="H123" s="14">
        <f ca="1"/>
        <v>43799</v>
      </c>
    </row>
    <row r="124" spans="1:8" ht="57" customHeight="1" x14ac:dyDescent="0.3">
      <c r="B124" s="15"/>
      <c r="C124" s="15"/>
      <c r="D124" s="15"/>
      <c r="E124" s="15"/>
      <c r="F124" s="15"/>
      <c r="G124" s="15"/>
      <c r="H124" s="20"/>
    </row>
    <row r="125" spans="1:8" ht="16.5" customHeight="1" x14ac:dyDescent="0.3">
      <c r="B125" s="13">
        <f t="array" aca="1" ref="B125:C125" ca="1">日+36+DATE(Calendar9Year,Calendar9MonthOption,1)-WEEKDAY(DATE(Calendar9Year,Calendar9MonthOption,1),WeekdayOption)</f>
        <v>43800</v>
      </c>
      <c r="C125" s="13">
        <f ca="1"/>
        <v>43801</v>
      </c>
      <c r="D125" s="92" t="s">
        <v>345</v>
      </c>
      <c r="E125" s="92"/>
      <c r="F125" s="92"/>
      <c r="G125" s="92"/>
      <c r="H125" s="92"/>
    </row>
    <row r="126" spans="1:8" ht="63.75" customHeight="1" x14ac:dyDescent="0.3">
      <c r="B126" s="15"/>
      <c r="C126" s="15"/>
      <c r="D126" s="90"/>
      <c r="E126" s="90"/>
      <c r="F126" s="90"/>
      <c r="G126" s="90"/>
      <c r="H126" s="90"/>
    </row>
    <row r="127" spans="1:8" ht="54" customHeight="1" x14ac:dyDescent="0.75">
      <c r="A127" s="5"/>
      <c r="B127" s="6">
        <f ca="1">YEAR(DATE(Calendar9Year,Calendar9MonthOption+1,1))</f>
        <v>2019</v>
      </c>
      <c r="C127" s="7" t="str">
        <f ca="1">TEXT(DATE(Calendar9Year,Calendar9MonthOption+1,1),"m月")</f>
        <v>12月</v>
      </c>
      <c r="D127" s="5"/>
      <c r="E127" s="5"/>
      <c r="F127" s="5"/>
      <c r="G127" s="5"/>
      <c r="H127" s="5"/>
    </row>
    <row r="128" spans="1:8" ht="14.25" customHeight="1" x14ac:dyDescent="0.35">
      <c r="A128" s="9"/>
      <c r="B128" s="10" t="str">
        <f t="shared" ref="B128:H128" ca="1" si="9">UPPER(TEXT(B129,"aaaa"))</f>
        <v>星期日</v>
      </c>
      <c r="C128" s="12" t="str">
        <f t="shared" ca="1" si="9"/>
        <v>星期一</v>
      </c>
      <c r="D128" s="10" t="str">
        <f t="shared" ca="1" si="9"/>
        <v>星期二</v>
      </c>
      <c r="E128" s="12" t="str">
        <f t="shared" ca="1" si="9"/>
        <v>星期三</v>
      </c>
      <c r="F128" s="10" t="str">
        <f t="shared" ca="1" si="9"/>
        <v>星期四</v>
      </c>
      <c r="G128" s="12" t="str">
        <f t="shared" ca="1" si="9"/>
        <v>星期五</v>
      </c>
      <c r="H128" s="10" t="str">
        <f t="shared" ca="1" si="9"/>
        <v>星期六</v>
      </c>
    </row>
    <row r="129" spans="2:8" ht="16.5" customHeight="1" x14ac:dyDescent="0.3">
      <c r="B129" s="13">
        <f t="array" aca="1" ref="B129:H129" ca="1">日+1+DATE(Calendar10Year,Calendar10MonthOption,1)-WEEKDAY(DATE(Calendar10Year,Calendar10MonthOption,1),WeekdayOption)</f>
        <v>43800</v>
      </c>
      <c r="C129" s="13">
        <f ca="1"/>
        <v>43801</v>
      </c>
      <c r="D129" s="13">
        <f ca="1"/>
        <v>43802</v>
      </c>
      <c r="E129" s="13">
        <f ca="1"/>
        <v>43803</v>
      </c>
      <c r="F129" s="13">
        <f ca="1"/>
        <v>43804</v>
      </c>
      <c r="G129" s="13">
        <f ca="1"/>
        <v>43805</v>
      </c>
      <c r="H129" s="14">
        <f ca="1"/>
        <v>43806</v>
      </c>
    </row>
    <row r="130" spans="2:8" ht="56.25" customHeight="1" x14ac:dyDescent="0.3">
      <c r="B130" s="15"/>
      <c r="C130" s="15"/>
      <c r="D130" s="15"/>
      <c r="E130" s="15"/>
      <c r="F130" s="15"/>
      <c r="G130" s="15"/>
      <c r="H130" s="16"/>
    </row>
    <row r="131" spans="2:8" ht="16.5" customHeight="1" x14ac:dyDescent="0.3">
      <c r="B131" s="13">
        <f t="array" aca="1" ref="B131:H131" ca="1">日+8+DATE(Calendar10Year,Calendar10MonthOption,1)-WEEKDAY(DATE(Calendar10Year,Calendar10MonthOption,1),WeekdayOption)</f>
        <v>43807</v>
      </c>
      <c r="C131" s="13">
        <f ca="1"/>
        <v>43808</v>
      </c>
      <c r="D131" s="13">
        <f ca="1"/>
        <v>43809</v>
      </c>
      <c r="E131" s="13">
        <f ca="1"/>
        <v>43810</v>
      </c>
      <c r="F131" s="13">
        <f ca="1"/>
        <v>43811</v>
      </c>
      <c r="G131" s="13">
        <f ca="1"/>
        <v>43812</v>
      </c>
      <c r="H131" s="14">
        <f ca="1"/>
        <v>43813</v>
      </c>
    </row>
    <row r="132" spans="2:8" ht="56.25" customHeight="1" x14ac:dyDescent="0.3">
      <c r="B132" s="15"/>
      <c r="C132" s="15"/>
      <c r="D132" s="15"/>
      <c r="E132" s="15"/>
      <c r="F132" s="15"/>
      <c r="G132" s="15"/>
      <c r="H132" s="16"/>
    </row>
    <row r="133" spans="2:8" ht="16.5" customHeight="1" x14ac:dyDescent="0.3">
      <c r="B133" s="13">
        <f t="array" aca="1" ref="B133:H133" ca="1">日+15+DATE(Calendar10Year,Calendar10MonthOption,1)-WEEKDAY(DATE(Calendar10Year,Calendar10MonthOption,1),WeekdayOption)</f>
        <v>43814</v>
      </c>
      <c r="C133" s="13">
        <f ca="1"/>
        <v>43815</v>
      </c>
      <c r="D133" s="13">
        <f ca="1"/>
        <v>43816</v>
      </c>
      <c r="E133" s="13">
        <f ca="1"/>
        <v>43817</v>
      </c>
      <c r="F133" s="13">
        <f ca="1"/>
        <v>43818</v>
      </c>
      <c r="G133" s="13">
        <f ca="1"/>
        <v>43819</v>
      </c>
      <c r="H133" s="14">
        <f ca="1"/>
        <v>43820</v>
      </c>
    </row>
    <row r="134" spans="2:8" ht="56.25" customHeight="1" x14ac:dyDescent="0.3">
      <c r="B134" s="15"/>
      <c r="C134" s="15"/>
      <c r="D134" s="15"/>
      <c r="E134" s="15"/>
      <c r="F134" s="15"/>
      <c r="G134" s="15"/>
      <c r="H134" s="16"/>
    </row>
    <row r="135" spans="2:8" ht="16.5" customHeight="1" x14ac:dyDescent="0.3">
      <c r="B135" s="13">
        <f t="array" aca="1" ref="B135:H135" ca="1">日+22+DATE(Calendar10Year,Calendar10MonthOption,1)-WEEKDAY(DATE(Calendar10Year,Calendar10MonthOption,1),WeekdayOption)</f>
        <v>43821</v>
      </c>
      <c r="C135" s="13">
        <f ca="1"/>
        <v>43822</v>
      </c>
      <c r="D135" s="13">
        <f ca="1"/>
        <v>43823</v>
      </c>
      <c r="E135" s="13">
        <f ca="1"/>
        <v>43824</v>
      </c>
      <c r="F135" s="13">
        <f ca="1"/>
        <v>43825</v>
      </c>
      <c r="G135" s="13">
        <f ca="1"/>
        <v>43826</v>
      </c>
      <c r="H135" s="14">
        <f ca="1"/>
        <v>43827</v>
      </c>
    </row>
    <row r="136" spans="2:8" ht="56.25" customHeight="1" x14ac:dyDescent="0.3">
      <c r="B136" s="15"/>
      <c r="C136" s="15"/>
      <c r="D136" s="15"/>
      <c r="E136" s="15"/>
      <c r="F136" s="15"/>
      <c r="G136" s="15"/>
      <c r="H136" s="16"/>
    </row>
    <row r="137" spans="2:8" ht="16.5" customHeight="1" x14ac:dyDescent="0.3">
      <c r="B137" s="13">
        <f t="array" aca="1" ref="B137:H137" ca="1">日+29+DATE(Calendar10Year,Calendar10MonthOption,1)-WEEKDAY(DATE(Calendar10Year,Calendar10MonthOption,1),WeekdayOption)</f>
        <v>43828</v>
      </c>
      <c r="C137" s="13">
        <f ca="1"/>
        <v>43829</v>
      </c>
      <c r="D137" s="13">
        <f ca="1"/>
        <v>43830</v>
      </c>
      <c r="E137" s="13">
        <f ca="1"/>
        <v>43831</v>
      </c>
      <c r="F137" s="13">
        <f ca="1"/>
        <v>43832</v>
      </c>
      <c r="G137" s="13">
        <f ca="1"/>
        <v>43833</v>
      </c>
      <c r="H137" s="14">
        <f ca="1"/>
        <v>43834</v>
      </c>
    </row>
    <row r="138" spans="2:8" ht="57" customHeight="1" x14ac:dyDescent="0.3">
      <c r="B138" s="15"/>
      <c r="C138" s="15"/>
      <c r="D138" s="15"/>
      <c r="E138" s="15"/>
      <c r="F138" s="15"/>
      <c r="G138" s="15"/>
      <c r="H138" s="20"/>
    </row>
    <row r="139" spans="2:8" ht="16.5" customHeight="1" x14ac:dyDescent="0.3">
      <c r="B139" s="13">
        <f t="array" aca="1" ref="B139:C139" ca="1">日+36+DATE(Calendar10Year,Calendar10MonthOption,1)-WEEKDAY(DATE(Calendar10Year,Calendar10MonthOption,1),WeekdayOption)</f>
        <v>43835</v>
      </c>
      <c r="C139" s="13">
        <f ca="1"/>
        <v>43836</v>
      </c>
      <c r="D139" s="92" t="s">
        <v>345</v>
      </c>
      <c r="E139" s="92"/>
      <c r="F139" s="92"/>
      <c r="G139" s="92"/>
      <c r="H139" s="92"/>
    </row>
    <row r="140" spans="2:8" ht="63.75" customHeight="1" x14ac:dyDescent="0.3">
      <c r="B140" s="15"/>
      <c r="C140" s="15"/>
      <c r="D140" s="90"/>
      <c r="E140" s="90"/>
      <c r="F140" s="90"/>
      <c r="G140" s="90"/>
      <c r="H140" s="90"/>
    </row>
    <row r="141" spans="2:8" ht="54" customHeight="1" x14ac:dyDescent="0.75">
      <c r="B141" s="6">
        <f ca="1">YEAR(DATE(Calendar10Year,Calendar10MonthOption+1,1))</f>
        <v>2020</v>
      </c>
      <c r="C141" s="7" t="str">
        <f ca="1">TEXT(DATE(Calendar10Year,Calendar10MonthOption+1,1),"m月")</f>
        <v>1月</v>
      </c>
      <c r="D141" s="5"/>
      <c r="E141" s="5"/>
      <c r="F141" s="5"/>
      <c r="G141" s="5"/>
      <c r="H141" s="5"/>
    </row>
    <row r="142" spans="2:8" ht="14.25" customHeight="1" x14ac:dyDescent="0.3">
      <c r="B142" s="10" t="str">
        <f t="shared" ref="B142:H142" ca="1" si="10">UPPER(TEXT(B143,"aaaa"))</f>
        <v>星期日</v>
      </c>
      <c r="C142" s="12" t="str">
        <f t="shared" ca="1" si="10"/>
        <v>星期一</v>
      </c>
      <c r="D142" s="10" t="str">
        <f t="shared" ca="1" si="10"/>
        <v>星期二</v>
      </c>
      <c r="E142" s="12" t="str">
        <f t="shared" ca="1" si="10"/>
        <v>星期三</v>
      </c>
      <c r="F142" s="10" t="str">
        <f t="shared" ca="1" si="10"/>
        <v>星期四</v>
      </c>
      <c r="G142" s="12" t="str">
        <f t="shared" ca="1" si="10"/>
        <v>星期五</v>
      </c>
      <c r="H142" s="10" t="str">
        <f t="shared" ca="1" si="10"/>
        <v>星期六</v>
      </c>
    </row>
    <row r="143" spans="2:8" ht="16.5" customHeight="1" x14ac:dyDescent="0.3">
      <c r="B143" s="13">
        <f t="array" aca="1" ref="B143:H143" ca="1">日+1+DATE(Calendar11Year,Calendar11MonthOption,1)-WEEKDAY(DATE(Calendar11Year,Calendar11MonthOption,1),WeekdayOption)</f>
        <v>43828</v>
      </c>
      <c r="C143" s="13">
        <f ca="1"/>
        <v>43829</v>
      </c>
      <c r="D143" s="13">
        <f ca="1"/>
        <v>43830</v>
      </c>
      <c r="E143" s="13">
        <f ca="1"/>
        <v>43831</v>
      </c>
      <c r="F143" s="13">
        <f ca="1"/>
        <v>43832</v>
      </c>
      <c r="G143" s="13">
        <f ca="1"/>
        <v>43833</v>
      </c>
      <c r="H143" s="14">
        <f ca="1"/>
        <v>43834</v>
      </c>
    </row>
    <row r="144" spans="2:8" ht="56.25" customHeight="1" x14ac:dyDescent="0.3">
      <c r="B144" s="15"/>
      <c r="C144" s="15"/>
      <c r="D144" s="15"/>
      <c r="E144" s="15"/>
      <c r="F144" s="15"/>
      <c r="G144" s="15"/>
      <c r="H144" s="16"/>
    </row>
    <row r="145" spans="2:8" ht="16.5" customHeight="1" x14ac:dyDescent="0.3">
      <c r="B145" s="13">
        <f t="array" aca="1" ref="B145:H145" ca="1">日+8+DATE(Calendar11Year,Calendar11MonthOption,1)-WEEKDAY(DATE(Calendar11Year,Calendar11MonthOption,1),WeekdayOption)</f>
        <v>43835</v>
      </c>
      <c r="C145" s="13">
        <f ca="1"/>
        <v>43836</v>
      </c>
      <c r="D145" s="13">
        <f ca="1"/>
        <v>43837</v>
      </c>
      <c r="E145" s="13">
        <f ca="1"/>
        <v>43838</v>
      </c>
      <c r="F145" s="13">
        <f ca="1"/>
        <v>43839</v>
      </c>
      <c r="G145" s="13">
        <f ca="1"/>
        <v>43840</v>
      </c>
      <c r="H145" s="14">
        <f ca="1"/>
        <v>43841</v>
      </c>
    </row>
    <row r="146" spans="2:8" ht="56.25" customHeight="1" x14ac:dyDescent="0.3">
      <c r="B146" s="15"/>
      <c r="C146" s="15"/>
      <c r="D146" s="15"/>
      <c r="E146" s="15"/>
      <c r="F146" s="15"/>
      <c r="G146" s="15"/>
      <c r="H146" s="16"/>
    </row>
    <row r="147" spans="2:8" ht="16.5" customHeight="1" x14ac:dyDescent="0.3">
      <c r="B147" s="13">
        <f t="array" aca="1" ref="B147:H147" ca="1">日+15+DATE(Calendar11Year,Calendar11MonthOption,1)-WEEKDAY(DATE(Calendar11Year,Calendar11MonthOption,1),WeekdayOption)</f>
        <v>43842</v>
      </c>
      <c r="C147" s="13">
        <f ca="1"/>
        <v>43843</v>
      </c>
      <c r="D147" s="13">
        <f ca="1"/>
        <v>43844</v>
      </c>
      <c r="E147" s="13">
        <f ca="1"/>
        <v>43845</v>
      </c>
      <c r="F147" s="13">
        <f ca="1"/>
        <v>43846</v>
      </c>
      <c r="G147" s="13">
        <f ca="1"/>
        <v>43847</v>
      </c>
      <c r="H147" s="14">
        <f ca="1"/>
        <v>43848</v>
      </c>
    </row>
    <row r="148" spans="2:8" ht="56.25" customHeight="1" x14ac:dyDescent="0.3">
      <c r="B148" s="15"/>
      <c r="C148" s="15"/>
      <c r="D148" s="15"/>
      <c r="E148" s="15"/>
      <c r="F148" s="15"/>
      <c r="G148" s="15"/>
      <c r="H148" s="16"/>
    </row>
    <row r="149" spans="2:8" ht="16.5" customHeight="1" x14ac:dyDescent="0.3">
      <c r="B149" s="13">
        <f t="array" aca="1" ref="B149:H149" ca="1">日+22+DATE(Calendar11Year,Calendar11MonthOption,1)-WEEKDAY(DATE(Calendar11Year,Calendar11MonthOption,1),WeekdayOption)</f>
        <v>43849</v>
      </c>
      <c r="C149" s="13">
        <f ca="1"/>
        <v>43850</v>
      </c>
      <c r="D149" s="13">
        <f ca="1"/>
        <v>43851</v>
      </c>
      <c r="E149" s="13">
        <f ca="1"/>
        <v>43852</v>
      </c>
      <c r="F149" s="13">
        <f ca="1"/>
        <v>43853</v>
      </c>
      <c r="G149" s="13">
        <f ca="1"/>
        <v>43854</v>
      </c>
      <c r="H149" s="14">
        <f ca="1"/>
        <v>43855</v>
      </c>
    </row>
    <row r="150" spans="2:8" ht="56.25" customHeight="1" x14ac:dyDescent="0.3">
      <c r="B150" s="15"/>
      <c r="C150" s="15"/>
      <c r="D150" s="15"/>
      <c r="E150" s="15"/>
      <c r="F150" s="15"/>
      <c r="G150" s="15"/>
      <c r="H150" s="16"/>
    </row>
    <row r="151" spans="2:8" ht="16.5" customHeight="1" x14ac:dyDescent="0.3">
      <c r="B151" s="13">
        <f t="array" aca="1" ref="B151:H151" ca="1">日+29+DATE(Calendar11Year,Calendar11MonthOption,1)-WEEKDAY(DATE(Calendar11Year,Calendar11MonthOption,1),WeekdayOption)</f>
        <v>43856</v>
      </c>
      <c r="C151" s="13">
        <f ca="1"/>
        <v>43857</v>
      </c>
      <c r="D151" s="13">
        <f ca="1"/>
        <v>43858</v>
      </c>
      <c r="E151" s="13">
        <f ca="1"/>
        <v>43859</v>
      </c>
      <c r="F151" s="13">
        <f ca="1"/>
        <v>43860</v>
      </c>
      <c r="G151" s="13">
        <f ca="1"/>
        <v>43861</v>
      </c>
      <c r="H151" s="14">
        <f ca="1"/>
        <v>43862</v>
      </c>
    </row>
    <row r="152" spans="2:8" ht="57" customHeight="1" x14ac:dyDescent="0.3">
      <c r="B152" s="15"/>
      <c r="C152" s="15"/>
      <c r="D152" s="15"/>
      <c r="E152" s="15"/>
      <c r="F152" s="15"/>
      <c r="G152" s="15"/>
      <c r="H152" s="20"/>
    </row>
    <row r="153" spans="2:8" ht="16.5" customHeight="1" x14ac:dyDescent="0.3">
      <c r="B153" s="13">
        <f t="array" aca="1" ref="B153:C153" ca="1">日+36+DATE(Calendar11Year,Calendar11MonthOption,1)-WEEKDAY(DATE(Calendar11Year,Calendar11MonthOption,1),WeekdayOption)</f>
        <v>43863</v>
      </c>
      <c r="C153" s="13">
        <f ca="1"/>
        <v>43864</v>
      </c>
      <c r="D153" s="92" t="s">
        <v>345</v>
      </c>
      <c r="E153" s="92"/>
      <c r="F153" s="92"/>
      <c r="G153" s="92"/>
      <c r="H153" s="92"/>
    </row>
    <row r="154" spans="2:8" ht="63.75" customHeight="1" x14ac:dyDescent="0.3">
      <c r="B154" s="15"/>
      <c r="C154" s="15"/>
      <c r="D154" s="90"/>
      <c r="E154" s="90"/>
      <c r="F154" s="90"/>
      <c r="G154" s="90"/>
      <c r="H154" s="90"/>
    </row>
    <row r="155" spans="2:8" ht="54" customHeight="1" x14ac:dyDescent="0.75">
      <c r="B155" s="6">
        <f ca="1">YEAR(DATE(Calendar11Year,Calendar11MonthOption+1,1))</f>
        <v>2020</v>
      </c>
      <c r="C155" s="7" t="str">
        <f ca="1">TEXT(DATE(Calendar11Year,Calendar11MonthOption+1,1),"m月")</f>
        <v>2月</v>
      </c>
      <c r="D155" s="5"/>
      <c r="E155" s="5"/>
      <c r="F155" s="5"/>
      <c r="G155" s="5"/>
      <c r="H155" s="5"/>
    </row>
    <row r="156" spans="2:8" ht="14.25" customHeight="1" x14ac:dyDescent="0.3">
      <c r="B156" s="10" t="str">
        <f t="shared" ref="B156:H156" ca="1" si="11">UPPER(TEXT(B157,"aaaa"))</f>
        <v>星期日</v>
      </c>
      <c r="C156" s="12" t="str">
        <f t="shared" ca="1" si="11"/>
        <v>星期一</v>
      </c>
      <c r="D156" s="10" t="str">
        <f t="shared" ca="1" si="11"/>
        <v>星期二</v>
      </c>
      <c r="E156" s="12" t="str">
        <f t="shared" ca="1" si="11"/>
        <v>星期三</v>
      </c>
      <c r="F156" s="10" t="str">
        <f t="shared" ca="1" si="11"/>
        <v>星期四</v>
      </c>
      <c r="G156" s="12" t="str">
        <f t="shared" ca="1" si="11"/>
        <v>星期五</v>
      </c>
      <c r="H156" s="10" t="str">
        <f t="shared" ca="1" si="11"/>
        <v>星期六</v>
      </c>
    </row>
    <row r="157" spans="2:8" ht="16.5" customHeight="1" x14ac:dyDescent="0.3">
      <c r="B157" s="13">
        <f t="array" aca="1" ref="B157:H157" ca="1">日+1+DATE(Calendar12Year,Calendar12MonthOption,1)-WEEKDAY(DATE(Calendar12Year,Calendar12MonthOption,1),WeekdayOption)</f>
        <v>43856</v>
      </c>
      <c r="C157" s="13">
        <f ca="1"/>
        <v>43857</v>
      </c>
      <c r="D157" s="13">
        <f ca="1"/>
        <v>43858</v>
      </c>
      <c r="E157" s="13">
        <f ca="1"/>
        <v>43859</v>
      </c>
      <c r="F157" s="13">
        <f ca="1"/>
        <v>43860</v>
      </c>
      <c r="G157" s="13">
        <f ca="1"/>
        <v>43861</v>
      </c>
      <c r="H157" s="14">
        <f ca="1"/>
        <v>43862</v>
      </c>
    </row>
    <row r="158" spans="2:8" ht="56.25" customHeight="1" x14ac:dyDescent="0.3">
      <c r="B158" s="15"/>
      <c r="C158" s="15"/>
      <c r="D158" s="15"/>
      <c r="E158" s="15"/>
      <c r="F158" s="15"/>
      <c r="G158" s="15"/>
      <c r="H158" s="16"/>
    </row>
    <row r="159" spans="2:8" ht="16.5" customHeight="1" x14ac:dyDescent="0.3">
      <c r="B159" s="13">
        <f t="array" aca="1" ref="B159:H159" ca="1">日+8+DATE(Calendar12Year,Calendar12MonthOption,1)-WEEKDAY(DATE(Calendar12Year,Calendar12MonthOption,1),WeekdayOption)</f>
        <v>43863</v>
      </c>
      <c r="C159" s="13">
        <f ca="1"/>
        <v>43864</v>
      </c>
      <c r="D159" s="13">
        <f ca="1"/>
        <v>43865</v>
      </c>
      <c r="E159" s="13">
        <f ca="1"/>
        <v>43866</v>
      </c>
      <c r="F159" s="13">
        <f ca="1"/>
        <v>43867</v>
      </c>
      <c r="G159" s="13">
        <f ca="1"/>
        <v>43868</v>
      </c>
      <c r="H159" s="14">
        <f ca="1"/>
        <v>43869</v>
      </c>
    </row>
    <row r="160" spans="2:8" ht="56.25" customHeight="1" x14ac:dyDescent="0.3">
      <c r="B160" s="15"/>
      <c r="C160" s="15"/>
      <c r="D160" s="15"/>
      <c r="E160" s="15"/>
      <c r="F160" s="15"/>
      <c r="G160" s="15"/>
      <c r="H160" s="16"/>
    </row>
    <row r="161" spans="2:8" ht="16.5" customHeight="1" x14ac:dyDescent="0.3">
      <c r="B161" s="13">
        <f t="array" aca="1" ref="B161:H161" ca="1">日+15+DATE(Calendar12Year,Calendar12MonthOption,1)-WEEKDAY(DATE(Calendar12Year,Calendar12MonthOption,1),WeekdayOption)</f>
        <v>43870</v>
      </c>
      <c r="C161" s="13">
        <f ca="1"/>
        <v>43871</v>
      </c>
      <c r="D161" s="13">
        <f ca="1"/>
        <v>43872</v>
      </c>
      <c r="E161" s="13">
        <f ca="1"/>
        <v>43873</v>
      </c>
      <c r="F161" s="13">
        <f ca="1"/>
        <v>43874</v>
      </c>
      <c r="G161" s="13">
        <f ca="1"/>
        <v>43875</v>
      </c>
      <c r="H161" s="14">
        <f ca="1"/>
        <v>43876</v>
      </c>
    </row>
    <row r="162" spans="2:8" ht="56.25" customHeight="1" x14ac:dyDescent="0.3">
      <c r="B162" s="15"/>
      <c r="C162" s="15"/>
      <c r="D162" s="15"/>
      <c r="E162" s="15"/>
      <c r="F162" s="15"/>
      <c r="G162" s="15"/>
      <c r="H162" s="16"/>
    </row>
    <row r="163" spans="2:8" ht="16.5" customHeight="1" x14ac:dyDescent="0.3">
      <c r="B163" s="13">
        <f t="array" aca="1" ref="B163:H163" ca="1">日+22+DATE(Calendar12Year,Calendar12MonthOption,1)-WEEKDAY(DATE(Calendar12Year,Calendar12MonthOption,1),WeekdayOption)</f>
        <v>43877</v>
      </c>
      <c r="C163" s="13">
        <f ca="1"/>
        <v>43878</v>
      </c>
      <c r="D163" s="13">
        <f ca="1"/>
        <v>43879</v>
      </c>
      <c r="E163" s="13">
        <f ca="1"/>
        <v>43880</v>
      </c>
      <c r="F163" s="13">
        <f ca="1"/>
        <v>43881</v>
      </c>
      <c r="G163" s="13">
        <f ca="1"/>
        <v>43882</v>
      </c>
      <c r="H163" s="14">
        <f ca="1"/>
        <v>43883</v>
      </c>
    </row>
    <row r="164" spans="2:8" ht="56.25" customHeight="1" x14ac:dyDescent="0.3">
      <c r="B164" s="15"/>
      <c r="C164" s="15"/>
      <c r="D164" s="15"/>
      <c r="E164" s="15"/>
      <c r="F164" s="15"/>
      <c r="G164" s="15"/>
      <c r="H164" s="16"/>
    </row>
    <row r="165" spans="2:8" ht="16.5" customHeight="1" x14ac:dyDescent="0.3">
      <c r="B165" s="13">
        <f t="array" aca="1" ref="B165:H165" ca="1">日+29+DATE(Calendar12Year,Calendar12MonthOption,1)-WEEKDAY(DATE(Calendar12Year,Calendar12MonthOption,1),WeekdayOption)</f>
        <v>43884</v>
      </c>
      <c r="C165" s="13">
        <f ca="1"/>
        <v>43885</v>
      </c>
      <c r="D165" s="13">
        <f ca="1"/>
        <v>43886</v>
      </c>
      <c r="E165" s="13">
        <f ca="1"/>
        <v>43887</v>
      </c>
      <c r="F165" s="13">
        <f ca="1"/>
        <v>43888</v>
      </c>
      <c r="G165" s="13">
        <f ca="1"/>
        <v>43889</v>
      </c>
      <c r="H165" s="14">
        <f ca="1"/>
        <v>43890</v>
      </c>
    </row>
    <row r="166" spans="2:8" ht="57" customHeight="1" x14ac:dyDescent="0.3">
      <c r="B166" s="15"/>
      <c r="C166" s="15"/>
      <c r="D166" s="15"/>
      <c r="E166" s="15"/>
      <c r="F166" s="15"/>
      <c r="G166" s="15"/>
      <c r="H166" s="20"/>
    </row>
    <row r="167" spans="2:8" ht="16.5" customHeight="1" x14ac:dyDescent="0.3">
      <c r="B167" s="13">
        <f t="array" aca="1" ref="B167:C167" ca="1">日+36+DATE(Calendar12Year,Calendar12MonthOption,1)-WEEKDAY(DATE(Calendar12Year,Calendar12MonthOption,1),WeekdayOption)</f>
        <v>43891</v>
      </c>
      <c r="C167" s="13">
        <f ca="1"/>
        <v>43892</v>
      </c>
      <c r="D167" s="92" t="s">
        <v>345</v>
      </c>
      <c r="E167" s="92"/>
      <c r="F167" s="92"/>
      <c r="G167" s="92"/>
      <c r="H167" s="92"/>
    </row>
    <row r="168" spans="2:8" ht="63.75" customHeight="1" x14ac:dyDescent="0.3">
      <c r="B168" s="15"/>
      <c r="C168" s="15"/>
      <c r="D168" s="90"/>
      <c r="E168" s="90"/>
      <c r="F168" s="90"/>
      <c r="G168" s="90"/>
      <c r="H168" s="90"/>
    </row>
  </sheetData>
  <mergeCells count="24">
    <mergeCell ref="D168:H168"/>
    <mergeCell ref="D97:H97"/>
    <mergeCell ref="D98:H98"/>
    <mergeCell ref="D111:H111"/>
    <mergeCell ref="D112:H112"/>
    <mergeCell ref="D125:H125"/>
    <mergeCell ref="D126:H126"/>
    <mergeCell ref="D139:H139"/>
    <mergeCell ref="D140:H140"/>
    <mergeCell ref="D153:H153"/>
    <mergeCell ref="D154:H154"/>
    <mergeCell ref="D167:H167"/>
    <mergeCell ref="D84:H84"/>
    <mergeCell ref="D13:H13"/>
    <mergeCell ref="D14:H14"/>
    <mergeCell ref="D27:H27"/>
    <mergeCell ref="D28:H28"/>
    <mergeCell ref="D41:H41"/>
    <mergeCell ref="D42:H42"/>
    <mergeCell ref="D55:H55"/>
    <mergeCell ref="D56:H56"/>
    <mergeCell ref="D69:H69"/>
    <mergeCell ref="D70:H70"/>
    <mergeCell ref="D83:H83"/>
  </mergeCells>
  <phoneticPr fontId="2" type="noConversion"/>
  <conditionalFormatting sqref="B3:H3 B5:H5 B7:H7 B9:H9 B11:H11 B13:C13">
    <cfRule type="expression" dxfId="44" priority="12">
      <formula>MONTH(B3)&lt;&gt;Calendar1MonthOption</formula>
    </cfRule>
  </conditionalFormatting>
  <conditionalFormatting sqref="B17:H17 B19:H19 B21:H21 B23:H23 B25:H25 B27:C27">
    <cfRule type="expression" dxfId="43" priority="11">
      <formula>MONTH(B17)&lt;&gt;Calendar2MonthOption</formula>
    </cfRule>
  </conditionalFormatting>
  <conditionalFormatting sqref="B31:H31 B33:H33 B35:H35 B37:H37 B39:H39 B41:C41">
    <cfRule type="expression" dxfId="42" priority="10">
      <formula>MONTH(B31)&lt;&gt;Calendar3MonthOption</formula>
    </cfRule>
  </conditionalFormatting>
  <conditionalFormatting sqref="B45:H45 B47:H47 B49:H49 B51:H51 B53:H53 B55:C55">
    <cfRule type="expression" dxfId="41" priority="9">
      <formula>MONTH(B45)&lt;&gt;Calendar4MonthOption</formula>
    </cfRule>
  </conditionalFormatting>
  <conditionalFormatting sqref="B59:H59 B61:H61 B63:H63 B65:H65 B67:H67 B69:C69">
    <cfRule type="expression" dxfId="40" priority="8">
      <formula>MONTH(B59)&lt;&gt;Calendar5MonthOption</formula>
    </cfRule>
  </conditionalFormatting>
  <conditionalFormatting sqref="B73:H73 B75:H75 B77:H77 B79:H79 B81:H81 B83:C83">
    <cfRule type="expression" dxfId="39" priority="7">
      <formula>MONTH(B73)&lt;&gt;Calendar6MonthOption</formula>
    </cfRule>
  </conditionalFormatting>
  <conditionalFormatting sqref="B87:H87 B89:H89 B91:H91 B93:H93 B95:H95 B97:C97">
    <cfRule type="expression" dxfId="38" priority="6">
      <formula>MONTH(B87)&lt;&gt;Calendar7MonthOption</formula>
    </cfRule>
  </conditionalFormatting>
  <conditionalFormatting sqref="B101:H101 B103:H103 B105:H105 B107:H107 B109:H109 B111:C111">
    <cfRule type="expression" dxfId="37" priority="5">
      <formula>MONTH(B101)&lt;&gt;Calendar8MonthOption</formula>
    </cfRule>
  </conditionalFormatting>
  <conditionalFormatting sqref="B115:H115 B117:H117 B119:H119 B121:H121 B123:H123 B125:C125">
    <cfRule type="expression" dxfId="36" priority="4">
      <formula>MONTH(B115)&lt;&gt;Calendar9MonthOption</formula>
    </cfRule>
  </conditionalFormatting>
  <conditionalFormatting sqref="B129:H129 B131:H131 B133:H133 B135:H135 B137:H137 B139:C139">
    <cfRule type="expression" dxfId="35" priority="3">
      <formula>MONTH(B129)&lt;&gt;Calendar10MonthOption</formula>
    </cfRule>
  </conditionalFormatting>
  <conditionalFormatting sqref="B143:H143 B145:H145 B147:H147 B149:H149 B151:H151 B153:C153">
    <cfRule type="expression" dxfId="34" priority="2">
      <formula>MONTH(B143)&lt;&gt;Calendar11MonthOption</formula>
    </cfRule>
  </conditionalFormatting>
  <conditionalFormatting sqref="B157:H157 B159:H159 B161:H161 B163:H163 B165:H165 B167:C167">
    <cfRule type="expression" dxfId="33" priority="1">
      <formula>MONTH(B157)&lt;&gt;Calendar12MonthOption</formula>
    </cfRule>
  </conditionalFormatting>
  <dataValidations count="11">
    <dataValidation allowBlank="1" showInputMessage="1" prompt="日期" sqref="B3" xr:uid="{FA67FFB1-A90C-4FF6-BD31-F72CF6BC2027}"/>
    <dataValidation allowBlank="1" showInputMessage="1" prompt="日历月由在 C1 中选择的月份抵消" sqref="C15" xr:uid="{0E1E2C40-A7CA-4CEA-81B3-AB5DB9938323}"/>
    <dataValidation allowBlank="1" showInputMessage="1" prompt="日历年由在 B1 中输入的年份自动确定" sqref="B15" xr:uid="{8D38858E-696C-4A2C-8EB4-18E0B9A7F1FE}"/>
    <dataValidation allowBlank="1" showInputMessage="1" prompt="在此处输入每日备注" sqref="B4" xr:uid="{24056FC0-6B46-4500-B841-D44A13B526EF}"/>
    <dataValidation allowBlank="1" showInputMessage="1" prompt="每月备注标题" sqref="D13" xr:uid="{A3322DAD-B356-4C08-B43F-FE7D63A6D697}"/>
    <dataValidation allowBlank="1" showInputMessage="1" prompt="在此处输入每月备注" sqref="D14" xr:uid="{3A1F432E-C38D-4761-8877-48447EFB5DBB}"/>
    <dataValidation allowBlank="1" showInputMessage="1" prompt="自动确定工作日。若要更改工作日，请在 B2 中选择一周的新起始日期" sqref="C2:H2 B16" xr:uid="{6592A90F-7BEE-471F-AC4A-185A8DECB321}"/>
    <dataValidation allowBlank="1" showInputMessage="1" showErrorMessage="1" prompt="为此日历输入年份" sqref="B1" xr:uid="{1A6A1C32-59E8-4F02-8250-729BE66FDEC1}"/>
    <dataValidation allowBlank="1" showInputMessage="1" prompt="此工作簿是一个包含 12 个月的日历。在单元格 B1 中键入起始年份，然后在单元格 C1 中选择起始月份。该日历将自动更新后续月份" sqref="A1" xr:uid="{CB980524-664E-4013-8FEE-DD5B0DD55A4D}"/>
    <dataValidation type="list" allowBlank="1" showInputMessage="1" showErrorMessage="1" error="从列表的条目中选择一个月。选择“取消”，然后按 ALT + 向下箭头从下拉列表中选择" sqref="C1" xr:uid="{5549542B-B21D-446D-AA35-38A87B044835}">
      <formula1>"1月,2月,3月,4月,5月,6月,7月,8月,9月,10月,11月,12月"</formula1>
    </dataValidation>
    <dataValidation type="list" allowBlank="1" showInputMessage="1" showErrorMessage="1" error="仅下拉列表中的日期可用于工作日标题。若要选择其他工作日，请选择“取消”，然后按 ALT + 向下箭头从下拉列表中选择" prompt="从下拉列表中选择一周的开始日期。按 ALT + 向下箭头以打开下拉列表，然后按 ENTER 选择某一天。该日历将自动更新" sqref="B2" xr:uid="{FC815E28-E032-40F8-A4EE-E835E6F06FC9}">
      <formula1>"星期日,星期一,星期二,星期三,星期四,星期五,星期六"</formula1>
    </dataValidation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63FB-A4D5-4965-9CE8-2F2E423FA298}">
  <dimension ref="C1:K30"/>
  <sheetViews>
    <sheetView workbookViewId="0">
      <selection activeCell="M28" sqref="M28"/>
    </sheetView>
  </sheetViews>
  <sheetFormatPr defaultRowHeight="14.25" x14ac:dyDescent="0.2"/>
  <cols>
    <col min="3" max="3" width="19.375" bestFit="1" customWidth="1"/>
    <col min="4" max="4" width="4.5" bestFit="1" customWidth="1"/>
    <col min="5" max="5" width="8.5" bestFit="1" customWidth="1"/>
    <col min="6" max="6" width="6.5" bestFit="1" customWidth="1"/>
    <col min="8" max="8" width="19.375" bestFit="1" customWidth="1"/>
    <col min="9" max="9" width="4.5" bestFit="1" customWidth="1"/>
    <col min="10" max="10" width="8.5" bestFit="1" customWidth="1"/>
    <col min="11" max="11" width="6.5" bestFit="1" customWidth="1"/>
  </cols>
  <sheetData>
    <row r="1" spans="3:11" x14ac:dyDescent="0.2">
      <c r="C1" t="s">
        <v>1107</v>
      </c>
      <c r="D1">
        <v>2</v>
      </c>
      <c r="E1">
        <v>135</v>
      </c>
      <c r="F1">
        <v>0.7</v>
      </c>
      <c r="H1" t="s">
        <v>1107</v>
      </c>
      <c r="I1">
        <v>2</v>
      </c>
      <c r="J1">
        <v>135</v>
      </c>
      <c r="K1">
        <v>0.7</v>
      </c>
    </row>
    <row r="2" spans="3:11" x14ac:dyDescent="0.2">
      <c r="C2" t="s">
        <v>1157</v>
      </c>
      <c r="D2">
        <v>22</v>
      </c>
      <c r="E2">
        <v>7676</v>
      </c>
      <c r="F2">
        <v>7.7</v>
      </c>
      <c r="H2" t="s">
        <v>1157</v>
      </c>
      <c r="I2">
        <v>22</v>
      </c>
      <c r="J2">
        <v>7676</v>
      </c>
      <c r="K2">
        <v>7.7</v>
      </c>
    </row>
    <row r="3" spans="3:11" x14ac:dyDescent="0.2">
      <c r="C3" t="s">
        <v>1154</v>
      </c>
      <c r="D3">
        <v>10</v>
      </c>
      <c r="E3">
        <v>7098</v>
      </c>
      <c r="F3">
        <v>5.33</v>
      </c>
      <c r="H3" t="s">
        <v>1154</v>
      </c>
      <c r="I3">
        <v>10</v>
      </c>
      <c r="J3">
        <v>7098</v>
      </c>
      <c r="K3">
        <v>5.33</v>
      </c>
    </row>
    <row r="4" spans="3:11" x14ac:dyDescent="0.2">
      <c r="C4" t="s">
        <v>1158</v>
      </c>
      <c r="D4">
        <v>1</v>
      </c>
      <c r="E4">
        <v>49</v>
      </c>
      <c r="F4">
        <v>0.48</v>
      </c>
      <c r="H4" t="s">
        <v>1158</v>
      </c>
      <c r="I4">
        <v>1</v>
      </c>
      <c r="J4">
        <v>49</v>
      </c>
      <c r="K4">
        <v>0.48</v>
      </c>
    </row>
    <row r="5" spans="3:11" x14ac:dyDescent="0.2">
      <c r="C5" t="s">
        <v>1159</v>
      </c>
      <c r="D5">
        <v>1</v>
      </c>
      <c r="E5">
        <v>59.8</v>
      </c>
      <c r="F5">
        <v>0.48</v>
      </c>
      <c r="H5" t="s">
        <v>1159</v>
      </c>
      <c r="I5">
        <v>1</v>
      </c>
      <c r="J5">
        <v>59.8</v>
      </c>
      <c r="K5">
        <v>0.48</v>
      </c>
    </row>
    <row r="6" spans="3:11" x14ac:dyDescent="0.2">
      <c r="C6" t="s">
        <v>1145</v>
      </c>
      <c r="D6">
        <v>56</v>
      </c>
      <c r="E6">
        <v>469.1</v>
      </c>
      <c r="F6">
        <v>1.33</v>
      </c>
      <c r="H6" t="s">
        <v>1145</v>
      </c>
      <c r="I6">
        <v>56</v>
      </c>
      <c r="J6">
        <v>469.1</v>
      </c>
      <c r="K6">
        <v>1.33</v>
      </c>
    </row>
    <row r="7" spans="3:11" x14ac:dyDescent="0.2">
      <c r="C7" t="s">
        <v>1146</v>
      </c>
      <c r="D7">
        <v>64</v>
      </c>
      <c r="E7">
        <v>1734.4</v>
      </c>
      <c r="F7">
        <v>3.84</v>
      </c>
      <c r="H7" t="s">
        <v>1146</v>
      </c>
      <c r="I7">
        <v>64</v>
      </c>
      <c r="J7">
        <v>1734.4</v>
      </c>
      <c r="K7">
        <v>3.84</v>
      </c>
    </row>
    <row r="8" spans="3:11" x14ac:dyDescent="0.2">
      <c r="C8" t="s">
        <v>1147</v>
      </c>
      <c r="D8">
        <v>3</v>
      </c>
      <c r="E8">
        <v>1363.04</v>
      </c>
      <c r="F8">
        <v>2.08</v>
      </c>
      <c r="H8" t="s">
        <v>1147</v>
      </c>
      <c r="I8">
        <v>3</v>
      </c>
      <c r="J8">
        <v>1363.04</v>
      </c>
      <c r="K8">
        <v>2.08</v>
      </c>
    </row>
    <row r="9" spans="3:11" x14ac:dyDescent="0.2">
      <c r="C9" t="s">
        <v>1060</v>
      </c>
      <c r="D9">
        <v>42</v>
      </c>
      <c r="E9">
        <v>504.92</v>
      </c>
      <c r="F9">
        <v>1.69</v>
      </c>
      <c r="H9" t="s">
        <v>1060</v>
      </c>
      <c r="I9">
        <v>42</v>
      </c>
      <c r="J9">
        <v>504.92</v>
      </c>
      <c r="K9">
        <v>1.69</v>
      </c>
    </row>
    <row r="10" spans="3:11" x14ac:dyDescent="0.2">
      <c r="C10" t="s">
        <v>1062</v>
      </c>
      <c r="D10">
        <v>249</v>
      </c>
      <c r="E10">
        <v>2763.02</v>
      </c>
      <c r="F10">
        <v>11.46</v>
      </c>
      <c r="H10" t="s">
        <v>1062</v>
      </c>
      <c r="I10">
        <v>249</v>
      </c>
      <c r="J10">
        <v>2763.02</v>
      </c>
      <c r="K10">
        <v>11.46</v>
      </c>
    </row>
    <row r="11" spans="3:11" x14ac:dyDescent="0.2">
      <c r="C11" t="s">
        <v>1064</v>
      </c>
      <c r="D11">
        <v>281</v>
      </c>
      <c r="E11">
        <v>3563.39</v>
      </c>
      <c r="F11">
        <v>8.83</v>
      </c>
      <c r="H11" t="s">
        <v>1064</v>
      </c>
      <c r="I11">
        <v>281</v>
      </c>
      <c r="J11">
        <v>3563.39</v>
      </c>
      <c r="K11">
        <v>8.83</v>
      </c>
    </row>
    <row r="12" spans="3:11" x14ac:dyDescent="0.2">
      <c r="C12" t="s">
        <v>1160</v>
      </c>
      <c r="D12">
        <v>79</v>
      </c>
      <c r="E12">
        <v>642</v>
      </c>
      <c r="F12">
        <v>5</v>
      </c>
      <c r="H12" t="s">
        <v>1160</v>
      </c>
      <c r="I12">
        <v>79</v>
      </c>
      <c r="J12">
        <v>642</v>
      </c>
      <c r="K12">
        <v>5</v>
      </c>
    </row>
    <row r="13" spans="3:11" x14ac:dyDescent="0.2">
      <c r="C13" t="s">
        <v>1109</v>
      </c>
      <c r="D13">
        <v>1</v>
      </c>
      <c r="E13">
        <v>66</v>
      </c>
      <c r="F13">
        <v>0.9</v>
      </c>
      <c r="H13" t="s">
        <v>1109</v>
      </c>
      <c r="I13">
        <v>1</v>
      </c>
      <c r="J13">
        <v>66</v>
      </c>
      <c r="K13">
        <v>0.9</v>
      </c>
    </row>
    <row r="14" spans="3:11" x14ac:dyDescent="0.2">
      <c r="C14" t="s">
        <v>1155</v>
      </c>
      <c r="D14">
        <v>8</v>
      </c>
      <c r="E14">
        <v>3618</v>
      </c>
      <c r="F14">
        <v>13</v>
      </c>
      <c r="H14" t="s">
        <v>1155</v>
      </c>
      <c r="I14">
        <v>8</v>
      </c>
      <c r="J14">
        <v>3618</v>
      </c>
      <c r="K14">
        <v>13</v>
      </c>
    </row>
    <row r="15" spans="3:11" x14ac:dyDescent="0.2">
      <c r="C15" t="s">
        <v>1148</v>
      </c>
      <c r="D15">
        <v>5</v>
      </c>
      <c r="E15">
        <v>2125</v>
      </c>
      <c r="F15">
        <v>7.5</v>
      </c>
      <c r="H15" t="s">
        <v>1148</v>
      </c>
      <c r="I15">
        <v>5</v>
      </c>
      <c r="J15">
        <v>2125</v>
      </c>
      <c r="K15">
        <v>7.5</v>
      </c>
    </row>
    <row r="16" spans="3:11" x14ac:dyDescent="0.2">
      <c r="C16" t="s">
        <v>1057</v>
      </c>
      <c r="D16">
        <v>7</v>
      </c>
      <c r="E16">
        <v>2113</v>
      </c>
      <c r="F16">
        <v>12.6</v>
      </c>
      <c r="H16" t="s">
        <v>1057</v>
      </c>
      <c r="I16">
        <v>7</v>
      </c>
      <c r="J16">
        <v>2113</v>
      </c>
      <c r="K16">
        <v>12.6</v>
      </c>
    </row>
    <row r="17" spans="3:11" x14ac:dyDescent="0.2">
      <c r="C17" t="s">
        <v>1069</v>
      </c>
      <c r="D17">
        <v>3</v>
      </c>
      <c r="E17">
        <v>1218</v>
      </c>
      <c r="F17">
        <v>1.2</v>
      </c>
      <c r="H17" t="s">
        <v>1069</v>
      </c>
      <c r="I17">
        <v>3</v>
      </c>
      <c r="J17">
        <v>1218</v>
      </c>
      <c r="K17">
        <v>1.2</v>
      </c>
    </row>
    <row r="18" spans="3:11" x14ac:dyDescent="0.2">
      <c r="C18" t="s">
        <v>1149</v>
      </c>
      <c r="D18">
        <v>1</v>
      </c>
      <c r="E18">
        <v>500</v>
      </c>
      <c r="F18">
        <v>1</v>
      </c>
      <c r="H18" t="s">
        <v>1149</v>
      </c>
      <c r="I18">
        <v>1</v>
      </c>
      <c r="J18">
        <v>500</v>
      </c>
      <c r="K18">
        <v>1</v>
      </c>
    </row>
    <row r="19" spans="3:11" x14ac:dyDescent="0.2">
      <c r="C19" t="s">
        <v>1067</v>
      </c>
      <c r="D19">
        <v>1</v>
      </c>
      <c r="E19">
        <v>605</v>
      </c>
      <c r="F19">
        <v>1.2</v>
      </c>
      <c r="H19" t="s">
        <v>1067</v>
      </c>
      <c r="I19">
        <v>1</v>
      </c>
      <c r="J19">
        <v>605</v>
      </c>
      <c r="K19">
        <v>1.2</v>
      </c>
    </row>
    <row r="20" spans="3:11" x14ac:dyDescent="0.2">
      <c r="C20" t="s">
        <v>1150</v>
      </c>
      <c r="D20">
        <v>2</v>
      </c>
      <c r="E20">
        <v>1634</v>
      </c>
      <c r="F20">
        <v>1.536</v>
      </c>
      <c r="H20" t="s">
        <v>1150</v>
      </c>
      <c r="I20">
        <v>2</v>
      </c>
      <c r="J20">
        <v>1634</v>
      </c>
      <c r="K20">
        <v>1.536</v>
      </c>
    </row>
    <row r="21" spans="3:11" x14ac:dyDescent="0.2">
      <c r="C21" t="s">
        <v>1151</v>
      </c>
      <c r="D21">
        <v>17</v>
      </c>
      <c r="E21">
        <v>163.19999999999999</v>
      </c>
      <c r="F21">
        <v>0.74099999999999999</v>
      </c>
      <c r="H21" t="s">
        <v>1151</v>
      </c>
      <c r="I21">
        <v>17</v>
      </c>
      <c r="J21">
        <v>163.19999999999999</v>
      </c>
      <c r="K21">
        <v>0.74099999999999999</v>
      </c>
    </row>
    <row r="22" spans="3:11" x14ac:dyDescent="0.2">
      <c r="C22" t="s">
        <v>1108</v>
      </c>
      <c r="D22">
        <v>3</v>
      </c>
      <c r="E22">
        <v>351.9</v>
      </c>
      <c r="F22">
        <v>3.84</v>
      </c>
      <c r="H22" t="s">
        <v>1108</v>
      </c>
      <c r="I22">
        <v>3</v>
      </c>
      <c r="J22">
        <v>351.9</v>
      </c>
      <c r="K22">
        <v>3.84</v>
      </c>
    </row>
    <row r="23" spans="3:11" x14ac:dyDescent="0.2">
      <c r="C23" t="s">
        <v>1152</v>
      </c>
      <c r="D23">
        <v>19</v>
      </c>
      <c r="E23">
        <v>380</v>
      </c>
      <c r="F23">
        <v>1.5</v>
      </c>
      <c r="H23" t="s">
        <v>1152</v>
      </c>
      <c r="I23">
        <v>19</v>
      </c>
      <c r="J23">
        <v>380</v>
      </c>
      <c r="K23">
        <v>1.5</v>
      </c>
    </row>
    <row r="24" spans="3:11" x14ac:dyDescent="0.2">
      <c r="C24" t="s">
        <v>1156</v>
      </c>
      <c r="D24">
        <v>2</v>
      </c>
      <c r="E24">
        <v>294</v>
      </c>
      <c r="F24">
        <v>2.84</v>
      </c>
      <c r="H24" t="s">
        <v>1156</v>
      </c>
      <c r="I24">
        <v>2</v>
      </c>
      <c r="J24">
        <v>294</v>
      </c>
      <c r="K24">
        <v>2.84</v>
      </c>
    </row>
    <row r="25" spans="3:11" x14ac:dyDescent="0.2">
      <c r="C25" t="s">
        <v>1153</v>
      </c>
      <c r="D25">
        <v>22</v>
      </c>
      <c r="E25">
        <v>440</v>
      </c>
      <c r="F25">
        <v>2.2000000000000002</v>
      </c>
      <c r="H25" t="s">
        <v>1153</v>
      </c>
      <c r="I25">
        <v>22</v>
      </c>
      <c r="J25">
        <v>440</v>
      </c>
      <c r="K25">
        <v>2.2000000000000002</v>
      </c>
    </row>
    <row r="26" spans="3:11" x14ac:dyDescent="0.2">
      <c r="C26" t="s">
        <v>1113</v>
      </c>
      <c r="D26">
        <v>2</v>
      </c>
      <c r="E26">
        <v>24</v>
      </c>
      <c r="F26">
        <v>0.05</v>
      </c>
      <c r="H26" t="s">
        <v>1113</v>
      </c>
      <c r="I26">
        <v>2</v>
      </c>
      <c r="J26">
        <v>24</v>
      </c>
      <c r="K26">
        <v>0.05</v>
      </c>
    </row>
    <row r="27" spans="3:11" x14ac:dyDescent="0.2">
      <c r="C27" t="s">
        <v>1111</v>
      </c>
      <c r="D27">
        <v>1</v>
      </c>
      <c r="E27">
        <v>70</v>
      </c>
      <c r="F27">
        <v>0.1</v>
      </c>
      <c r="H27" t="s">
        <v>1111</v>
      </c>
      <c r="I27">
        <v>1</v>
      </c>
      <c r="J27">
        <v>70</v>
      </c>
      <c r="K27">
        <v>0.1</v>
      </c>
    </row>
    <row r="28" spans="3:11" x14ac:dyDescent="0.2">
      <c r="C28" t="s">
        <v>1125</v>
      </c>
      <c r="D28">
        <v>1</v>
      </c>
      <c r="E28">
        <v>124</v>
      </c>
      <c r="F28">
        <v>0.66400000000000003</v>
      </c>
      <c r="H28" t="s">
        <v>1125</v>
      </c>
      <c r="I28">
        <v>1</v>
      </c>
      <c r="J28">
        <v>124</v>
      </c>
      <c r="K28">
        <v>0.66400000000000003</v>
      </c>
    </row>
    <row r="29" spans="3:11" x14ac:dyDescent="0.2">
      <c r="C29" t="s">
        <v>1134</v>
      </c>
      <c r="D29">
        <v>2</v>
      </c>
      <c r="E29">
        <v>520</v>
      </c>
      <c r="F29">
        <v>3</v>
      </c>
      <c r="H29" t="s">
        <v>1134</v>
      </c>
      <c r="I29">
        <v>2</v>
      </c>
      <c r="J29">
        <v>520</v>
      </c>
      <c r="K29">
        <v>3</v>
      </c>
    </row>
    <row r="30" spans="3:11" x14ac:dyDescent="0.2">
      <c r="C30" t="s">
        <v>1122</v>
      </c>
      <c r="D30">
        <v>2</v>
      </c>
      <c r="E30">
        <v>30</v>
      </c>
      <c r="F30">
        <v>0.2</v>
      </c>
      <c r="H30" t="s">
        <v>1122</v>
      </c>
      <c r="I30">
        <v>2</v>
      </c>
      <c r="J30">
        <v>30</v>
      </c>
      <c r="K30">
        <v>0.2</v>
      </c>
    </row>
  </sheetData>
  <sortState ref="H1:K30">
    <sortCondition ref="H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26</vt:i4>
      </vt:variant>
    </vt:vector>
  </HeadingPairs>
  <TitlesOfParts>
    <vt:vector size="34" baseType="lpstr">
      <vt:lpstr>客户</vt:lpstr>
      <vt:lpstr>单航次</vt:lpstr>
      <vt:lpstr>周工作表</vt:lpstr>
      <vt:lpstr>总览</vt:lpstr>
      <vt:lpstr>流水帐</vt:lpstr>
      <vt:lpstr>品名</vt:lpstr>
      <vt:lpstr>工作历</vt:lpstr>
      <vt:lpstr>Draft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工作历!Print_Area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2019-03-28T06:14:34Z</cp:lastPrinted>
  <dcterms:created xsi:type="dcterms:W3CDTF">2019-03-15T04:35:39Z</dcterms:created>
  <dcterms:modified xsi:type="dcterms:W3CDTF">2019-04-03T11:32:22Z</dcterms:modified>
</cp:coreProperties>
</file>