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yjc\"/>
    </mc:Choice>
  </mc:AlternateContent>
  <xr:revisionPtr revIDLastSave="0" documentId="13_ncr:1_{49EF0F47-DE9E-4B60-8D1A-D1F814FB2381}" xr6:coauthVersionLast="41" xr6:coauthVersionMax="41" xr10:uidLastSave="{00000000-0000-0000-0000-000000000000}"/>
  <bookViews>
    <workbookView xWindow="-120" yWindow="-120" windowWidth="19440" windowHeight="11640" activeTab="6" xr2:uid="{00000000-000D-0000-FFFF-FFFF00000000}"/>
  </bookViews>
  <sheets>
    <sheet name="客户整理" sheetId="4" r:id="rId1"/>
    <sheet name="单航次流程" sheetId="2" r:id="rId2"/>
    <sheet name="周工作表" sheetId="3" r:id="rId3"/>
    <sheet name="流水帐" sheetId="1" r:id="rId4"/>
    <sheet name="品名" sheetId="5" r:id="rId5"/>
    <sheet name="工作历" sheetId="6" r:id="rId6"/>
    <sheet name="Draft" sheetId="7" r:id="rId7"/>
  </sheets>
  <definedNames>
    <definedName name="Calendar10Month">工作历!$C$127</definedName>
    <definedName name="Calendar10MonthOption">MATCH(Calendar10Month,月,0)</definedName>
    <definedName name="Calendar10Year">工作历!$B$127</definedName>
    <definedName name="Calendar11Month">工作历!$C$141</definedName>
    <definedName name="Calendar11MonthOption">MATCH(Calendar11Month,月,0)</definedName>
    <definedName name="Calendar11Year">工作历!$B$141</definedName>
    <definedName name="Calendar12Month">工作历!$C$155</definedName>
    <definedName name="Calendar12MonthOption">MATCH(Calendar12Month,月,0)</definedName>
    <definedName name="Calendar12Year">工作历!$B$155</definedName>
    <definedName name="Calendar1Month">工作历!$C$1</definedName>
    <definedName name="Calendar1MonthOption">MATCH(Calendar1Month,月,0)</definedName>
    <definedName name="Calendar1Year">工作历!$B$1</definedName>
    <definedName name="Calendar2Month">工作历!$C$15</definedName>
    <definedName name="Calendar2MonthOption">MATCH(Calendar2Month,月,0)</definedName>
    <definedName name="Calendar2Year">工作历!$B$15</definedName>
    <definedName name="Calendar3Month">工作历!$C$29</definedName>
    <definedName name="Calendar3MonthOption">MATCH(Calendar3Month,月,0)</definedName>
    <definedName name="Calendar3Year">工作历!$B$29</definedName>
    <definedName name="Calendar4Month">工作历!$C$43</definedName>
    <definedName name="Calendar4MonthOption">MATCH(Calendar4Month,月,0)</definedName>
    <definedName name="Calendar4Year">工作历!$B$43</definedName>
    <definedName name="Calendar5Month">工作历!$C$57</definedName>
    <definedName name="Calendar5MonthOption">MATCH(Calendar5Month,月,0)</definedName>
    <definedName name="Calendar5Year">工作历!$B$57</definedName>
    <definedName name="Calendar6Month">工作历!$C$71</definedName>
    <definedName name="Calendar6MonthOption">MATCH(Calendar6Month,月,0)</definedName>
    <definedName name="Calendar6Year">工作历!$B$71</definedName>
    <definedName name="Calendar7Month">工作历!$C$85</definedName>
    <definedName name="Calendar7MonthOption">MATCH(Calendar7Month,月,0)</definedName>
    <definedName name="Calendar7Year">工作历!$B$85</definedName>
    <definedName name="Calendar8Month">工作历!$C$99</definedName>
    <definedName name="Calendar8MonthOption">MATCH(Calendar8Month,月,0)</definedName>
    <definedName name="Calendar8Year">工作历!$B$99</definedName>
    <definedName name="Calendar9Month">工作历!$C$113</definedName>
    <definedName name="Calendar9MonthOption">MATCH(Calendar9Month,月,0)</definedName>
    <definedName name="Calendar9Year">工作历!$B$113</definedName>
    <definedName name="_xlnm.Print_Area" localSheetId="5">工作历!$B$1:$I$168</definedName>
    <definedName name="WeekdayOption">MATCH(WeekStart,工作日,0)+10</definedName>
    <definedName name="WeekStart">工作历!$B$2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" i="5" l="1"/>
  <c r="K44" i="5"/>
  <c r="J44" i="5"/>
  <c r="V44" i="5"/>
  <c r="F34" i="7"/>
  <c r="E34" i="7"/>
  <c r="F33" i="7"/>
  <c r="E33" i="7"/>
  <c r="F32" i="7"/>
  <c r="E32" i="7"/>
  <c r="F31" i="7"/>
  <c r="E31" i="7"/>
  <c r="F29" i="7"/>
  <c r="E29" i="7"/>
  <c r="F28" i="7"/>
  <c r="E28" i="7"/>
  <c r="F27" i="7"/>
  <c r="E27" i="7"/>
  <c r="F26" i="7"/>
  <c r="E26" i="7"/>
  <c r="F25" i="7"/>
  <c r="E25" i="7"/>
  <c r="F24" i="7"/>
  <c r="E24" i="7"/>
  <c r="F22" i="7"/>
  <c r="E22" i="7"/>
  <c r="F21" i="7"/>
  <c r="E21" i="7"/>
  <c r="F20" i="7"/>
  <c r="E20" i="7"/>
  <c r="F19" i="7"/>
  <c r="E19" i="7"/>
  <c r="F18" i="7"/>
  <c r="E18" i="7"/>
  <c r="F17" i="7"/>
  <c r="E17" i="7"/>
  <c r="F15" i="7"/>
  <c r="E15" i="7"/>
  <c r="F14" i="7"/>
  <c r="E14" i="7"/>
  <c r="F13" i="7"/>
  <c r="E13" i="7"/>
  <c r="F12" i="7"/>
  <c r="E12" i="7"/>
  <c r="F11" i="7"/>
  <c r="E11" i="7"/>
  <c r="F9" i="7"/>
  <c r="E9" i="7"/>
  <c r="F8" i="7"/>
  <c r="E8" i="7"/>
  <c r="F7" i="7"/>
  <c r="E7" i="7"/>
  <c r="F6" i="7"/>
  <c r="E6" i="7"/>
  <c r="F4" i="7"/>
  <c r="E4" i="7"/>
  <c r="F3" i="7"/>
  <c r="E3" i="7"/>
  <c r="F2" i="7"/>
  <c r="E2" i="7"/>
  <c r="F1" i="7"/>
  <c r="E1" i="7"/>
  <c r="R2" i="5" l="1"/>
  <c r="R3" i="5"/>
  <c r="R19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20" i="5"/>
  <c r="R21" i="5"/>
  <c r="R22" i="5"/>
  <c r="R23" i="5"/>
  <c r="R26" i="5"/>
  <c r="R33" i="5"/>
  <c r="R37" i="5"/>
  <c r="R38" i="5"/>
  <c r="R40" i="5"/>
  <c r="R41" i="5"/>
  <c r="R24" i="5"/>
  <c r="R25" i="5"/>
  <c r="R27" i="5"/>
  <c r="R28" i="5"/>
  <c r="R29" i="5"/>
  <c r="R30" i="5"/>
  <c r="R31" i="5"/>
  <c r="R32" i="5"/>
  <c r="R34" i="5"/>
  <c r="R35" i="5"/>
  <c r="R36" i="5"/>
  <c r="R39" i="5"/>
  <c r="R42" i="5"/>
  <c r="R43" i="5"/>
  <c r="Q2" i="5"/>
  <c r="Q3" i="5"/>
  <c r="Q19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20" i="5"/>
  <c r="Q21" i="5"/>
  <c r="Q22" i="5"/>
  <c r="Q23" i="5"/>
  <c r="Q26" i="5"/>
  <c r="Q33" i="5"/>
  <c r="Q37" i="5"/>
  <c r="Q38" i="5"/>
  <c r="Q40" i="5"/>
  <c r="Q41" i="5"/>
  <c r="Q24" i="5"/>
  <c r="Q25" i="5"/>
  <c r="Q27" i="5"/>
  <c r="Q28" i="5"/>
  <c r="Q29" i="5"/>
  <c r="Q30" i="5"/>
  <c r="Q31" i="5"/>
  <c r="Q32" i="5"/>
  <c r="Q34" i="5"/>
  <c r="Q35" i="5"/>
  <c r="Q36" i="5"/>
  <c r="Q39" i="5"/>
  <c r="Q42" i="5"/>
  <c r="Q43" i="5"/>
  <c r="P2" i="5"/>
  <c r="P3" i="5"/>
  <c r="P19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20" i="5"/>
  <c r="P21" i="5"/>
  <c r="P22" i="5"/>
  <c r="P23" i="5"/>
  <c r="P26" i="5"/>
  <c r="P33" i="5"/>
  <c r="P37" i="5"/>
  <c r="P38" i="5"/>
  <c r="P40" i="5"/>
  <c r="P41" i="5"/>
  <c r="P24" i="5"/>
  <c r="P25" i="5"/>
  <c r="P27" i="5"/>
  <c r="P28" i="5"/>
  <c r="P29" i="5"/>
  <c r="P30" i="5"/>
  <c r="P31" i="5"/>
  <c r="P32" i="5"/>
  <c r="P34" i="5"/>
  <c r="P35" i="5"/>
  <c r="P36" i="5"/>
  <c r="P39" i="5"/>
  <c r="P42" i="5"/>
  <c r="P43" i="5"/>
  <c r="Q44" i="5" l="1"/>
  <c r="P44" i="5"/>
  <c r="R44" i="5"/>
  <c r="B1" i="6"/>
  <c r="B15" i="6" s="1"/>
  <c r="B9" i="6" l="1" a="1"/>
  <c r="E9" i="6" s="1"/>
  <c r="C15" i="6"/>
  <c r="B29" i="6" s="1"/>
  <c r="B3" i="6" a="1"/>
  <c r="G3" i="6" s="1"/>
  <c r="G2" i="6" s="1"/>
  <c r="B7" i="6" a="1"/>
  <c r="H7" i="6" s="1"/>
  <c r="B13" i="6" a="1"/>
  <c r="B13" i="6" s="1"/>
  <c r="B5" i="6" a="1"/>
  <c r="E5" i="6" s="1"/>
  <c r="B11" i="6" a="1"/>
  <c r="D11" i="6" s="1"/>
  <c r="F9" i="6" l="1"/>
  <c r="D9" i="6"/>
  <c r="C9" i="6"/>
  <c r="H9" i="6"/>
  <c r="G9" i="6"/>
  <c r="B9" i="6"/>
  <c r="H5" i="6"/>
  <c r="C13" i="6"/>
  <c r="C29" i="6"/>
  <c r="B41" i="6" s="1" a="1"/>
  <c r="B17" i="6" a="1"/>
  <c r="B17" i="6" s="1"/>
  <c r="B16" i="6" s="1"/>
  <c r="B27" i="6" a="1"/>
  <c r="B27" i="6" s="1"/>
  <c r="B23" i="6" a="1"/>
  <c r="G23" i="6" s="1"/>
  <c r="F5" i="6"/>
  <c r="B21" i="6" a="1"/>
  <c r="G21" i="6" s="1"/>
  <c r="B19" i="6" a="1"/>
  <c r="D19" i="6" s="1"/>
  <c r="H11" i="6"/>
  <c r="C5" i="6"/>
  <c r="F3" i="6"/>
  <c r="F2" i="6" s="1"/>
  <c r="B5" i="6"/>
  <c r="D5" i="6"/>
  <c r="C11" i="6"/>
  <c r="B3" i="6"/>
  <c r="G11" i="6"/>
  <c r="D3" i="6"/>
  <c r="D2" i="6" s="1"/>
  <c r="E11" i="6"/>
  <c r="B11" i="6"/>
  <c r="C3" i="6"/>
  <c r="C2" i="6" s="1"/>
  <c r="H3" i="6"/>
  <c r="H2" i="6" s="1"/>
  <c r="G5" i="6"/>
  <c r="B25" i="6" a="1"/>
  <c r="F25" i="6" s="1"/>
  <c r="E3" i="6"/>
  <c r="E2" i="6" s="1"/>
  <c r="F11" i="6"/>
  <c r="E7" i="6"/>
  <c r="G7" i="6"/>
  <c r="F7" i="6"/>
  <c r="D7" i="6"/>
  <c r="B7" i="6"/>
  <c r="C7" i="6"/>
  <c r="B39" i="6" l="1" a="1"/>
  <c r="E39" i="6" s="1"/>
  <c r="B31" i="6" a="1"/>
  <c r="G31" i="6" s="1"/>
  <c r="G30" i="6" s="1"/>
  <c r="B35" i="6" a="1"/>
  <c r="E35" i="6" s="1"/>
  <c r="C43" i="6"/>
  <c r="B43" i="6"/>
  <c r="B37" i="6" a="1"/>
  <c r="H37" i="6" s="1"/>
  <c r="B33" i="6" a="1"/>
  <c r="C33" i="6" s="1"/>
  <c r="B21" i="6"/>
  <c r="F17" i="6"/>
  <c r="F16" i="6" s="1"/>
  <c r="F21" i="6"/>
  <c r="C17" i="6"/>
  <c r="C16" i="6" s="1"/>
  <c r="D21" i="6"/>
  <c r="D17" i="6"/>
  <c r="D16" i="6" s="1"/>
  <c r="E21" i="6"/>
  <c r="E17" i="6"/>
  <c r="E16" i="6" s="1"/>
  <c r="H17" i="6"/>
  <c r="H16" i="6" s="1"/>
  <c r="C27" i="6"/>
  <c r="G17" i="6"/>
  <c r="G16" i="6" s="1"/>
  <c r="D23" i="6"/>
  <c r="B23" i="6"/>
  <c r="F23" i="6"/>
  <c r="H23" i="6"/>
  <c r="C23" i="6"/>
  <c r="E23" i="6"/>
  <c r="C21" i="6"/>
  <c r="H21" i="6"/>
  <c r="C19" i="6"/>
  <c r="G19" i="6"/>
  <c r="F19" i="6"/>
  <c r="G25" i="6"/>
  <c r="E19" i="6"/>
  <c r="H19" i="6"/>
  <c r="B19" i="6"/>
  <c r="B25" i="6"/>
  <c r="D25" i="6"/>
  <c r="C25" i="6"/>
  <c r="H25" i="6"/>
  <c r="E25" i="6"/>
  <c r="C41" i="6"/>
  <c r="B41" i="6"/>
  <c r="D39" i="6" l="1"/>
  <c r="D31" i="6"/>
  <c r="D30" i="6" s="1"/>
  <c r="H39" i="6"/>
  <c r="C39" i="6"/>
  <c r="H31" i="6"/>
  <c r="H30" i="6" s="1"/>
  <c r="E31" i="6"/>
  <c r="E30" i="6" s="1"/>
  <c r="B39" i="6"/>
  <c r="G39" i="6"/>
  <c r="C35" i="6"/>
  <c r="B31" i="6"/>
  <c r="B30" i="6" s="1"/>
  <c r="C31" i="6"/>
  <c r="C30" i="6" s="1"/>
  <c r="F39" i="6"/>
  <c r="F31" i="6"/>
  <c r="F30" i="6" s="1"/>
  <c r="G33" i="6"/>
  <c r="B35" i="6"/>
  <c r="H35" i="6"/>
  <c r="F35" i="6"/>
  <c r="G35" i="6"/>
  <c r="E33" i="6"/>
  <c r="D35" i="6"/>
  <c r="B51" i="6" a="1"/>
  <c r="G51" i="6" s="1"/>
  <c r="B57" i="6"/>
  <c r="B53" i="6" a="1"/>
  <c r="C53" i="6" s="1"/>
  <c r="B45" i="6" a="1"/>
  <c r="D45" i="6" s="1"/>
  <c r="D44" i="6" s="1"/>
  <c r="C57" i="6"/>
  <c r="B49" i="6" a="1"/>
  <c r="C49" i="6" s="1"/>
  <c r="D33" i="6"/>
  <c r="F33" i="6"/>
  <c r="H33" i="6"/>
  <c r="B55" i="6" a="1"/>
  <c r="B55" i="6" s="1"/>
  <c r="B47" i="6" a="1"/>
  <c r="C47" i="6" s="1"/>
  <c r="D37" i="6"/>
  <c r="C37" i="6"/>
  <c r="B33" i="6"/>
  <c r="G37" i="6"/>
  <c r="B37" i="6"/>
  <c r="F37" i="6"/>
  <c r="E37" i="6"/>
  <c r="B65" i="6" l="1" a="1"/>
  <c r="H65" i="6" s="1"/>
  <c r="E49" i="6"/>
  <c r="D51" i="6"/>
  <c r="F51" i="6"/>
  <c r="E51" i="6"/>
  <c r="C51" i="6"/>
  <c r="B51" i="6"/>
  <c r="H53" i="6"/>
  <c r="G53" i="6"/>
  <c r="H51" i="6"/>
  <c r="D53" i="6"/>
  <c r="B53" i="6"/>
  <c r="E53" i="6"/>
  <c r="F53" i="6"/>
  <c r="C45" i="6"/>
  <c r="C44" i="6" s="1"/>
  <c r="F45" i="6"/>
  <c r="F44" i="6" s="1"/>
  <c r="B45" i="6"/>
  <c r="B44" i="6" s="1"/>
  <c r="E45" i="6"/>
  <c r="E44" i="6" s="1"/>
  <c r="H45" i="6"/>
  <c r="H44" i="6" s="1"/>
  <c r="G45" i="6"/>
  <c r="G44" i="6" s="1"/>
  <c r="B61" i="6" a="1"/>
  <c r="E61" i="6" s="1"/>
  <c r="B69" i="6" a="1"/>
  <c r="C69" i="6" s="1"/>
  <c r="B63" i="6" a="1"/>
  <c r="C63" i="6" s="1"/>
  <c r="C71" i="6"/>
  <c r="B59" i="6" a="1"/>
  <c r="E59" i="6" s="1"/>
  <c r="E58" i="6" s="1"/>
  <c r="B67" i="6" a="1"/>
  <c r="G67" i="6" s="1"/>
  <c r="B71" i="6"/>
  <c r="H49" i="6"/>
  <c r="B49" i="6"/>
  <c r="G49" i="6"/>
  <c r="D49" i="6"/>
  <c r="F49" i="6"/>
  <c r="B47" i="6"/>
  <c r="G47" i="6"/>
  <c r="H47" i="6"/>
  <c r="E47" i="6"/>
  <c r="D47" i="6"/>
  <c r="F47" i="6"/>
  <c r="C55" i="6"/>
  <c r="D65" i="6" l="1"/>
  <c r="C65" i="6"/>
  <c r="B65" i="6"/>
  <c r="G65" i="6"/>
  <c r="F65" i="6"/>
  <c r="E65" i="6"/>
  <c r="B81" i="6" a="1"/>
  <c r="B81" i="6" s="1"/>
  <c r="H61" i="6"/>
  <c r="C61" i="6"/>
  <c r="D61" i="6"/>
  <c r="B61" i="6"/>
  <c r="G61" i="6"/>
  <c r="F61" i="6"/>
  <c r="B59" i="6"/>
  <c r="B58" i="6" s="1"/>
  <c r="D67" i="6"/>
  <c r="C59" i="6"/>
  <c r="C58" i="6" s="1"/>
  <c r="H67" i="6"/>
  <c r="G59" i="6"/>
  <c r="G58" i="6" s="1"/>
  <c r="B69" i="6"/>
  <c r="B75" i="6" a="1"/>
  <c r="G75" i="6" s="1"/>
  <c r="E67" i="6"/>
  <c r="B77" i="6" a="1"/>
  <c r="C77" i="6" s="1"/>
  <c r="B63" i="6"/>
  <c r="G63" i="6"/>
  <c r="H63" i="6"/>
  <c r="F63" i="6"/>
  <c r="E63" i="6"/>
  <c r="D63" i="6"/>
  <c r="F67" i="6"/>
  <c r="F59" i="6"/>
  <c r="F58" i="6" s="1"/>
  <c r="C67" i="6"/>
  <c r="H59" i="6"/>
  <c r="H58" i="6" s="1"/>
  <c r="B67" i="6"/>
  <c r="D59" i="6"/>
  <c r="D58" i="6" s="1"/>
  <c r="B83" i="6" a="1"/>
  <c r="C83" i="6" s="1"/>
  <c r="B85" i="6"/>
  <c r="C85" i="6"/>
  <c r="B73" i="6" a="1"/>
  <c r="G73" i="6" s="1"/>
  <c r="G72" i="6" s="1"/>
  <c r="B79" i="6" a="1"/>
  <c r="F79" i="6" s="1"/>
  <c r="E75" i="6" l="1"/>
  <c r="E81" i="6"/>
  <c r="F81" i="6"/>
  <c r="D81" i="6"/>
  <c r="C81" i="6"/>
  <c r="H81" i="6"/>
  <c r="G81" i="6"/>
  <c r="F75" i="6"/>
  <c r="G77" i="6"/>
  <c r="B75" i="6"/>
  <c r="D75" i="6"/>
  <c r="D77" i="6"/>
  <c r="C75" i="6"/>
  <c r="H77" i="6"/>
  <c r="H75" i="6"/>
  <c r="B95" i="6" a="1"/>
  <c r="C95" i="6" s="1"/>
  <c r="B77" i="6"/>
  <c r="F77" i="6"/>
  <c r="E77" i="6"/>
  <c r="B91" i="6" a="1"/>
  <c r="C91" i="6" s="1"/>
  <c r="C79" i="6"/>
  <c r="B97" i="6" a="1"/>
  <c r="C97" i="6" s="1"/>
  <c r="B83" i="6"/>
  <c r="D79" i="6"/>
  <c r="B73" i="6"/>
  <c r="B72" i="6" s="1"/>
  <c r="E73" i="6"/>
  <c r="E72" i="6" s="1"/>
  <c r="H79" i="6"/>
  <c r="G79" i="6"/>
  <c r="C99" i="6"/>
  <c r="B99" i="6"/>
  <c r="D73" i="6"/>
  <c r="D72" i="6" s="1"/>
  <c r="B79" i="6"/>
  <c r="B89" i="6" a="1"/>
  <c r="B89" i="6" s="1"/>
  <c r="B87" i="6" a="1"/>
  <c r="G87" i="6" s="1"/>
  <c r="G86" i="6" s="1"/>
  <c r="F73" i="6"/>
  <c r="F72" i="6" s="1"/>
  <c r="C73" i="6"/>
  <c r="C72" i="6" s="1"/>
  <c r="E79" i="6"/>
  <c r="B93" i="6" a="1"/>
  <c r="C93" i="6" s="1"/>
  <c r="H73" i="6"/>
  <c r="H72" i="6" s="1"/>
  <c r="B97" i="6" l="1"/>
  <c r="B95" i="6"/>
  <c r="F95" i="6"/>
  <c r="E95" i="6"/>
  <c r="G95" i="6"/>
  <c r="D95" i="6"/>
  <c r="H95" i="6"/>
  <c r="B107" i="6" a="1"/>
  <c r="F107" i="6" s="1"/>
  <c r="D91" i="6"/>
  <c r="G91" i="6"/>
  <c r="B91" i="6"/>
  <c r="E91" i="6"/>
  <c r="F91" i="6"/>
  <c r="H91" i="6"/>
  <c r="B101" i="6" a="1"/>
  <c r="F101" i="6" s="1"/>
  <c r="F100" i="6" s="1"/>
  <c r="B111" i="6" a="1"/>
  <c r="B111" i="6" s="1"/>
  <c r="E89" i="6"/>
  <c r="F89" i="6"/>
  <c r="B109" i="6" a="1"/>
  <c r="G109" i="6" s="1"/>
  <c r="C113" i="6"/>
  <c r="B93" i="6"/>
  <c r="E87" i="6"/>
  <c r="E86" i="6" s="1"/>
  <c r="F87" i="6"/>
  <c r="F86" i="6" s="1"/>
  <c r="H89" i="6"/>
  <c r="C89" i="6"/>
  <c r="D93" i="6"/>
  <c r="G93" i="6"/>
  <c r="B87" i="6"/>
  <c r="B86" i="6" s="1"/>
  <c r="B103" i="6" a="1"/>
  <c r="B103" i="6" s="1"/>
  <c r="B113" i="6"/>
  <c r="E93" i="6"/>
  <c r="F93" i="6"/>
  <c r="H87" i="6"/>
  <c r="H86" i="6" s="1"/>
  <c r="C87" i="6"/>
  <c r="C86" i="6" s="1"/>
  <c r="D89" i="6"/>
  <c r="G89" i="6"/>
  <c r="B105" i="6" a="1"/>
  <c r="G105" i="6" s="1"/>
  <c r="H93" i="6"/>
  <c r="D87" i="6"/>
  <c r="D86" i="6" s="1"/>
  <c r="G101" i="6" l="1"/>
  <c r="G100" i="6" s="1"/>
  <c r="G107" i="6"/>
  <c r="C101" i="6"/>
  <c r="C100" i="6" s="1"/>
  <c r="D107" i="6"/>
  <c r="H101" i="6"/>
  <c r="H100" i="6" s="1"/>
  <c r="C107" i="6"/>
  <c r="H107" i="6"/>
  <c r="H103" i="6"/>
  <c r="B107" i="6"/>
  <c r="D103" i="6"/>
  <c r="C109" i="6"/>
  <c r="E107" i="6"/>
  <c r="F103" i="6"/>
  <c r="G103" i="6"/>
  <c r="E103" i="6"/>
  <c r="C103" i="6"/>
  <c r="D101" i="6"/>
  <c r="D100" i="6" s="1"/>
  <c r="B109" i="6"/>
  <c r="C111" i="6"/>
  <c r="B101" i="6"/>
  <c r="B100" i="6" s="1"/>
  <c r="B125" i="6" a="1"/>
  <c r="C125" i="6" s="1"/>
  <c r="D109" i="6"/>
  <c r="E101" i="6"/>
  <c r="E100" i="6" s="1"/>
  <c r="B105" i="6"/>
  <c r="B117" i="6" a="1"/>
  <c r="B117" i="6" s="1"/>
  <c r="E109" i="6"/>
  <c r="F109" i="6"/>
  <c r="B123" i="6" a="1"/>
  <c r="G123" i="6" s="1"/>
  <c r="H109" i="6"/>
  <c r="B115" i="6" a="1"/>
  <c r="C115" i="6" s="1"/>
  <c r="C114" i="6" s="1"/>
  <c r="B121" i="6" a="1"/>
  <c r="F121" i="6" s="1"/>
  <c r="D105" i="6"/>
  <c r="C105" i="6"/>
  <c r="B119" i="6" a="1"/>
  <c r="F119" i="6" s="1"/>
  <c r="B127" i="6"/>
  <c r="E105" i="6"/>
  <c r="F105" i="6"/>
  <c r="C127" i="6"/>
  <c r="H105" i="6"/>
  <c r="B125" i="6" l="1"/>
  <c r="C121" i="6"/>
  <c r="H123" i="6"/>
  <c r="F117" i="6"/>
  <c r="B123" i="6"/>
  <c r="E117" i="6"/>
  <c r="C117" i="6"/>
  <c r="C123" i="6"/>
  <c r="H117" i="6"/>
  <c r="G117" i="6"/>
  <c r="G115" i="6"/>
  <c r="G114" i="6" s="1"/>
  <c r="D117" i="6"/>
  <c r="C141" i="6"/>
  <c r="H121" i="6"/>
  <c r="D115" i="6"/>
  <c r="D114" i="6" s="1"/>
  <c r="G121" i="6"/>
  <c r="D121" i="6"/>
  <c r="B115" i="6"/>
  <c r="B114" i="6" s="1"/>
  <c r="E123" i="6"/>
  <c r="F123" i="6"/>
  <c r="D123" i="6"/>
  <c r="B133" i="6" a="1"/>
  <c r="G133" i="6" s="1"/>
  <c r="E119" i="6"/>
  <c r="B137" i="6" a="1"/>
  <c r="C137" i="6" s="1"/>
  <c r="B141" i="6"/>
  <c r="B121" i="6"/>
  <c r="E115" i="6"/>
  <c r="E114" i="6" s="1"/>
  <c r="F115" i="6"/>
  <c r="F114" i="6" s="1"/>
  <c r="B131" i="6" a="1"/>
  <c r="C131" i="6" s="1"/>
  <c r="B135" i="6" a="1"/>
  <c r="F135" i="6" s="1"/>
  <c r="H119" i="6"/>
  <c r="C119" i="6"/>
  <c r="E121" i="6"/>
  <c r="H115" i="6"/>
  <c r="H114" i="6" s="1"/>
  <c r="B139" i="6" a="1"/>
  <c r="C139" i="6" s="1"/>
  <c r="D119" i="6"/>
  <c r="G119" i="6"/>
  <c r="B129" i="6" a="1"/>
  <c r="C129" i="6" s="1"/>
  <c r="C128" i="6" s="1"/>
  <c r="B119" i="6"/>
  <c r="B153" i="6" l="1" a="1"/>
  <c r="C153" i="6" s="1"/>
  <c r="B155" i="6"/>
  <c r="B133" i="6"/>
  <c r="C155" i="6"/>
  <c r="B147" i="6" a="1"/>
  <c r="G147" i="6" s="1"/>
  <c r="B149" i="6" a="1"/>
  <c r="C149" i="6" s="1"/>
  <c r="B139" i="6"/>
  <c r="H137" i="6"/>
  <c r="G137" i="6"/>
  <c r="B137" i="6"/>
  <c r="D137" i="6"/>
  <c r="F137" i="6"/>
  <c r="E137" i="6"/>
  <c r="G135" i="6"/>
  <c r="H135" i="6"/>
  <c r="E133" i="6"/>
  <c r="C133" i="6"/>
  <c r="E135" i="6"/>
  <c r="D133" i="6"/>
  <c r="F133" i="6"/>
  <c r="C135" i="6"/>
  <c r="H133" i="6"/>
  <c r="G129" i="6"/>
  <c r="G128" i="6" s="1"/>
  <c r="B143" i="6" a="1"/>
  <c r="F143" i="6" s="1"/>
  <c r="F142" i="6" s="1"/>
  <c r="B151" i="6" a="1"/>
  <c r="B151" i="6" s="1"/>
  <c r="B135" i="6"/>
  <c r="H129" i="6"/>
  <c r="H128" i="6" s="1"/>
  <c r="B145" i="6" a="1"/>
  <c r="C145" i="6" s="1"/>
  <c r="D135" i="6"/>
  <c r="B129" i="6"/>
  <c r="B128" i="6" s="1"/>
  <c r="H131" i="6"/>
  <c r="G131" i="6"/>
  <c r="B131" i="6"/>
  <c r="D129" i="6"/>
  <c r="D128" i="6" s="1"/>
  <c r="F129" i="6"/>
  <c r="F128" i="6" s="1"/>
  <c r="D131" i="6"/>
  <c r="F131" i="6"/>
  <c r="E129" i="6"/>
  <c r="E128" i="6" s="1"/>
  <c r="E131" i="6"/>
  <c r="B165" i="6" l="1" a="1"/>
  <c r="C165" i="6" s="1"/>
  <c r="B153" i="6"/>
  <c r="B157" i="6" a="1"/>
  <c r="G157" i="6" s="1"/>
  <c r="G156" i="6" s="1"/>
  <c r="D143" i="6"/>
  <c r="D142" i="6" s="1"/>
  <c r="B143" i="6"/>
  <c r="B142" i="6" s="1"/>
  <c r="C143" i="6"/>
  <c r="C142" i="6" s="1"/>
  <c r="B163" i="6" a="1"/>
  <c r="C163" i="6" s="1"/>
  <c r="G145" i="6"/>
  <c r="H143" i="6"/>
  <c r="H142" i="6" s="1"/>
  <c r="G143" i="6"/>
  <c r="G142" i="6" s="1"/>
  <c r="B161" i="6" a="1"/>
  <c r="C161" i="6" s="1"/>
  <c r="B167" i="6" a="1"/>
  <c r="C167" i="6" s="1"/>
  <c r="E143" i="6"/>
  <c r="E142" i="6" s="1"/>
  <c r="B159" i="6" a="1"/>
  <c r="B159" i="6" s="1"/>
  <c r="E147" i="6"/>
  <c r="B147" i="6"/>
  <c r="F147" i="6"/>
  <c r="H147" i="6"/>
  <c r="C147" i="6"/>
  <c r="D147" i="6"/>
  <c r="D149" i="6"/>
  <c r="B149" i="6"/>
  <c r="G149" i="6"/>
  <c r="E149" i="6"/>
  <c r="F149" i="6"/>
  <c r="H149" i="6"/>
  <c r="E145" i="6"/>
  <c r="F145" i="6"/>
  <c r="H151" i="6"/>
  <c r="C151" i="6"/>
  <c r="F151" i="6"/>
  <c r="D151" i="6"/>
  <c r="G151" i="6"/>
  <c r="D145" i="6"/>
  <c r="E151" i="6"/>
  <c r="B145" i="6"/>
  <c r="H145" i="6"/>
  <c r="E165" i="6" l="1"/>
  <c r="G165" i="6"/>
  <c r="B157" i="6"/>
  <c r="B156" i="6" s="1"/>
  <c r="B165" i="6"/>
  <c r="D157" i="6"/>
  <c r="D156" i="6" s="1"/>
  <c r="F157" i="6"/>
  <c r="F156" i="6" s="1"/>
  <c r="D165" i="6"/>
  <c r="F165" i="6"/>
  <c r="E157" i="6"/>
  <c r="E156" i="6" s="1"/>
  <c r="C157" i="6"/>
  <c r="C156" i="6" s="1"/>
  <c r="H165" i="6"/>
  <c r="H157" i="6"/>
  <c r="H156" i="6" s="1"/>
  <c r="D163" i="6"/>
  <c r="G163" i="6"/>
  <c r="E163" i="6"/>
  <c r="F163" i="6"/>
  <c r="B163" i="6"/>
  <c r="B161" i="6"/>
  <c r="G161" i="6"/>
  <c r="H163" i="6"/>
  <c r="E161" i="6"/>
  <c r="B167" i="6"/>
  <c r="D161" i="6"/>
  <c r="F161" i="6"/>
  <c r="H161" i="6"/>
  <c r="G159" i="6"/>
  <c r="E159" i="6"/>
  <c r="D159" i="6"/>
  <c r="F159" i="6"/>
  <c r="H159" i="6"/>
  <c r="C159" i="6"/>
</calcChain>
</file>

<file path=xl/sharedStrings.xml><?xml version="1.0" encoding="utf-8"?>
<sst xmlns="http://schemas.openxmlformats.org/spreadsheetml/2006/main" count="807" uniqueCount="499">
  <si>
    <t>时间</t>
    <phoneticPr fontId="2" type="noConversion"/>
  </si>
  <si>
    <t>船期</t>
    <phoneticPr fontId="2" type="noConversion"/>
  </si>
  <si>
    <t>摘要</t>
    <phoneticPr fontId="2" type="noConversion"/>
  </si>
  <si>
    <t>发电放提单</t>
    <phoneticPr fontId="2" type="noConversion"/>
  </si>
  <si>
    <t>9个托单</t>
    <phoneticPr fontId="2" type="noConversion"/>
  </si>
  <si>
    <t>振华加拼/发舱单，发提单确认件</t>
    <phoneticPr fontId="2" type="noConversion"/>
  </si>
  <si>
    <t>打一堆托书</t>
    <phoneticPr fontId="2" type="noConversion"/>
  </si>
  <si>
    <t>发送客人提单确认件</t>
    <phoneticPr fontId="2" type="noConversion"/>
  </si>
  <si>
    <t>序号</t>
    <phoneticPr fontId="2" type="noConversion"/>
  </si>
  <si>
    <t>内容</t>
    <phoneticPr fontId="2" type="noConversion"/>
  </si>
  <si>
    <t>列1</t>
    <phoneticPr fontId="2" type="noConversion"/>
  </si>
  <si>
    <t>打电放保函和并单保函</t>
    <phoneticPr fontId="2" type="noConversion"/>
  </si>
  <si>
    <t>日期</t>
    <phoneticPr fontId="2" type="noConversion"/>
  </si>
  <si>
    <t>工作</t>
    <phoneticPr fontId="2" type="noConversion"/>
  </si>
  <si>
    <t>周一</t>
    <phoneticPr fontId="2" type="noConversion"/>
  </si>
  <si>
    <t>周二</t>
    <phoneticPr fontId="2" type="noConversion"/>
  </si>
  <si>
    <t>船公司并单/提单确认/VGM/船公司保函上午10点前全部完成</t>
    <phoneticPr fontId="2" type="noConversion"/>
  </si>
  <si>
    <t>周一</t>
    <phoneticPr fontId="2" type="noConversion"/>
  </si>
  <si>
    <t>提单确认件全部收齐改善代理资料给代理</t>
    <phoneticPr fontId="2" type="noConversion"/>
  </si>
  <si>
    <t>周一</t>
    <phoneticPr fontId="2" type="noConversion"/>
  </si>
  <si>
    <t>YJC系统并单/输入箱封号，中午前全部完成</t>
    <phoneticPr fontId="2" type="noConversion"/>
  </si>
  <si>
    <t>周四</t>
    <phoneticPr fontId="2" type="noConversion"/>
  </si>
  <si>
    <t>船公司网站加拼/输入品名箱封号，发送舱单信息</t>
    <phoneticPr fontId="2" type="noConversion"/>
  </si>
  <si>
    <t>周一</t>
    <phoneticPr fontId="2" type="noConversion"/>
  </si>
  <si>
    <t>周日</t>
    <phoneticPr fontId="2" type="noConversion"/>
  </si>
  <si>
    <t>周二</t>
    <phoneticPr fontId="2" type="noConversion"/>
  </si>
  <si>
    <t>周四</t>
    <phoneticPr fontId="2" type="noConversion"/>
  </si>
  <si>
    <t>发送客人提单确认件，制作提单确认件</t>
    <phoneticPr fontId="2" type="noConversion"/>
  </si>
  <si>
    <t>周二</t>
    <phoneticPr fontId="2" type="noConversion"/>
  </si>
  <si>
    <t>开船后，改ATD发送Eunsan代理，发送正式提单给客人（电放或正本）</t>
    <phoneticPr fontId="2" type="noConversion"/>
  </si>
  <si>
    <t>开船后，改ATD发送Eunsan代理，发送正式提单给客人（电放或正本）</t>
    <phoneticPr fontId="2" type="noConversion"/>
  </si>
  <si>
    <t>装箱完毕：发送振华舱单信息（提单确认界面）</t>
    <phoneticPr fontId="2" type="noConversion"/>
  </si>
  <si>
    <t>扣代理资料(箱单上的体积有的跟实际不一致也没关系，看代理要求)，有些资料不要发的（三星和雷诺三星），没发的客户回头补也可以</t>
    <phoneticPr fontId="2" type="noConversion"/>
  </si>
  <si>
    <t>催提单确认</t>
    <phoneticPr fontId="2" type="noConversion"/>
  </si>
  <si>
    <t>4338 打托单</t>
    <phoneticPr fontId="2" type="noConversion"/>
  </si>
  <si>
    <t>4345 4408打托单</t>
    <phoneticPr fontId="2" type="noConversion"/>
  </si>
  <si>
    <t>打托单4200 4144*2 3881 4312</t>
    <phoneticPr fontId="2" type="noConversion"/>
  </si>
  <si>
    <t>打托单4368</t>
    <phoneticPr fontId="2" type="noConversion"/>
  </si>
  <si>
    <t>发代理资料（检查电放状态），同时发EDI</t>
    <phoneticPr fontId="2" type="noConversion"/>
  </si>
  <si>
    <t>整理品名</t>
    <phoneticPr fontId="2" type="noConversion"/>
  </si>
  <si>
    <t>振华并单</t>
    <phoneticPr fontId="2" type="noConversion"/>
  </si>
  <si>
    <t>振华加拼、录箱封号、星星核对、发舱单</t>
    <phoneticPr fontId="2" type="noConversion"/>
  </si>
  <si>
    <t>YJC 客户并单
箱并单
输箱封号</t>
    <phoneticPr fontId="2" type="noConversion"/>
  </si>
  <si>
    <t>振华加拼
保函
发舱单
并单
录VGM</t>
    <phoneticPr fontId="2" type="noConversion"/>
  </si>
  <si>
    <t xml:space="preserve">        1、客户并单：中治和杰和华龙的单子要并到一起（报关分开报，提单只出一个），把件毛体加到一起（其中件输入实际进舱数量和单位），录到主单，品名也合到主单里，然后只保留主单，删除其他的即可。
        2、箱并单：（按箱子先并后输箱封号）
YJC并单：随便进入箱子的一个YJC号，点S/R主单，左下角去掉不是该箱子的YJC号，输入主单号（DJSCS……）、货号普通、货物类型FCL、通知方改为same as cnee、件数实际进舱数之和及单位PL、FreightTerm PP，保存即可。
        3、输箱封号：中国业务》拼箱》拼箱，输入船名航次，查出该船名航次下所有YJC单子，Master排序，选中一个箱子的所有单子(包括A单)，选中箱型，点生成拼箱号，左边全部选中，输入箱号和封号，检查数量件毛体，保存即可</t>
    <phoneticPr fontId="2" type="noConversion"/>
  </si>
  <si>
    <t>青岛杰和华龙完全按群里vicky发的样本出就可以了</t>
    <phoneticPr fontId="2" type="noConversion"/>
  </si>
  <si>
    <t>发提单</t>
    <phoneticPr fontId="2" type="noConversion"/>
  </si>
  <si>
    <t>代码管理 》 客户管理（用户），输入客户代码即可查询
中治是付款买单，但因是大客户，可以直接放单</t>
    <phoneticPr fontId="2" type="noConversion"/>
  </si>
  <si>
    <t>发代理资料</t>
    <phoneticPr fontId="2" type="noConversion"/>
  </si>
  <si>
    <t>大多数提单都确认好后，即可发代理资料，分 Jenn 和 LK 代理。
        1、准备INV&amp;PL：资料里扣（有些不需要发，具体哪些不知道）
        2、确认好的提单，系统里改好电放/正本状态
        3、并单：一个箱子随便一个YJC号进入S/R主单，左下角去掉不是这个箱子的号，录入主单号、货号、货物类型、收发通、件(单位PK)毛体、PP
        4、发Eunsan EDI：点Eunsan EDI即可
        5、准备SA：点S/A Print，保存PDF，SA上40HC显示为45GP为正常
        6、准备HBL&amp;DN：点邮件，格式类型选CHECK B/L，复选框左边六个都选中，右边选中Freight Print，House B/L和借&amp;&amp;代记全部选到右边，点发送，保存附件，关闭不保存邮件
（对其他箱子，依次重复3456）
        7、发Jenn代理资料：将上面所有INV&amp;PL、SA、HBL&amp;DN一并发送给Jenn并抄送操作和cs，主题写：“Documents of EASLINE BUSAN 1912E/DJSCS……”
        8、发LK代理资料：将原提单/A提单/箱单/发票按顺序合到一个pdf文件，发送给sunny@lkl.co.kr;esbae@lkl.co.kr;import@lkl.co.kr，同时抄操作和cs@yjc.cn</t>
    <phoneticPr fontId="2" type="noConversion"/>
  </si>
  <si>
    <t>YJC系统并单/发代理资料（LK资料）</t>
    <phoneticPr fontId="2" type="noConversion"/>
  </si>
  <si>
    <t>打全部托书，打部分托单</t>
    <phoneticPr fontId="2" type="noConversion"/>
  </si>
  <si>
    <t>D</t>
    <phoneticPr fontId="2" type="noConversion"/>
  </si>
  <si>
    <t>A</t>
    <phoneticPr fontId="2" type="noConversion"/>
  </si>
  <si>
    <t>抬头</t>
    <phoneticPr fontId="2" type="noConversion"/>
  </si>
  <si>
    <t>R</t>
    <phoneticPr fontId="2" type="noConversion"/>
  </si>
  <si>
    <t>联系邮箱</t>
    <phoneticPr fontId="2" type="noConversion"/>
  </si>
  <si>
    <t>数字</t>
    <phoneticPr fontId="2" type="noConversion"/>
  </si>
  <si>
    <t>字母</t>
    <phoneticPr fontId="2" type="noConversion"/>
  </si>
  <si>
    <t>抬头</t>
    <phoneticPr fontId="2" type="noConversion"/>
  </si>
  <si>
    <t>群</t>
    <phoneticPr fontId="2" type="noConversion"/>
  </si>
  <si>
    <t>备注</t>
    <phoneticPr fontId="2" type="noConversion"/>
  </si>
  <si>
    <t>A</t>
  </si>
  <si>
    <t>APTIV</t>
  </si>
  <si>
    <t>Y</t>
    <phoneticPr fontId="2" type="noConversion"/>
  </si>
  <si>
    <t>cheng.guiying@aptiv.com</t>
    <phoneticPr fontId="2" type="noConversion"/>
  </si>
  <si>
    <t>ABC</t>
    <phoneticPr fontId="2" type="noConversion"/>
  </si>
  <si>
    <t>苏州赫那罗</t>
  </si>
  <si>
    <t>SEC上海LCL</t>
  </si>
  <si>
    <t>群/邮件都可以</t>
  </si>
  <si>
    <t>阿尔卑斯</t>
  </si>
  <si>
    <t>hui.14.luo@alps-logistics.com</t>
  </si>
  <si>
    <t>DEF</t>
    <phoneticPr fontId="2" type="noConversion"/>
  </si>
  <si>
    <t>青岛杰和华龙</t>
  </si>
  <si>
    <t>YJC拼箱出口组</t>
  </si>
  <si>
    <t>群</t>
  </si>
  <si>
    <t>艾联</t>
  </si>
  <si>
    <t>apple.wang@llproducts.com</t>
  </si>
  <si>
    <t>GHI</t>
    <phoneticPr fontId="2" type="noConversion"/>
  </si>
  <si>
    <t>金世立</t>
  </si>
  <si>
    <t>有“金世立”的群</t>
  </si>
  <si>
    <t>太仓安路驰</t>
  </si>
  <si>
    <t>JKL</t>
    <phoneticPr fontId="2" type="noConversion"/>
  </si>
  <si>
    <t>韩亚</t>
  </si>
  <si>
    <t>有“安吉”的群</t>
  </si>
  <si>
    <t>B</t>
  </si>
  <si>
    <t>BEHR</t>
  </si>
  <si>
    <t>MNO</t>
    <phoneticPr fontId="2" type="noConversion"/>
  </si>
  <si>
    <t>常熟绿洲花卉</t>
  </si>
  <si>
    <t>有“sara”的群</t>
  </si>
  <si>
    <t>B</t>
    <phoneticPr fontId="2" type="noConversion"/>
  </si>
  <si>
    <t>宝适</t>
    <phoneticPr fontId="2" type="noConversion"/>
  </si>
  <si>
    <t>PQRS</t>
    <phoneticPr fontId="2" type="noConversion"/>
  </si>
  <si>
    <t>江苏雷利</t>
    <phoneticPr fontId="2" type="noConversion"/>
  </si>
  <si>
    <t>有“薇乎其薇”的群</t>
    <phoneticPr fontId="2" type="noConversion"/>
  </si>
  <si>
    <t>群，邮件优先</t>
    <phoneticPr fontId="2" type="noConversion"/>
  </si>
  <si>
    <t>博世汽车</t>
    <phoneticPr fontId="2" type="noConversion"/>
  </si>
  <si>
    <t>FIXED-TERMRBACLOGEXPORT.INTERN@cn.bosch.com</t>
  </si>
  <si>
    <t>TUV</t>
    <phoneticPr fontId="2" type="noConversion"/>
  </si>
  <si>
    <t>瀚波</t>
    <phoneticPr fontId="2" type="noConversion"/>
  </si>
  <si>
    <t>合肥博微田村</t>
    <phoneticPr fontId="2" type="noConversion"/>
  </si>
  <si>
    <t>WXYZ</t>
    <phoneticPr fontId="2" type="noConversion"/>
  </si>
  <si>
    <t>中治</t>
    <phoneticPr fontId="2" type="noConversion"/>
  </si>
  <si>
    <t>C</t>
  </si>
  <si>
    <t>CASCO</t>
  </si>
  <si>
    <t>CNTNTL-CHANGSHU</t>
    <phoneticPr fontId="2" type="noConversion"/>
  </si>
  <si>
    <t>qincai.you@continental-corporation.com</t>
  </si>
  <si>
    <t>CNTNTL-SHA</t>
    <phoneticPr fontId="2" type="noConversion"/>
  </si>
  <si>
    <t>eddie.kong@continental-corporation.com</t>
  </si>
  <si>
    <t>D</t>
  </si>
  <si>
    <t>DPC</t>
  </si>
  <si>
    <t>东方骏驰</t>
    <phoneticPr fontId="2" type="noConversion"/>
  </si>
  <si>
    <t>baoguan@ppmsolution.com</t>
    <phoneticPr fontId="2" type="noConversion"/>
  </si>
  <si>
    <t>东机工</t>
    <phoneticPr fontId="2" type="noConversion"/>
  </si>
  <si>
    <t>jianghaijian@tokico.cn</t>
  </si>
  <si>
    <t>杭州鼎胜</t>
  </si>
  <si>
    <t>442626027@qq.com</t>
  </si>
  <si>
    <t>横店东磁</t>
  </si>
  <si>
    <t>jxiao@dmegc.com.cn</t>
  </si>
  <si>
    <t>黄石东贝</t>
  </si>
  <si>
    <t>kathywang@donper.com</t>
  </si>
  <si>
    <t>宁波达尔</t>
  </si>
  <si>
    <t>gaozhipei@wtoo.com.cn</t>
  </si>
  <si>
    <t>宁波东煌</t>
  </si>
  <si>
    <t>lingfang@chinabearing.net</t>
  </si>
  <si>
    <t>日本电产芝浦</t>
    <phoneticPr fontId="2" type="noConversion"/>
  </si>
  <si>
    <t>瑞安东波</t>
  </si>
  <si>
    <t>jwy228@vip.163.com</t>
  </si>
  <si>
    <t>浙江盾安</t>
  </si>
  <si>
    <t>hucq784@dunan.cn</t>
  </si>
  <si>
    <t>F</t>
  </si>
  <si>
    <t>常熟法雷奥</t>
  </si>
  <si>
    <t>法可赛</t>
  </si>
  <si>
    <t>ivy.zheng@ficosa.com</t>
  </si>
  <si>
    <t>浙江方向</t>
  </si>
  <si>
    <t>fkxs3@mw-sw.com</t>
  </si>
  <si>
    <t>G</t>
    <phoneticPr fontId="2" type="noConversion"/>
  </si>
  <si>
    <t>苏州广兴</t>
    <phoneticPr fontId="2" type="noConversion"/>
  </si>
  <si>
    <t>H</t>
  </si>
  <si>
    <t>HISENSE</t>
  </si>
  <si>
    <t>YANMINGTING@HISENSE.COM</t>
  </si>
  <si>
    <t>HUF</t>
  </si>
  <si>
    <t>常州汉得利</t>
  </si>
  <si>
    <t>合朝</t>
  </si>
  <si>
    <t>H</t>
    <phoneticPr fontId="2" type="noConversion"/>
  </si>
  <si>
    <t>霍富</t>
    <phoneticPr fontId="2" type="noConversion"/>
  </si>
  <si>
    <t>江苏海丰</t>
  </si>
  <si>
    <t>nora@hyphenchina.com</t>
  </si>
  <si>
    <t>宁波环驰</t>
  </si>
  <si>
    <t>上海瀚波</t>
    <phoneticPr fontId="2" type="noConversion"/>
  </si>
  <si>
    <t>苏州哈金森</t>
  </si>
  <si>
    <t>武汉哈金森</t>
    <phoneticPr fontId="2" type="noConversion"/>
  </si>
  <si>
    <t>J</t>
  </si>
  <si>
    <t>群</t>
    <phoneticPr fontId="2" type="noConversion"/>
  </si>
  <si>
    <t>K</t>
    <phoneticPr fontId="2" type="noConversion"/>
  </si>
  <si>
    <t>KARLANG</t>
    <phoneticPr fontId="2" type="noConversion"/>
  </si>
  <si>
    <t>K</t>
  </si>
  <si>
    <t>KAUTEX</t>
  </si>
  <si>
    <t>KAWAI</t>
  </si>
  <si>
    <t>xs26@e-heatwell.com</t>
  </si>
  <si>
    <t>江苏科菱库</t>
  </si>
  <si>
    <t>358020525@qq.com</t>
  </si>
  <si>
    <t>凯斯库</t>
    <phoneticPr fontId="2" type="noConversion"/>
  </si>
  <si>
    <t>L</t>
  </si>
  <si>
    <t>L</t>
    <phoneticPr fontId="2" type="noConversion"/>
  </si>
  <si>
    <t>李尔汽车</t>
  </si>
  <si>
    <t>TXia@lear.com</t>
  </si>
  <si>
    <t>M</t>
  </si>
  <si>
    <t>嘉兴敏惠</t>
  </si>
  <si>
    <t>mingxia.sun@minthgroup.com</t>
  </si>
  <si>
    <t>马瑞利</t>
  </si>
  <si>
    <t>mark.chen@magnetimarelli.com</t>
  </si>
  <si>
    <t>麦格纳</t>
  </si>
  <si>
    <t>Suki.Ma@magna.com</t>
  </si>
  <si>
    <t>苏州民康</t>
  </si>
  <si>
    <t>M</t>
    <phoneticPr fontId="2" type="noConversion"/>
  </si>
  <si>
    <t>武汉美嘉</t>
    <phoneticPr fontId="2" type="noConversion"/>
  </si>
  <si>
    <t>zhuhu@mecaplast.com.cn</t>
    <phoneticPr fontId="2" type="noConversion"/>
  </si>
  <si>
    <t>P</t>
    <phoneticPr fontId="2" type="noConversion"/>
  </si>
  <si>
    <t>上海喷达</t>
    <phoneticPr fontId="2" type="noConversion"/>
  </si>
  <si>
    <t>杭州热威</t>
    <phoneticPr fontId="2" type="noConversion"/>
  </si>
  <si>
    <t>xs26@e-heatwell.com</t>
    <phoneticPr fontId="2" type="noConversion"/>
  </si>
  <si>
    <t>R</t>
  </si>
  <si>
    <t>宁波容百</t>
  </si>
  <si>
    <t>renyajun@ronbaymat.com</t>
  </si>
  <si>
    <t>上海日升</t>
  </si>
  <si>
    <t>646477689@qq.com</t>
  </si>
  <si>
    <t>苏州日立电线</t>
  </si>
  <si>
    <t>bing.chen.rb@hcsz.hitachi-metals.com</t>
  </si>
  <si>
    <t>S</t>
  </si>
  <si>
    <t>SOUTHCO</t>
  </si>
  <si>
    <t>SOu@southco.com</t>
  </si>
  <si>
    <t>S</t>
    <phoneticPr fontId="2" type="noConversion"/>
  </si>
  <si>
    <t>SUMMIT</t>
    <phoneticPr fontId="2" type="noConversion"/>
  </si>
  <si>
    <t>湖北三环</t>
    <phoneticPr fontId="2" type="noConversion"/>
  </si>
  <si>
    <t>江苏苏豪</t>
  </si>
  <si>
    <t>森萨塔</t>
  </si>
  <si>
    <t>yl-zhang@sensata.com</t>
  </si>
  <si>
    <t>杉杉</t>
  </si>
  <si>
    <t>zhao.lina@shanshantech.com</t>
  </si>
  <si>
    <t>舍弗勒</t>
  </si>
  <si>
    <t>余姚松原</t>
  </si>
  <si>
    <t>plee@songyuansafety.com</t>
  </si>
  <si>
    <t>T</t>
    <phoneticPr fontId="2" type="noConversion"/>
  </si>
  <si>
    <t>长兴天赢</t>
    <phoneticPr fontId="2" type="noConversion"/>
  </si>
  <si>
    <t>W</t>
  </si>
  <si>
    <t>淮安威灵</t>
  </si>
  <si>
    <t>liuch@welling.com.cn</t>
  </si>
  <si>
    <t>维尔斯</t>
  </si>
  <si>
    <t>wells_bgk02@wellscable.com</t>
  </si>
  <si>
    <t>X</t>
  </si>
  <si>
    <t>苏州相城文教</t>
  </si>
  <si>
    <t>ychhzhjm706@163.com</t>
  </si>
  <si>
    <t>西德玛</t>
  </si>
  <si>
    <t>N</t>
    <phoneticPr fontId="2" type="noConversion"/>
  </si>
  <si>
    <t>op@os-logistics.com</t>
  </si>
  <si>
    <t>adrien.janson@sedepa.asia</t>
  </si>
  <si>
    <t>兴道</t>
  </si>
  <si>
    <t>慈溪鱼乐</t>
    <phoneticPr fontId="2" type="noConversion"/>
  </si>
  <si>
    <t>Y</t>
  </si>
  <si>
    <t>上海裕生</t>
  </si>
  <si>
    <t>延锋伟世通</t>
    <phoneticPr fontId="2" type="noConversion"/>
  </si>
  <si>
    <t>Z</t>
  </si>
  <si>
    <t>嘉兴中宛</t>
  </si>
  <si>
    <t>hjwu@estecchina.com.cn</t>
  </si>
  <si>
    <t>宁波镇海银球</t>
  </si>
  <si>
    <t>sale@nzsbgroup.com</t>
  </si>
  <si>
    <t>中治</t>
  </si>
  <si>
    <t>nina@wizlogis.com</t>
  </si>
  <si>
    <t>ETD</t>
    <phoneticPr fontId="7" type="noConversion"/>
  </si>
  <si>
    <t>船名航次</t>
    <phoneticPr fontId="7" type="noConversion"/>
  </si>
  <si>
    <t>序</t>
    <phoneticPr fontId="7" type="noConversion"/>
  </si>
  <si>
    <t>HOUSE B/L</t>
    <phoneticPr fontId="7" type="noConversion"/>
  </si>
  <si>
    <t>客户编号</t>
    <phoneticPr fontId="7" type="noConversion"/>
  </si>
  <si>
    <t>MASTER B/L</t>
    <phoneticPr fontId="7" type="noConversion"/>
  </si>
  <si>
    <t>箱号</t>
    <phoneticPr fontId="7" type="noConversion"/>
  </si>
  <si>
    <t>封号</t>
    <phoneticPr fontId="7" type="noConversion"/>
  </si>
  <si>
    <t>件</t>
    <phoneticPr fontId="7" type="noConversion"/>
  </si>
  <si>
    <t>毛</t>
    <phoneticPr fontId="7" type="noConversion"/>
  </si>
  <si>
    <t>体</t>
    <phoneticPr fontId="7" type="noConversion"/>
  </si>
  <si>
    <t>品名</t>
    <phoneticPr fontId="7" type="noConversion"/>
  </si>
  <si>
    <t>PANCON VICTORY 1906E</t>
    <phoneticPr fontId="7" type="noConversion"/>
  </si>
  <si>
    <t>YJCSHAN1902789</t>
    <phoneticPr fontId="7" type="noConversion"/>
  </si>
  <si>
    <t>DJSCSHBMVE90644A</t>
    <phoneticPr fontId="7" type="noConversion"/>
  </si>
  <si>
    <t>BEAU4630480</t>
  </si>
  <si>
    <t>BALL BEARING
WASHER-PLAIN</t>
    <phoneticPr fontId="7" type="noConversion"/>
  </si>
  <si>
    <t>YJCSHAN1903881</t>
    <phoneticPr fontId="7" type="noConversion"/>
  </si>
  <si>
    <t>YJCSHAN190278901</t>
    <phoneticPr fontId="7" type="noConversion"/>
  </si>
  <si>
    <t>DJSCSHBMVE90644B</t>
    <phoneticPr fontId="7" type="noConversion"/>
  </si>
  <si>
    <t>DRYU9061289</t>
  </si>
  <si>
    <t>SHIFT PARTS
SPRING</t>
    <phoneticPr fontId="7" type="noConversion"/>
  </si>
  <si>
    <t>YJCSHAN1903898</t>
    <phoneticPr fontId="7" type="noConversion"/>
  </si>
  <si>
    <t>YJCSHAN190278917</t>
  </si>
  <si>
    <t>DJSCSHBMVE90644T</t>
    <phoneticPr fontId="7" type="noConversion"/>
  </si>
  <si>
    <t>LIFTER-ROLLER,FUEL PUMP DRIVE</t>
  </si>
  <si>
    <t>YJCSHAN1903996</t>
    <phoneticPr fontId="7" type="noConversion"/>
  </si>
  <si>
    <t>YJCSHAN190278903</t>
  </si>
  <si>
    <t>DJSCSHBMVE90644D</t>
    <phoneticPr fontId="7" type="noConversion"/>
  </si>
  <si>
    <t>BEZEL WITHOUT EPB
HOUSING-SWITCH, GM E2SC A/T
BEZEL WITH EPB</t>
    <phoneticPr fontId="7" type="noConversion"/>
  </si>
  <si>
    <t>YJCSHAN1904001</t>
    <phoneticPr fontId="7" type="noConversion"/>
  </si>
  <si>
    <t>YJCSHAN190278904</t>
  </si>
  <si>
    <t>DJSCSHBMVE90644E</t>
    <phoneticPr fontId="7" type="noConversion"/>
  </si>
  <si>
    <t>BEARING</t>
    <phoneticPr fontId="7" type="noConversion"/>
  </si>
  <si>
    <t>YJCSHAN1904076</t>
    <phoneticPr fontId="7" type="noConversion"/>
  </si>
  <si>
    <t>YJCSHAN190278902</t>
  </si>
  <si>
    <t>DJSCSHBMVE90644C</t>
    <phoneticPr fontId="7" type="noConversion"/>
  </si>
  <si>
    <t>TONNEAU COVER</t>
    <phoneticPr fontId="7" type="noConversion"/>
  </si>
  <si>
    <t>YJCSHAN1904104</t>
    <phoneticPr fontId="7" type="noConversion"/>
  </si>
  <si>
    <t>YJCSHAN190278905</t>
  </si>
  <si>
    <t>DJSCSHBMVE90644F</t>
    <phoneticPr fontId="7" type="noConversion"/>
  </si>
  <si>
    <t>HEATING ELEMENT</t>
    <phoneticPr fontId="7" type="noConversion"/>
  </si>
  <si>
    <t>YJCSHAN1904144</t>
    <phoneticPr fontId="7" type="noConversion"/>
  </si>
  <si>
    <t>YJCSHAN190278906</t>
  </si>
  <si>
    <t>DJSCSHBMVE90644G</t>
    <phoneticPr fontId="7" type="noConversion"/>
  </si>
  <si>
    <t>AUTOMOTIVE BOOT SHIFTER</t>
    <phoneticPr fontId="7" type="noConversion"/>
  </si>
  <si>
    <t>YJCSHAN190278907</t>
  </si>
  <si>
    <t>DJSCSHBMVE90644H</t>
    <phoneticPr fontId="7" type="noConversion"/>
  </si>
  <si>
    <t>YJCSHAN1904200</t>
    <phoneticPr fontId="7" type="noConversion"/>
  </si>
  <si>
    <t>YJCSHAN190278908</t>
  </si>
  <si>
    <t>DJSCSHBMVE90644J</t>
    <phoneticPr fontId="7" type="noConversion"/>
  </si>
  <si>
    <t>LADIES WOVEN ONE PIECE, 100%COTTON
LADIES WOVEN PANT, 53.7%COTTON 46.3%POLYESTER</t>
    <phoneticPr fontId="7" type="noConversion"/>
  </si>
  <si>
    <t>YJCSHAN1904236</t>
    <phoneticPr fontId="7" type="noConversion"/>
  </si>
  <si>
    <t>YJCSHAN190278909</t>
  </si>
  <si>
    <t>DJSCSHBMVE90644K</t>
    <phoneticPr fontId="7" type="noConversion"/>
  </si>
  <si>
    <t>ESCL SYSTEM CLAMP</t>
    <phoneticPr fontId="7" type="noConversion"/>
  </si>
  <si>
    <t>YJCSHAN1904239</t>
    <phoneticPr fontId="7" type="noConversion"/>
  </si>
  <si>
    <t>YJCSHAN190278910</t>
  </si>
  <si>
    <t>DJSCSHBMVE90644L</t>
    <phoneticPr fontId="7" type="noConversion"/>
  </si>
  <si>
    <t>TUBE-RAD INLET
PIPE-RADIATOR</t>
    <phoneticPr fontId="7" type="noConversion"/>
  </si>
  <si>
    <t>YJCSHAN1904243</t>
    <phoneticPr fontId="7" type="noConversion"/>
  </si>
  <si>
    <t>YJCSHAN190278911</t>
  </si>
  <si>
    <t>DJSCSHBMVE90644M</t>
    <phoneticPr fontId="7" type="noConversion"/>
  </si>
  <si>
    <t>DUCT-AIR, FLO(DUCT-TURBO)</t>
    <phoneticPr fontId="7" type="noConversion"/>
  </si>
  <si>
    <t>YJCSHAN1904251</t>
    <phoneticPr fontId="7" type="noConversion"/>
  </si>
  <si>
    <t>YJCSHAN190278912</t>
  </si>
  <si>
    <t>DJSCSHBMVE90644N</t>
    <phoneticPr fontId="7" type="noConversion"/>
  </si>
  <si>
    <t>MOTOR</t>
    <phoneticPr fontId="7" type="noConversion"/>
  </si>
  <si>
    <t>YJCSHAN1904259</t>
    <phoneticPr fontId="7" type="noConversion"/>
  </si>
  <si>
    <t>YJCSHAN190278913</t>
  </si>
  <si>
    <t>DJSCSHBMVE90644P</t>
    <phoneticPr fontId="7" type="noConversion"/>
  </si>
  <si>
    <t>FERRITE MAGNET</t>
    <phoneticPr fontId="7" type="noConversion"/>
  </si>
  <si>
    <t>YJCSHAN1904284</t>
    <phoneticPr fontId="7" type="noConversion"/>
  </si>
  <si>
    <t>YJCSHAN190278914</t>
  </si>
  <si>
    <t>DJSCSHBMVE90644Q</t>
    <phoneticPr fontId="7" type="noConversion"/>
  </si>
  <si>
    <t>POWER SUPPLY CORD SETS</t>
    <phoneticPr fontId="7" type="noConversion"/>
  </si>
  <si>
    <t>YJCSHAN1904312</t>
    <phoneticPr fontId="7" type="noConversion"/>
  </si>
  <si>
    <t>YJCSHAN190278915</t>
    <phoneticPr fontId="7" type="noConversion"/>
  </si>
  <si>
    <t>DJSCSHBMVE90644R</t>
    <phoneticPr fontId="7" type="noConversion"/>
  </si>
  <si>
    <t>PUSH TO CLOSE LATCH
SWELL LATCH, BLACK
CABLE ASSEMBLY
ASSEMBLY, SQUEEZE HANDLE
ACTUATOR ASSEMBLY
PUSH TO CLOSE LATCH, MEDIUM SS
BATCH(ES)</t>
    <phoneticPr fontId="7" type="noConversion"/>
  </si>
  <si>
    <t>YJCSHAN1904319</t>
    <phoneticPr fontId="7" type="noConversion"/>
  </si>
  <si>
    <t>YJCSHAN190278916</t>
  </si>
  <si>
    <t>DJSCSHBMVE90644S</t>
    <phoneticPr fontId="7" type="noConversion"/>
  </si>
  <si>
    <t>FISHING SWIVEL</t>
    <phoneticPr fontId="7" type="noConversion"/>
  </si>
  <si>
    <t>YJCSHAN1904345</t>
    <phoneticPr fontId="7" type="noConversion"/>
  </si>
  <si>
    <t>YJCSHAN190278918</t>
  </si>
  <si>
    <t>DJSCSHBMVE90644U</t>
    <phoneticPr fontId="7" type="noConversion"/>
  </si>
  <si>
    <t>ASSY CAP SHAFT</t>
    <phoneticPr fontId="7" type="noConversion"/>
  </si>
  <si>
    <t>YJCSHAN1904368</t>
    <phoneticPr fontId="7" type="noConversion"/>
  </si>
  <si>
    <t>YJCSHAN190278919</t>
  </si>
  <si>
    <t>DJSCSHBMVE90644V</t>
    <phoneticPr fontId="7" type="noConversion"/>
  </si>
  <si>
    <t>LCM</t>
    <phoneticPr fontId="7" type="noConversion"/>
  </si>
  <si>
    <t>YJCSHAN1904408</t>
    <phoneticPr fontId="7" type="noConversion"/>
  </si>
  <si>
    <t>YJCSHAN190278920</t>
  </si>
  <si>
    <t>DJSCSHBMVE90644W</t>
    <phoneticPr fontId="7" type="noConversion"/>
  </si>
  <si>
    <t>GRAPHITE</t>
    <phoneticPr fontId="7" type="noConversion"/>
  </si>
  <si>
    <t>EASLINE SHANGHAI 1913E</t>
    <phoneticPr fontId="7" type="noConversion"/>
  </si>
  <si>
    <t>维尔斯</t>
    <phoneticPr fontId="7" type="noConversion"/>
  </si>
  <si>
    <t>YJCSHAN1904468</t>
  </si>
  <si>
    <t>DJSCSHB2EE91344A</t>
  </si>
  <si>
    <t>广州日产</t>
    <phoneticPr fontId="7" type="noConversion"/>
  </si>
  <si>
    <t>YJCSHAN1904062</t>
  </si>
  <si>
    <t>HSG-STRG</t>
    <phoneticPr fontId="7" type="noConversion"/>
  </si>
  <si>
    <t>青岛杰和华龙</t>
    <phoneticPr fontId="7" type="noConversion"/>
  </si>
  <si>
    <t>YJCSHAN1904165</t>
  </si>
  <si>
    <t>DJSCSHB2EE91344E</t>
  </si>
  <si>
    <t>苏州广兴</t>
    <phoneticPr fontId="7" type="noConversion"/>
  </si>
  <si>
    <t>YJCSHAN1904268</t>
  </si>
  <si>
    <t>DJSCSHB2EE91344G</t>
  </si>
  <si>
    <t>COMPRESSOR</t>
    <phoneticPr fontId="7" type="noConversion"/>
  </si>
  <si>
    <t>三井金属</t>
    <phoneticPr fontId="7" type="noConversion"/>
  </si>
  <si>
    <t>YJCSHAN1904310</t>
  </si>
  <si>
    <t>DJSCSHB2EE91344H</t>
  </si>
  <si>
    <t>YJCSHAN1904311</t>
  </si>
  <si>
    <t>DJSCSHB2EE91344J</t>
  </si>
  <si>
    <t>LOCK-HOOD</t>
    <phoneticPr fontId="7" type="noConversion"/>
  </si>
  <si>
    <t>索斯科</t>
    <phoneticPr fontId="7" type="noConversion"/>
  </si>
  <si>
    <t>YJCSHAN1904313</t>
  </si>
  <si>
    <t>DJSCSHB2EE91344K</t>
  </si>
  <si>
    <t>宁波镇海银球</t>
    <phoneticPr fontId="7" type="noConversion"/>
  </si>
  <si>
    <t>YJCSHAN1904328</t>
  </si>
  <si>
    <t>DJSCSHB2EE91344L</t>
  </si>
  <si>
    <t>BALL BEARING</t>
    <phoneticPr fontId="7" type="noConversion"/>
  </si>
  <si>
    <t>YJCSHAN1904332</t>
  </si>
  <si>
    <t>DJSCSHB2EE91344M</t>
  </si>
  <si>
    <t>GARMENTS
LADIES LONG PANT</t>
    <phoneticPr fontId="7" type="noConversion"/>
  </si>
  <si>
    <t>YJCSHAN1904370</t>
  </si>
  <si>
    <t>DJSCSHB2EE91344N</t>
  </si>
  <si>
    <t>博世汽车</t>
    <phoneticPr fontId="7" type="noConversion"/>
  </si>
  <si>
    <t>YJCSHAN1904397</t>
  </si>
  <si>
    <t>DJSCSHB2EE91344P</t>
  </si>
  <si>
    <t>HISENSE</t>
    <phoneticPr fontId="7" type="noConversion"/>
  </si>
  <si>
    <t>YJCSHAN1904412</t>
  </si>
  <si>
    <t>DJSCSHB2EE91344Q</t>
    <phoneticPr fontId="7" type="noConversion"/>
  </si>
  <si>
    <t>REFRIGERATOR</t>
    <phoneticPr fontId="7" type="noConversion"/>
  </si>
  <si>
    <t>DJSCSHB2EE91344R</t>
  </si>
  <si>
    <t>港尔光学</t>
    <phoneticPr fontId="7" type="noConversion"/>
  </si>
  <si>
    <t>YJCSHAN1904445</t>
  </si>
  <si>
    <t>DJSCSHB2EE91344S</t>
  </si>
  <si>
    <t>1.56 SP UV400 SEMI NC</t>
    <phoneticPr fontId="7" type="noConversion"/>
  </si>
  <si>
    <t>斯丹德</t>
    <phoneticPr fontId="7" type="noConversion"/>
  </si>
  <si>
    <t>YJCSHAN1904447</t>
  </si>
  <si>
    <t>DJSCSHB2EE91344T</t>
  </si>
  <si>
    <t>CAP ASSY FUEL FILLER</t>
    <phoneticPr fontId="7" type="noConversion"/>
  </si>
  <si>
    <t>苏州赫那罗</t>
    <phoneticPr fontId="7" type="noConversion"/>
  </si>
  <si>
    <t>YJCSHAN1904455</t>
  </si>
  <si>
    <t>DJSCSHB2EE91344U</t>
  </si>
  <si>
    <t>ASSY MUFFLER SUCTION</t>
    <phoneticPr fontId="7" type="noConversion"/>
  </si>
  <si>
    <t>YJCSHAN1904458</t>
  </si>
  <si>
    <t>DJSCSHB2EE91344V</t>
  </si>
  <si>
    <t>SEAL WATER</t>
    <phoneticPr fontId="7" type="noConversion"/>
  </si>
  <si>
    <t>NORMA</t>
    <phoneticPr fontId="7" type="noConversion"/>
  </si>
  <si>
    <t>YJCSHAN1904507</t>
  </si>
  <si>
    <t>DJSCSHB2EE91344W</t>
  </si>
  <si>
    <t>STEEL CLAMP</t>
    <phoneticPr fontId="7" type="noConversion"/>
  </si>
  <si>
    <t>阿尔卑斯</t>
    <phoneticPr fontId="7" type="noConversion"/>
  </si>
  <si>
    <t>YJCSHAN1904520</t>
  </si>
  <si>
    <t>DJSCSHB2EE91344X</t>
  </si>
  <si>
    <t>YJCSHAN1904565</t>
  </si>
  <si>
    <t>DJSCSHB2EE91344Y</t>
  </si>
  <si>
    <t>延锋伟世通</t>
    <phoneticPr fontId="7" type="noConversion"/>
  </si>
  <si>
    <t>YJCSHAN1904589</t>
  </si>
  <si>
    <t>DJSCSHB2EE91344Z</t>
  </si>
  <si>
    <t>3月</t>
  </si>
  <si>
    <t>星期日</t>
  </si>
  <si>
    <t>EASLINE BUSAN 1910E
星：</t>
    <phoneticPr fontId="22" type="noConversion"/>
  </si>
  <si>
    <t>DONGJIN VENUS 1909E
薛：</t>
    <phoneticPr fontId="22" type="noConversion"/>
  </si>
  <si>
    <t>PANCON VICTORY 1905E
星：</t>
    <phoneticPr fontId="22" type="noConversion"/>
  </si>
  <si>
    <t>EASLINE BUSAN 1911E
星：DJSCSHBEAE91144</t>
    <phoneticPr fontId="22" type="noConversion"/>
  </si>
  <si>
    <t>DONGJIN VENUS 1910E
薛：DJSCSHBDEE91044</t>
    <phoneticPr fontId="22" type="noConversion"/>
  </si>
  <si>
    <t>PANCON SUNSHINE 1906E
薛：DJSCSHBMSE90644</t>
    <phoneticPr fontId="22" type="noConversion"/>
  </si>
  <si>
    <t>EASLINE BUSAN 1912E
星：DJSCSHBEAE91244</t>
    <phoneticPr fontId="22" type="noConversion"/>
  </si>
  <si>
    <t>DONGJIN VENUS 1911E
薛：DJSCSHBDEE91144</t>
    <phoneticPr fontId="22" type="noConversion"/>
  </si>
  <si>
    <t>PANCON VICTORY 1906E
星：DJSCSHBMVE90644</t>
    <phoneticPr fontId="22" type="noConversion"/>
  </si>
  <si>
    <t>EASLINE BUSAN 1913E
星：DJSCSHB2EE91344</t>
    <phoneticPr fontId="22" type="noConversion"/>
  </si>
  <si>
    <t>DONGJIN VENUS 1912E
薛：</t>
    <phoneticPr fontId="22" type="noConversion"/>
  </si>
  <si>
    <t>PANCON SUNSHINE 1907E
薛：</t>
    <phoneticPr fontId="22" type="noConversion"/>
  </si>
  <si>
    <t>备注：</t>
  </si>
  <si>
    <t>EASLINE BUSAN 1914E
星：</t>
    <phoneticPr fontId="22" type="noConversion"/>
  </si>
  <si>
    <t>PMA SENSOR</t>
    <phoneticPr fontId="7" type="noConversion"/>
  </si>
  <si>
    <t>PHRU8609853</t>
    <phoneticPr fontId="2" type="noConversion"/>
  </si>
  <si>
    <t>DJSC720237</t>
    <phoneticPr fontId="2" type="noConversion"/>
  </si>
  <si>
    <t>720859</t>
    <phoneticPr fontId="2" type="noConversion"/>
  </si>
  <si>
    <t>720909</t>
    <phoneticPr fontId="2" type="noConversion"/>
  </si>
  <si>
    <t>打托书：
        收发通、船名、航次、ETD、ETA、件及单位、毛、体、Term、PP/CC、唛头、描述（件毛体和唛头描述可以暂不管）
打配舱单：
        核对件毛体和唛头、描述，增加项目信息（数量和报关数量一致），注意核对主单号、件毛体、Item Info，打印盖章</t>
    <phoneticPr fontId="2" type="noConversion"/>
  </si>
  <si>
    <t>打单</t>
    <phoneticPr fontId="2" type="noConversion"/>
  </si>
  <si>
    <t>YJCSHAN1901878</t>
  </si>
  <si>
    <t>YJCSHAN1901921</t>
  </si>
  <si>
    <t>YJCSHAN1902182</t>
  </si>
  <si>
    <t>YJCSHAN1902334</t>
  </si>
  <si>
    <t>YJCSHAN1902380</t>
  </si>
  <si>
    <t>YJCSHAN1902683</t>
  </si>
  <si>
    <t>YJCSHAN1902750</t>
  </si>
  <si>
    <t>YJCSHAN1900668</t>
  </si>
  <si>
    <t>YJCSHAN1902771</t>
  </si>
  <si>
    <t>YJCSHAN1902950</t>
  </si>
  <si>
    <t>YJCSHAN1902949</t>
  </si>
  <si>
    <t>YJCSHAN1903139</t>
  </si>
  <si>
    <t>YJCSHAN1903266</t>
  </si>
  <si>
    <t>YJCSHAN1903375</t>
  </si>
  <si>
    <t>YJCSHAN1903541</t>
  </si>
  <si>
    <t>YJCSHAN1903672</t>
  </si>
  <si>
    <t>YJCSHAN1903770</t>
  </si>
  <si>
    <t>YJCSHAN1903818</t>
  </si>
  <si>
    <t>YJCSHAN1903881</t>
  </si>
  <si>
    <t>YJCSHAN1903996</t>
  </si>
  <si>
    <t>YJCSHAN1904144</t>
  </si>
  <si>
    <t>2票</t>
    <phoneticPr fontId="2" type="noConversion"/>
  </si>
  <si>
    <t>3票</t>
    <phoneticPr fontId="2" type="noConversion"/>
  </si>
  <si>
    <t>DJSCSHBEAE90644H</t>
    <phoneticPr fontId="2" type="noConversion"/>
  </si>
  <si>
    <t>DJSCSHBEAE90644J</t>
    <phoneticPr fontId="2" type="noConversion"/>
  </si>
  <si>
    <t>DJSCSHBEAE90644K</t>
    <phoneticPr fontId="2" type="noConversion"/>
  </si>
  <si>
    <t>DJSCSHBMSE90544J</t>
    <phoneticPr fontId="2" type="noConversion"/>
  </si>
  <si>
    <t>DJSCSHBMVE90544C</t>
    <phoneticPr fontId="2" type="noConversion"/>
  </si>
  <si>
    <t>DJSCSHBMSE90644D</t>
    <phoneticPr fontId="2" type="noConversion"/>
  </si>
  <si>
    <t>DJSCSHBMVE90644B</t>
    <phoneticPr fontId="2" type="noConversion"/>
  </si>
  <si>
    <t>DJSCSHBMSE90644L</t>
    <phoneticPr fontId="2" type="noConversion"/>
  </si>
  <si>
    <t>DJSCSHBMSE90644J</t>
    <phoneticPr fontId="2" type="noConversion"/>
  </si>
  <si>
    <t>DJSCSHBMSE90644S</t>
    <phoneticPr fontId="2" type="noConversion"/>
  </si>
  <si>
    <t>DJSCSHBMSE90644A</t>
    <phoneticPr fontId="2" type="noConversion"/>
  </si>
  <si>
    <t>DJSCSHBMSE90644E</t>
    <phoneticPr fontId="2" type="noConversion"/>
  </si>
  <si>
    <t>DJSCSHBMVE90644D</t>
    <phoneticPr fontId="2" type="noConversion"/>
  </si>
  <si>
    <t>DJSCSHBMVE90644G</t>
    <phoneticPr fontId="2" type="noConversion"/>
  </si>
  <si>
    <t>DJSCSHBMVE90644H</t>
    <phoneticPr fontId="2" type="noConversion"/>
  </si>
  <si>
    <t>DJSCSHBMSE90544D</t>
    <phoneticPr fontId="2" type="noConversion"/>
  </si>
  <si>
    <t>DJSCSHBMSE90544A</t>
    <phoneticPr fontId="2" type="noConversion"/>
  </si>
  <si>
    <t>DJSCSHBMSE90544T</t>
    <phoneticPr fontId="2" type="noConversion"/>
  </si>
  <si>
    <t>DJSCSHBMSE90544U</t>
    <phoneticPr fontId="2" type="noConversion"/>
  </si>
  <si>
    <t>DJSCSHBMVE90444D</t>
    <phoneticPr fontId="2" type="noConversion"/>
  </si>
  <si>
    <t>DJSCSHBMVE90444J</t>
    <phoneticPr fontId="2" type="noConversion"/>
  </si>
  <si>
    <t>DJSCSHBMVE90444L</t>
    <phoneticPr fontId="2" type="noConversion"/>
  </si>
  <si>
    <t>DJSCSHBMVE90444M</t>
    <phoneticPr fontId="2" type="noConversion"/>
  </si>
  <si>
    <t>DJSCSHBEAE90644M</t>
    <phoneticPr fontId="2" type="noConversion"/>
  </si>
  <si>
    <t>SEGU4825077</t>
    <phoneticPr fontId="2" type="noConversion"/>
  </si>
  <si>
    <t>720195</t>
    <phoneticPr fontId="2" type="noConversion"/>
  </si>
  <si>
    <t>PUSH TO CLOSE LATCH
SWELL LATCH, BLACK
POINT COAT HOOK, ROUND SATIN
LINK RETAINER
COMPRESSION LATCH, MEDIUM SS POLISHED
COMPRESSION LATCH, MEDIUM SS POLISHED
BATCH(ES)</t>
    <phoneticPr fontId="2" type="noConversion"/>
  </si>
  <si>
    <t>TAB LEAD
BAF &amp; CAF PP</t>
    <phoneticPr fontId="7" type="noConversion"/>
  </si>
  <si>
    <t>CMFB BJA RADIO
BAF &amp; CAF PP</t>
    <phoneticPr fontId="7" type="noConversion"/>
  </si>
  <si>
    <t>件1</t>
    <phoneticPr fontId="2" type="noConversion"/>
  </si>
  <si>
    <t>毛1</t>
    <phoneticPr fontId="2" type="noConversion"/>
  </si>
  <si>
    <t>体1</t>
    <phoneticPr fontId="2" type="noConversion"/>
  </si>
  <si>
    <t>GARMENTS</t>
    <phoneticPr fontId="7" type="noConversion"/>
  </si>
  <si>
    <t>DJSCSHB2EE91344D</t>
    <phoneticPr fontId="2" type="noConversion"/>
  </si>
  <si>
    <t>DJSCSHBMVE90544B</t>
    <phoneticPr fontId="2" type="noConversion"/>
  </si>
  <si>
    <t>DJSCSHBMVE90544G</t>
    <phoneticPr fontId="2" type="noConversion"/>
  </si>
  <si>
    <t>DJSCSHBMVE90544P</t>
    <phoneticPr fontId="2" type="noConversion"/>
  </si>
  <si>
    <t>DJSCSHBMVE90544D</t>
    <phoneticPr fontId="2" type="noConversion"/>
  </si>
  <si>
    <t>DJSCSHBMVE90544Q</t>
    <phoneticPr fontId="2" type="noConversion"/>
  </si>
  <si>
    <r>
      <t>准备数据：
        准备好该航次所有YJC单子的数据表格（客户编号、提单号、件、毛、体、品名[</t>
    </r>
    <r>
      <rPr>
        <sz val="11"/>
        <color rgb="FFFF0000"/>
        <rFont val="等线"/>
        <family val="3"/>
        <charset val="134"/>
        <scheme val="minor"/>
      </rPr>
      <t>每个箱子最后一票品名后加BAF &amp; CAF pp</t>
    </r>
    <r>
      <rPr>
        <sz val="11"/>
        <color theme="1"/>
        <rFont val="等线"/>
        <family val="2"/>
        <charset val="134"/>
        <scheme val="minor"/>
      </rPr>
      <t>]）
        2、订舱界面搜出主拼号单（这时候只有DJSCSHBXXXXXXA一个），选中，点多票加拼，点右方加号添加需要数量的记录，将上面表格中数据依次录入（可以把不需要的箱型去掉，这一步录错的数据还可以在后面改），点确认，回到查询界面，查询并选中刚增加的审核状态的单子，点</t>
    </r>
    <r>
      <rPr>
        <sz val="11"/>
        <color rgb="FFFF0000"/>
        <rFont val="等线"/>
        <family val="3"/>
        <charset val="134"/>
        <scheme val="minor"/>
      </rPr>
      <t>批量提交</t>
    </r>
    <r>
      <rPr>
        <sz val="11"/>
        <rFont val="等线"/>
        <family val="3"/>
        <charset val="134"/>
        <scheme val="minor"/>
      </rPr>
      <t>(提交状态)</t>
    </r>
    <r>
      <rPr>
        <sz val="11"/>
        <color theme="1"/>
        <rFont val="等线"/>
        <family val="2"/>
        <charset val="134"/>
        <scheme val="minor"/>
      </rPr>
      <t>，群里通知黄小姐审核（审核好是未审核状态）。
        3、制作并单保函(一个箱子一份)和电放保函(共一份)，并单保函需更改：船名航次、并前所有单号件毛体、箱封号箱型、并后提单号(该箱子的主单号)、件毛体、日期，打印，在日期上盖章。电放保函需更改：船名航次、提单号(多个箱子可以用xxxxxxxxxxxA/B/C的格式)、两个日期，打印，盖两个章。
        4、第2步审核好后，进提单确认界面，搜出该航次下所有单子（DJSCSHBxxxxxxxx%），依次对每个单子：点编辑，更改是</t>
    </r>
    <r>
      <rPr>
        <sz val="11"/>
        <color rgb="FFFF0000"/>
        <rFont val="等线"/>
        <family val="3"/>
        <charset val="134"/>
        <scheme val="minor"/>
      </rPr>
      <t>否出HOUSE BL</t>
    </r>
    <r>
      <rPr>
        <sz val="11"/>
        <color theme="1"/>
        <rFont val="等线"/>
        <family val="2"/>
        <charset val="134"/>
        <scheme val="minor"/>
      </rPr>
      <t>为是，新增装箱信息，填箱号、封号、箱型、件毛体(各自的数据，应和第2步录入的数据一致)、拼箱，确认，保存。全部改好核对无误后（A也要改），查询页全选，点舱单提交发送，过一会会自动舱单回执。
        5、第4步有了回执，即可并单。提单确认界面搜出该航次所有单子，对每个箱子：选中所有分单，点并单申请，全部并好请黄小姐审核。并单后有几个箱子就剩几个单子了。
        6、第5步审核后输VGM：对每个箱子的单子，选中，编辑，点VGM信息，输入SHIPPER名、地址、联系人、联系邮箱、联系方式、负责人、箱总重、称重时间、称重方法、箱皮重，确定，点VGM导入</t>
    </r>
  </si>
  <si>
    <t>核对MBL</t>
    <phoneticPr fontId="2" type="noConversion"/>
  </si>
  <si>
    <t>核对件</t>
    <phoneticPr fontId="2" type="noConversion"/>
  </si>
  <si>
    <t>核对毛</t>
    <phoneticPr fontId="2" type="noConversion"/>
  </si>
  <si>
    <t>核对体</t>
    <phoneticPr fontId="2" type="noConversion"/>
  </si>
  <si>
    <t>抬头</t>
    <phoneticPr fontId="2" type="noConversion"/>
  </si>
  <si>
    <t>瑞安东波</t>
    <phoneticPr fontId="2" type="noConversion"/>
  </si>
  <si>
    <t>上海中治</t>
    <phoneticPr fontId="2" type="noConversion"/>
  </si>
  <si>
    <t>宁波东煌</t>
    <phoneticPr fontId="2" type="noConversion"/>
  </si>
  <si>
    <t>宝适</t>
    <phoneticPr fontId="2" type="noConversion"/>
  </si>
  <si>
    <t>杭州热威</t>
    <phoneticPr fontId="2" type="noConversion"/>
  </si>
  <si>
    <t>霍富</t>
    <phoneticPr fontId="2" type="noConversion"/>
  </si>
  <si>
    <t>武汉哈金森</t>
    <phoneticPr fontId="2" type="noConversion"/>
  </si>
  <si>
    <t>武汉美嘉</t>
    <phoneticPr fontId="2" type="noConversion"/>
  </si>
  <si>
    <t>日本电产芝浦</t>
    <phoneticPr fontId="2" type="noConversion"/>
  </si>
  <si>
    <t>横店东磁</t>
    <phoneticPr fontId="2" type="noConversion"/>
  </si>
  <si>
    <t>慈溪鱼乐</t>
    <phoneticPr fontId="2" type="noConversion"/>
  </si>
  <si>
    <t>武汉东方骏驰</t>
    <phoneticPr fontId="2" type="noConversion"/>
  </si>
  <si>
    <t>苏州相城文教</t>
    <phoneticPr fontId="2" type="noConversion"/>
  </si>
  <si>
    <t>上海瀚波</t>
    <phoneticPr fontId="2" type="noConversion"/>
  </si>
  <si>
    <t>汇总</t>
  </si>
  <si>
    <t>并单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</si>
</sst>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\/dd"/>
    <numFmt numFmtId="177" formatCode="m/dd"/>
    <numFmt numFmtId="178" formatCode="dd"/>
    <numFmt numFmtId="183" formatCode="mmdd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11"/>
      <name val="微软雅黑"/>
      <family val="2"/>
      <charset val="134"/>
    </font>
    <font>
      <b/>
      <sz val="28"/>
      <color theme="0"/>
      <name val="等线 Light"/>
      <family val="2"/>
      <scheme val="major"/>
    </font>
    <font>
      <b/>
      <sz val="28"/>
      <color theme="0"/>
      <name val="微软雅黑"/>
      <family val="2"/>
      <charset val="134"/>
    </font>
    <font>
      <sz val="36"/>
      <color theme="4" tint="-0.24994659260841701"/>
      <name val="等线"/>
      <family val="2"/>
      <scheme val="minor"/>
    </font>
    <font>
      <sz val="36"/>
      <color theme="4" tint="-0.2499465926084170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等线 Light"/>
      <family val="2"/>
      <scheme val="major"/>
    </font>
    <font>
      <b/>
      <sz val="11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16"/>
      <color theme="1"/>
      <name val="微软雅黑"/>
      <family val="2"/>
      <charset val="134"/>
    </font>
    <font>
      <sz val="11"/>
      <color theme="1"/>
      <name val="等线 Light"/>
      <family val="2"/>
      <scheme val="maj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Arial"/>
      <family val="2"/>
    </font>
    <font>
      <sz val="7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</borders>
  <cellStyleXfs count="11">
    <xf numFmtId="0" fontId="0" fillId="0" borderId="0">
      <alignment vertical="center"/>
    </xf>
    <xf numFmtId="0" fontId="5" fillId="0" borderId="0"/>
    <xf numFmtId="0" fontId="8" fillId="0" borderId="0" applyFill="0" applyBorder="0" applyProtection="0"/>
    <xf numFmtId="0" fontId="10" fillId="3" borderId="0" applyNumberFormat="0" applyBorder="0" applyProtection="0">
      <alignment horizontal="center"/>
    </xf>
    <xf numFmtId="0" fontId="12" fillId="0" borderId="0" applyNumberFormat="0" applyFill="0" applyProtection="0">
      <alignment horizontal="left" indent="3"/>
    </xf>
    <xf numFmtId="0" fontId="15" fillId="4" borderId="1" applyNumberFormat="0" applyProtection="0">
      <alignment horizontal="left" vertical="center" indent="1"/>
    </xf>
    <xf numFmtId="0" fontId="15" fillId="3" borderId="1" applyNumberFormat="0" applyProtection="0">
      <alignment horizontal="left" indent="1"/>
    </xf>
    <xf numFmtId="178" fontId="17" fillId="0" borderId="2" applyFill="0" applyProtection="0">
      <alignment horizontal="left" vertical="center" wrapText="1" indent="1"/>
    </xf>
    <xf numFmtId="178" fontId="19" fillId="0" borderId="4" applyFill="0" applyProtection="0">
      <alignment horizontal="left" vertical="top" wrapText="1" indent="1"/>
    </xf>
    <xf numFmtId="178" fontId="8" fillId="0" borderId="6" applyNumberFormat="0" applyFill="0" applyProtection="0">
      <alignment horizontal="left" vertical="center" wrapText="1" indent="1"/>
    </xf>
    <xf numFmtId="178" fontId="1" fillId="0" borderId="0" applyNumberFormat="0" applyFill="0" applyProtection="0">
      <alignment horizontal="left" vertical="top" wrapText="1" indent="1"/>
    </xf>
  </cellStyleXfs>
  <cellXfs count="34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/>
    <xf numFmtId="177" fontId="6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9" fillId="2" borderId="0" xfId="2" applyFont="1" applyFill="1"/>
    <xf numFmtId="0" fontId="11" fillId="3" borderId="0" xfId="3" applyFont="1">
      <alignment horizontal="center"/>
    </xf>
    <xf numFmtId="0" fontId="13" fillId="0" borderId="0" xfId="4" applyFont="1">
      <alignment horizontal="left" indent="3"/>
    </xf>
    <xf numFmtId="0" fontId="9" fillId="0" borderId="0" xfId="2" applyFont="1"/>
    <xf numFmtId="0" fontId="14" fillId="0" borderId="0" xfId="2" applyFont="1"/>
    <xf numFmtId="0" fontId="16" fillId="4" borderId="1" xfId="5" applyFont="1">
      <alignment horizontal="left" vertical="center" indent="1"/>
    </xf>
    <xf numFmtId="30" fontId="16" fillId="3" borderId="1" xfId="6" applyNumberFormat="1" applyFont="1" applyAlignment="1">
      <alignment horizontal="left" vertical="center" indent="1"/>
    </xf>
    <xf numFmtId="0" fontId="16" fillId="3" borderId="1" xfId="6" applyFont="1" applyAlignment="1">
      <alignment horizontal="left" vertical="center" indent="1"/>
    </xf>
    <xf numFmtId="178" fontId="18" fillId="0" borderId="2" xfId="7" applyFont="1">
      <alignment horizontal="left" vertical="center" wrapText="1" indent="1"/>
    </xf>
    <xf numFmtId="178" fontId="18" fillId="0" borderId="3" xfId="7" applyFont="1" applyBorder="1">
      <alignment horizontal="left" vertical="center" wrapText="1" indent="1"/>
    </xf>
    <xf numFmtId="0" fontId="20" fillId="0" borderId="4" xfId="8" applyNumberFormat="1" applyFont="1">
      <alignment horizontal="left" vertical="top" wrapText="1" indent="1"/>
    </xf>
    <xf numFmtId="0" fontId="20" fillId="0" borderId="5" xfId="8" applyNumberFormat="1" applyFont="1" applyBorder="1">
      <alignment horizontal="left" vertical="top" wrapText="1" indent="1"/>
    </xf>
    <xf numFmtId="0" fontId="21" fillId="0" borderId="4" xfId="8" applyNumberFormat="1" applyFont="1">
      <alignment horizontal="left" vertical="top" wrapText="1" indent="1"/>
    </xf>
    <xf numFmtId="0" fontId="23" fillId="0" borderId="4" xfId="8" applyNumberFormat="1" applyFont="1">
      <alignment horizontal="left" vertical="top" wrapText="1" indent="1"/>
    </xf>
    <xf numFmtId="14" fontId="13" fillId="0" borderId="0" xfId="4" applyNumberFormat="1" applyFont="1">
      <alignment horizontal="left" indent="3"/>
    </xf>
    <xf numFmtId="0" fontId="20" fillId="0" borderId="7" xfId="8" applyNumberFormat="1" applyFont="1" applyBorder="1">
      <alignment horizontal="left" vertical="top" wrapText="1" indent="1"/>
    </xf>
    <xf numFmtId="49" fontId="6" fillId="0" borderId="0" xfId="1" applyNumberFormat="1" applyFont="1" applyAlignment="1">
      <alignment vertical="center"/>
    </xf>
    <xf numFmtId="49" fontId="0" fillId="0" borderId="0" xfId="0" applyNumberFormat="1">
      <alignment vertical="center"/>
    </xf>
    <xf numFmtId="0" fontId="20" fillId="0" borderId="0" xfId="10" applyNumberFormat="1" applyFont="1">
      <alignment horizontal="left" vertical="top" wrapText="1" indent="1"/>
    </xf>
    <xf numFmtId="0" fontId="9" fillId="0" borderId="6" xfId="9" applyNumberFormat="1" applyFont="1">
      <alignment horizontal="left" vertical="center" wrapText="1" indent="1"/>
    </xf>
    <xf numFmtId="178" fontId="9" fillId="0" borderId="6" xfId="9" applyFont="1">
      <alignment horizontal="left" vertical="center" wrapText="1" indent="1"/>
    </xf>
    <xf numFmtId="183" fontId="0" fillId="0" borderId="0" xfId="0" applyNumberForma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1">
    <cellStyle name="备注" xfId="10" xr:uid="{DA155C3A-5E87-4B78-B06D-098E3540733C}"/>
    <cellStyle name="备注页眉" xfId="9" xr:uid="{9F8D3C41-0D92-4CB7-9DE6-25476C9F2C3F}"/>
    <cellStyle name="标题 1 2" xfId="4" xr:uid="{C3346117-91B3-4A50-B873-C8EF574C443A}"/>
    <cellStyle name="标题 2 2" xfId="5" xr:uid="{482797E8-BB0D-45FC-AD86-3D8F32FF1E87}"/>
    <cellStyle name="标题 3 2" xfId="6" xr:uid="{2AA04D50-DB4F-42DF-83BE-2C36C79A01B8}"/>
    <cellStyle name="标题 5" xfId="3" xr:uid="{52CE716C-8454-4DCB-A6D5-B8C0252EC2DA}"/>
    <cellStyle name="常规" xfId="0" builtinId="0"/>
    <cellStyle name="常规 2" xfId="1" xr:uid="{414346A9-6AB9-4556-9A81-DDE341BD9844}"/>
    <cellStyle name="常规 3" xfId="2" xr:uid="{75AD6792-55BD-47B2-8945-57AB3C44B3C3}"/>
    <cellStyle name="天" xfId="7" xr:uid="{0B75A525-778E-4DF0-BC95-B8BF47A96A1D}"/>
    <cellStyle name="天详细信息" xfId="8" xr:uid="{F308FF7A-C791-4B39-B4DB-FE3590E035AA}"/>
  </cellStyles>
  <dxfs count="66"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0" formatCode="General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0" formatCode="General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0" formatCode="General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0" formatCode="General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0" formatCode="General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0" formatCode="General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0" formatCode="General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charset val="134"/>
        <scheme val="none"/>
      </font>
      <numFmt numFmtId="177" formatCode="m/dd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strike val="0"/>
        <outline val="0"/>
        <shadow val="0"/>
        <u val="none"/>
        <vertAlign val="baseline"/>
        <sz val="10"/>
        <color auto="1"/>
        <name val="等线"/>
        <scheme val="none"/>
      </font>
    </dxf>
    <dxf>
      <alignment horizontal="general" vertical="center" textRotation="0" wrapText="1" indent="0" justifyLastLine="0" shrinkToFit="0" readingOrder="0"/>
    </dxf>
    <dxf>
      <numFmt numFmtId="176" formatCode="mm\/dd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 val="0"/>
      </font>
    </dxf>
    <dxf>
      <font>
        <b val="0"/>
      </font>
      <numFmt numFmtId="0" formatCode="General"/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101BE-3ED4-42DE-A0CA-6AD6F2B1DC3E}" name="表3_5" displayName="表3_5" ref="A1:E80" totalsRowShown="0" dataDxfId="65">
  <autoFilter ref="A1:E80" xr:uid="{00000000-0009-0000-0100-000003000000}"/>
  <sortState ref="A2:E81">
    <sortCondition ref="B2:B81"/>
    <sortCondition ref="C2:C81"/>
  </sortState>
  <tableColumns count="5">
    <tableColumn id="6" xr3:uid="{3D5A787D-F780-440C-81B4-5674708A1C7F}" name="D" dataDxfId="64"/>
    <tableColumn id="5" xr3:uid="{C7F3DA97-261E-480D-A067-F2FC2AA8B498}" name="A" dataDxfId="63"/>
    <tableColumn id="2" xr3:uid="{341BD24A-034A-4D1A-82F7-17A69E993EF1}" name="抬头" dataDxfId="62"/>
    <tableColumn id="7" xr3:uid="{FDDCF282-7AFF-4C50-86E9-8A67C703350D}" name="R" dataDxfId="61"/>
    <tableColumn id="3" xr3:uid="{D2A1E712-075F-415C-86BA-A93CD907F2AD}" name="联系邮箱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498651-5F00-4977-B9C8-E6D9916A01EB}" name="Table25" displayName="Table25" ref="H1:I9" totalsRowShown="0">
  <autoFilter ref="H1:I9" xr:uid="{4363D2D8-D4C9-472C-A88D-D27D414AFAED}"/>
  <tableColumns count="2">
    <tableColumn id="1" xr3:uid="{F258A2CC-47B8-4A5B-AD01-F1A00079AB77}" name="数字"/>
    <tableColumn id="2" xr3:uid="{75522B77-3BE8-482E-B197-59080DCB3741}" name="字母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80575C-E711-4F78-9FEC-3A860B3A2F21}" name="表1_6" displayName="表1_6" ref="K1:M9" totalsRowShown="0">
  <autoFilter ref="K1:M9" xr:uid="{BF3253F9-E73E-4731-85A0-0E7D14B05400}"/>
  <tableColumns count="3">
    <tableColumn id="1" xr3:uid="{0539007B-4306-477B-9CE7-EF5E8B75B948}" name="抬头"/>
    <tableColumn id="2" xr3:uid="{3EFDF709-E877-41B2-9B44-4F6FA74C770A}" name="群"/>
    <tableColumn id="3" xr3:uid="{09D0FC7D-D7FB-4C07-B4D2-344D96CDEE00}" name="备注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C12" totalsRowShown="0">
  <autoFilter ref="A1:C12" xr:uid="{00000000-0009-0000-0100-000002000000}"/>
  <tableColumns count="3">
    <tableColumn id="1" xr3:uid="{00000000-0010-0000-0000-000001000000}" name="序号"/>
    <tableColumn id="2" xr3:uid="{00000000-0010-0000-0000-000002000000}" name="内容" dataDxfId="59"/>
    <tableColumn id="3" xr3:uid="{00000000-0010-0000-0000-000003000000}" name="列1" dataDxfId="5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1:C27" totalsRowShown="0">
  <autoFilter ref="A1:C27" xr:uid="{00000000-0009-0000-0100-000003000000}"/>
  <tableColumns count="3">
    <tableColumn id="1" xr3:uid="{00000000-0010-0000-0100-000001000000}" name="日期"/>
    <tableColumn id="2" xr3:uid="{00000000-0010-0000-0100-000002000000}" name="船期"/>
    <tableColumn id="3" xr3:uid="{00000000-0010-0000-0100-000003000000}" name="工作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1" displayName="表1" ref="A1:C31" totalsRowShown="0">
  <autoFilter ref="A1:C31" xr:uid="{00000000-0009-0000-0100-000001000000}"/>
  <sortState ref="A2:C31">
    <sortCondition ref="A4"/>
  </sortState>
  <tableColumns count="3">
    <tableColumn id="1" xr3:uid="{00000000-0010-0000-0200-000001000000}" name="时间"/>
    <tableColumn id="3" xr3:uid="{00000000-0010-0000-0200-000003000000}" name="船期" dataDxfId="57"/>
    <tableColumn id="2" xr3:uid="{00000000-0010-0000-0200-000002000000}" name="摘要" dataDxfId="5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576D4F-2260-4CE3-AF3C-05CCB9F40521}" name="表1_8" displayName="表1_8" ref="B1:V44" totalsRowCount="1" headerRowDxfId="55" dataDxfId="0">
  <autoFilter ref="B1:V43" xr:uid="{00000000-0009-0000-0100-000001000000}">
    <filterColumn colId="0">
      <filters>
        <dateGroupItem year="2019" month="3" day="21" dateTimeGrouping="day"/>
      </filters>
    </filterColumn>
    <filterColumn colId="5">
      <filters blank="1"/>
    </filterColumn>
  </autoFilter>
  <tableColumns count="21">
    <tableColumn id="9" xr3:uid="{387C766E-956F-486E-B1A3-ADD7A10F9D06}" name="ETD" totalsRowLabel="汇总" dataDxfId="21" totalsRowDxfId="42"/>
    <tableColumn id="1" xr3:uid="{26E5D45C-5049-4E50-B962-6F7137A9BFD4}" name="船名航次" dataDxfId="20" totalsRowDxfId="41"/>
    <tableColumn id="10" xr3:uid="{A2F4D6B1-43D9-4D5B-824E-909879A6C265}" name="序" dataDxfId="19" totalsRowDxfId="40"/>
    <tableColumn id="13" xr3:uid="{F9D1543A-6F48-4D76-8AAC-077005DBE427}" name="抬头" dataDxfId="18" totalsRowDxfId="39"/>
    <tableColumn id="2" xr3:uid="{BCABE106-5900-4132-8864-670FD59DBE4B}" name="HOUSE B/L" dataDxfId="17" totalsRowDxfId="38"/>
    <tableColumn id="21" xr3:uid="{0030B006-9125-46E1-A978-EDE0D15A66DD}" name="并单" dataDxfId="16" totalsRowDxfId="37" dataCellStyle="常规 2"/>
    <tableColumn id="12" xr3:uid="{49ABB6E5-5DC2-42B1-BDE9-CEA4C0E0B2EE}" name="客户编号" dataDxfId="15" totalsRowDxfId="36"/>
    <tableColumn id="3" xr3:uid="{7AF27CF0-B290-4A8F-90D0-A98D55C05830}" name="MASTER B/L" dataDxfId="14" totalsRowDxfId="35"/>
    <tableColumn id="6" xr3:uid="{1F105FBF-9627-490A-991D-5F8F314D6C4E}" name="件" totalsRowFunction="sum" dataDxfId="13" totalsRowDxfId="34"/>
    <tableColumn id="7" xr3:uid="{D6E26964-6A54-4ABD-A766-800DA3E5C2ED}" name="毛" totalsRowFunction="sum" dataDxfId="12" totalsRowDxfId="33"/>
    <tableColumn id="8" xr3:uid="{A5950457-9DB4-4679-891D-4B33FF7419C4}" name="体" totalsRowFunction="sum" dataDxfId="11" totalsRowDxfId="32"/>
    <tableColumn id="11" xr3:uid="{D44AD4D4-710E-461B-AE5D-3F960C479C24}" name="品名" dataDxfId="10" totalsRowDxfId="31"/>
    <tableColumn id="4" xr3:uid="{CD7F8BE7-6D15-4993-9496-83EB67E08CC1}" name="箱号" dataDxfId="9" totalsRowDxfId="30" dataCellStyle="常规 2"/>
    <tableColumn id="5" xr3:uid="{CAEDC53B-FD22-46B5-8C92-D85CD468E6A8}" name="封号" dataDxfId="8" totalsRowDxfId="29" dataCellStyle="常规 2"/>
    <tableColumn id="14" xr3:uid="{FEC10A9E-945B-4739-A67A-3553B5DA1769}" name="件1" totalsRowFunction="sum" dataDxfId="7" totalsRowDxfId="28">
      <calculatedColumnFormula>表1_8[[#This Row],[件]]</calculatedColumnFormula>
    </tableColumn>
    <tableColumn id="15" xr3:uid="{A00ACA2D-D497-49FE-88F6-38FEE2516472}" name="毛1" totalsRowFunction="sum" dataDxfId="6" totalsRowDxfId="27">
      <calculatedColumnFormula>表1_8[[#This Row],[毛]]</calculatedColumnFormula>
    </tableColumn>
    <tableColumn id="16" xr3:uid="{6B8C9578-4612-48D1-BC53-A5BA8CFE1923}" name="体1" totalsRowFunction="sum" dataDxfId="5" totalsRowDxfId="26">
      <calculatedColumnFormula>表1_8[[#This Row],[体]]</calculatedColumnFormula>
    </tableColumn>
    <tableColumn id="17" xr3:uid="{4BF157C2-0CCB-4222-82CB-4626546074FF}" name="核对MBL" dataDxfId="4" totalsRowDxfId="25"/>
    <tableColumn id="18" xr3:uid="{FADAD5FA-D54D-4C5A-AB78-8AB65504DA6B}" name="核对件" dataDxfId="3" totalsRowDxfId="24"/>
    <tableColumn id="19" xr3:uid="{2CDE3072-BECD-459A-9DEC-BDA7F1864A9A}" name="核对毛" dataDxfId="2" totalsRowDxfId="23"/>
    <tableColumn id="20" xr3:uid="{B53AC538-749C-42E8-AA45-340BCD6C23EE}" name="核对体" totalsRowFunction="count" dataDxfId="1" totalsRowDxfId="2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9F24-455A-436B-A2BF-5627C16E136F}">
  <dimension ref="A1:M80"/>
  <sheetViews>
    <sheetView workbookViewId="0">
      <pane ySplit="1" topLeftCell="A2" activePane="bottomLeft" state="frozen"/>
      <selection pane="bottomLeft" activeCell="G16" sqref="G16"/>
    </sheetView>
  </sheetViews>
  <sheetFormatPr defaultRowHeight="14.25" x14ac:dyDescent="0.2"/>
  <cols>
    <col min="1" max="1" width="4.875" bestFit="1" customWidth="1"/>
    <col min="2" max="2" width="4.75" bestFit="1" customWidth="1"/>
    <col min="3" max="3" width="20" bestFit="1" customWidth="1"/>
    <col min="4" max="4" width="4.625" bestFit="1" customWidth="1"/>
    <col min="5" max="5" width="50.25" bestFit="1" customWidth="1"/>
    <col min="8" max="9" width="7.25" bestFit="1" customWidth="1"/>
    <col min="11" max="11" width="13" bestFit="1" customWidth="1"/>
    <col min="12" max="12" width="16.5" bestFit="1" customWidth="1"/>
    <col min="13" max="13" width="13.875" bestFit="1" customWidth="1"/>
  </cols>
  <sheetData>
    <row r="1" spans="1:13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H1" t="s">
        <v>57</v>
      </c>
      <c r="I1" t="s">
        <v>58</v>
      </c>
      <c r="K1" t="s">
        <v>59</v>
      </c>
      <c r="L1" t="s">
        <v>60</v>
      </c>
      <c r="M1" t="s">
        <v>61</v>
      </c>
    </row>
    <row r="2" spans="1:13" x14ac:dyDescent="0.2">
      <c r="A2" s="4">
        <v>2</v>
      </c>
      <c r="B2" s="4" t="s">
        <v>62</v>
      </c>
      <c r="C2" s="4" t="s">
        <v>63</v>
      </c>
      <c r="D2" s="4" t="s">
        <v>64</v>
      </c>
      <c r="E2" s="4" t="s">
        <v>65</v>
      </c>
      <c r="H2">
        <v>2</v>
      </c>
      <c r="I2" t="s">
        <v>66</v>
      </c>
      <c r="K2" t="s">
        <v>67</v>
      </c>
      <c r="L2" t="s">
        <v>68</v>
      </c>
      <c r="M2" t="s">
        <v>69</v>
      </c>
    </row>
    <row r="3" spans="1:13" x14ac:dyDescent="0.2">
      <c r="A3" s="4">
        <v>2</v>
      </c>
      <c r="B3" s="4" t="s">
        <v>62</v>
      </c>
      <c r="C3" s="4" t="s">
        <v>70</v>
      </c>
      <c r="D3" s="4" t="s">
        <v>64</v>
      </c>
      <c r="E3" s="4" t="s">
        <v>71</v>
      </c>
      <c r="H3">
        <v>3</v>
      </c>
      <c r="I3" t="s">
        <v>72</v>
      </c>
      <c r="K3" t="s">
        <v>73</v>
      </c>
      <c r="L3" t="s">
        <v>74</v>
      </c>
      <c r="M3" t="s">
        <v>75</v>
      </c>
    </row>
    <row r="4" spans="1:13" x14ac:dyDescent="0.2">
      <c r="A4" s="4">
        <v>2</v>
      </c>
      <c r="B4" s="4" t="s">
        <v>62</v>
      </c>
      <c r="C4" s="4" t="s">
        <v>76</v>
      </c>
      <c r="D4" s="4" t="s">
        <v>64</v>
      </c>
      <c r="E4" s="4" t="s">
        <v>77</v>
      </c>
      <c r="H4">
        <v>4</v>
      </c>
      <c r="I4" t="s">
        <v>78</v>
      </c>
      <c r="K4" t="s">
        <v>79</v>
      </c>
      <c r="L4" t="s">
        <v>80</v>
      </c>
      <c r="M4" t="s">
        <v>75</v>
      </c>
    </row>
    <row r="5" spans="1:13" x14ac:dyDescent="0.2">
      <c r="A5" s="4">
        <v>2</v>
      </c>
      <c r="B5" t="s">
        <v>62</v>
      </c>
      <c r="C5" t="s">
        <v>81</v>
      </c>
      <c r="H5">
        <v>5</v>
      </c>
      <c r="I5" t="s">
        <v>82</v>
      </c>
      <c r="K5" t="s">
        <v>83</v>
      </c>
      <c r="L5" t="s">
        <v>84</v>
      </c>
      <c r="M5" t="s">
        <v>75</v>
      </c>
    </row>
    <row r="6" spans="1:13" x14ac:dyDescent="0.2">
      <c r="A6" s="4">
        <v>2</v>
      </c>
      <c r="B6" t="s">
        <v>85</v>
      </c>
      <c r="C6" t="s">
        <v>86</v>
      </c>
      <c r="H6">
        <v>6</v>
      </c>
      <c r="I6" t="s">
        <v>87</v>
      </c>
      <c r="K6" t="s">
        <v>88</v>
      </c>
      <c r="L6" t="s">
        <v>89</v>
      </c>
      <c r="M6" t="s">
        <v>75</v>
      </c>
    </row>
    <row r="7" spans="1:13" x14ac:dyDescent="0.2">
      <c r="A7">
        <v>2</v>
      </c>
      <c r="B7" t="s">
        <v>90</v>
      </c>
      <c r="C7" t="s">
        <v>91</v>
      </c>
      <c r="D7" s="4"/>
      <c r="H7">
        <v>7</v>
      </c>
      <c r="I7" t="s">
        <v>92</v>
      </c>
      <c r="K7" t="s">
        <v>93</v>
      </c>
      <c r="L7" t="s">
        <v>94</v>
      </c>
      <c r="M7" t="s">
        <v>95</v>
      </c>
    </row>
    <row r="8" spans="1:13" x14ac:dyDescent="0.2">
      <c r="A8" s="4">
        <v>2</v>
      </c>
      <c r="B8" s="4" t="s">
        <v>85</v>
      </c>
      <c r="C8" s="4" t="s">
        <v>96</v>
      </c>
      <c r="D8" s="4" t="s">
        <v>64</v>
      </c>
      <c r="E8" s="4" t="s">
        <v>97</v>
      </c>
      <c r="H8">
        <v>8</v>
      </c>
      <c r="I8" t="s">
        <v>98</v>
      </c>
      <c r="K8" t="s">
        <v>99</v>
      </c>
      <c r="M8" t="s">
        <v>95</v>
      </c>
    </row>
    <row r="9" spans="1:13" x14ac:dyDescent="0.2">
      <c r="A9" s="4">
        <v>2</v>
      </c>
      <c r="B9" t="s">
        <v>90</v>
      </c>
      <c r="C9" t="s">
        <v>100</v>
      </c>
      <c r="D9" s="4" t="s">
        <v>64</v>
      </c>
      <c r="H9">
        <v>9</v>
      </c>
      <c r="I9" t="s">
        <v>101</v>
      </c>
      <c r="K9" t="s">
        <v>102</v>
      </c>
      <c r="M9" t="s">
        <v>95</v>
      </c>
    </row>
    <row r="10" spans="1:13" x14ac:dyDescent="0.2">
      <c r="A10" s="4">
        <v>2</v>
      </c>
      <c r="B10" t="s">
        <v>103</v>
      </c>
      <c r="C10" t="s">
        <v>104</v>
      </c>
    </row>
    <row r="11" spans="1:13" x14ac:dyDescent="0.2">
      <c r="A11" s="4">
        <v>2</v>
      </c>
      <c r="B11" s="4" t="s">
        <v>103</v>
      </c>
      <c r="C11" s="4" t="s">
        <v>105</v>
      </c>
      <c r="D11" s="4" t="s">
        <v>64</v>
      </c>
      <c r="E11" s="4" t="s">
        <v>106</v>
      </c>
    </row>
    <row r="12" spans="1:13" x14ac:dyDescent="0.2">
      <c r="A12" s="4">
        <v>2</v>
      </c>
      <c r="B12" s="4" t="s">
        <v>103</v>
      </c>
      <c r="C12" s="4" t="s">
        <v>107</v>
      </c>
      <c r="D12" s="4" t="s">
        <v>64</v>
      </c>
      <c r="E12" s="4" t="s">
        <v>108</v>
      </c>
    </row>
    <row r="13" spans="1:13" x14ac:dyDescent="0.2">
      <c r="A13">
        <v>3</v>
      </c>
      <c r="B13" t="s">
        <v>109</v>
      </c>
      <c r="C13" t="s">
        <v>110</v>
      </c>
    </row>
    <row r="14" spans="1:13" x14ac:dyDescent="0.2">
      <c r="A14">
        <v>3</v>
      </c>
      <c r="B14" t="s">
        <v>52</v>
      </c>
      <c r="C14" t="s">
        <v>111</v>
      </c>
      <c r="D14" s="4" t="s">
        <v>64</v>
      </c>
      <c r="E14" t="s">
        <v>112</v>
      </c>
    </row>
    <row r="15" spans="1:13" x14ac:dyDescent="0.2">
      <c r="A15" s="4">
        <v>3</v>
      </c>
      <c r="B15" s="4" t="s">
        <v>109</v>
      </c>
      <c r="C15" s="4" t="s">
        <v>113</v>
      </c>
      <c r="D15" s="4" t="s">
        <v>64</v>
      </c>
      <c r="E15" s="4" t="s">
        <v>114</v>
      </c>
    </row>
    <row r="16" spans="1:13" x14ac:dyDescent="0.2">
      <c r="A16" s="4">
        <v>3</v>
      </c>
      <c r="B16" s="4" t="s">
        <v>109</v>
      </c>
      <c r="C16" s="4" t="s">
        <v>115</v>
      </c>
      <c r="D16" s="4" t="s">
        <v>64</v>
      </c>
      <c r="E16" s="4" t="s">
        <v>116</v>
      </c>
    </row>
    <row r="17" spans="1:5" x14ac:dyDescent="0.2">
      <c r="A17" s="4">
        <v>3</v>
      </c>
      <c r="B17" s="4" t="s">
        <v>109</v>
      </c>
      <c r="C17" s="4" t="s">
        <v>117</v>
      </c>
      <c r="D17" s="4" t="s">
        <v>64</v>
      </c>
      <c r="E17" s="4" t="s">
        <v>118</v>
      </c>
    </row>
    <row r="18" spans="1:5" x14ac:dyDescent="0.2">
      <c r="A18" s="4">
        <v>3</v>
      </c>
      <c r="B18" s="4" t="s">
        <v>109</v>
      </c>
      <c r="C18" s="4" t="s">
        <v>119</v>
      </c>
      <c r="D18" s="4" t="s">
        <v>64</v>
      </c>
      <c r="E18" s="4" t="s">
        <v>120</v>
      </c>
    </row>
    <row r="19" spans="1:5" x14ac:dyDescent="0.2">
      <c r="A19" s="4">
        <v>3</v>
      </c>
      <c r="B19" s="4" t="s">
        <v>109</v>
      </c>
      <c r="C19" s="4" t="s">
        <v>121</v>
      </c>
      <c r="D19" s="4" t="s">
        <v>64</v>
      </c>
      <c r="E19" s="4" t="s">
        <v>122</v>
      </c>
    </row>
    <row r="20" spans="1:5" x14ac:dyDescent="0.2">
      <c r="A20" s="4">
        <v>3</v>
      </c>
      <c r="B20" s="4" t="s">
        <v>109</v>
      </c>
      <c r="C20" s="4" t="s">
        <v>123</v>
      </c>
      <c r="D20" s="4" t="s">
        <v>64</v>
      </c>
      <c r="E20" s="4" t="s">
        <v>124</v>
      </c>
    </row>
    <row r="21" spans="1:5" x14ac:dyDescent="0.2">
      <c r="A21">
        <v>3</v>
      </c>
      <c r="B21" t="s">
        <v>52</v>
      </c>
      <c r="C21" t="s">
        <v>125</v>
      </c>
      <c r="D21" s="4"/>
    </row>
    <row r="22" spans="1:5" x14ac:dyDescent="0.2">
      <c r="A22" s="4">
        <v>3</v>
      </c>
      <c r="B22" s="4" t="s">
        <v>109</v>
      </c>
      <c r="C22" s="4" t="s">
        <v>126</v>
      </c>
      <c r="D22" s="4" t="s">
        <v>64</v>
      </c>
      <c r="E22" s="4" t="s">
        <v>127</v>
      </c>
    </row>
    <row r="23" spans="1:5" x14ac:dyDescent="0.2">
      <c r="A23" s="4">
        <v>3</v>
      </c>
      <c r="B23" s="4" t="s">
        <v>109</v>
      </c>
      <c r="C23" s="4" t="s">
        <v>128</v>
      </c>
      <c r="D23" s="4" t="s">
        <v>64</v>
      </c>
      <c r="E23" s="4" t="s">
        <v>129</v>
      </c>
    </row>
    <row r="24" spans="1:5" x14ac:dyDescent="0.2">
      <c r="A24" s="4">
        <v>3</v>
      </c>
      <c r="B24" t="s">
        <v>130</v>
      </c>
      <c r="C24" t="s">
        <v>131</v>
      </c>
    </row>
    <row r="25" spans="1:5" x14ac:dyDescent="0.2">
      <c r="A25" s="4">
        <v>3</v>
      </c>
      <c r="B25" s="4" t="s">
        <v>130</v>
      </c>
      <c r="C25" s="4" t="s">
        <v>132</v>
      </c>
      <c r="D25" s="4" t="s">
        <v>64</v>
      </c>
      <c r="E25" s="4" t="s">
        <v>133</v>
      </c>
    </row>
    <row r="26" spans="1:5" x14ac:dyDescent="0.2">
      <c r="A26" s="4">
        <v>3</v>
      </c>
      <c r="B26" s="4" t="s">
        <v>130</v>
      </c>
      <c r="C26" s="4" t="s">
        <v>134</v>
      </c>
      <c r="D26" s="4" t="s">
        <v>64</v>
      </c>
      <c r="E26" s="4" t="s">
        <v>135</v>
      </c>
    </row>
    <row r="27" spans="1:5" x14ac:dyDescent="0.2">
      <c r="A27">
        <v>4</v>
      </c>
      <c r="B27" t="s">
        <v>136</v>
      </c>
      <c r="C27" t="s">
        <v>137</v>
      </c>
      <c r="D27" s="4"/>
    </row>
    <row r="28" spans="1:5" x14ac:dyDescent="0.2">
      <c r="A28" s="4">
        <v>4</v>
      </c>
      <c r="B28" s="4" t="s">
        <v>138</v>
      </c>
      <c r="C28" s="4" t="s">
        <v>139</v>
      </c>
      <c r="D28" s="4" t="s">
        <v>64</v>
      </c>
      <c r="E28" s="4" t="s">
        <v>140</v>
      </c>
    </row>
    <row r="29" spans="1:5" x14ac:dyDescent="0.2">
      <c r="A29" s="4">
        <v>4</v>
      </c>
      <c r="B29" t="s">
        <v>138</v>
      </c>
      <c r="C29" t="s">
        <v>141</v>
      </c>
    </row>
    <row r="30" spans="1:5" x14ac:dyDescent="0.2">
      <c r="A30" s="4">
        <v>4</v>
      </c>
      <c r="B30" t="s">
        <v>138</v>
      </c>
      <c r="C30" t="s">
        <v>142</v>
      </c>
    </row>
    <row r="31" spans="1:5" x14ac:dyDescent="0.2">
      <c r="A31" s="4">
        <v>4</v>
      </c>
      <c r="B31" t="s">
        <v>138</v>
      </c>
      <c r="C31" t="s">
        <v>83</v>
      </c>
    </row>
    <row r="32" spans="1:5" x14ac:dyDescent="0.2">
      <c r="A32" s="4">
        <v>4</v>
      </c>
      <c r="B32" t="s">
        <v>138</v>
      </c>
      <c r="C32" t="s">
        <v>143</v>
      </c>
    </row>
    <row r="33" spans="1:5" x14ac:dyDescent="0.2">
      <c r="A33">
        <v>4</v>
      </c>
      <c r="B33" t="s">
        <v>144</v>
      </c>
      <c r="C33" t="s">
        <v>145</v>
      </c>
      <c r="D33" s="4"/>
    </row>
    <row r="34" spans="1:5" x14ac:dyDescent="0.2">
      <c r="A34" s="4">
        <v>4</v>
      </c>
      <c r="B34" s="4" t="s">
        <v>138</v>
      </c>
      <c r="C34" s="4" t="s">
        <v>146</v>
      </c>
      <c r="D34" s="4" t="s">
        <v>64</v>
      </c>
      <c r="E34" s="4" t="s">
        <v>147</v>
      </c>
    </row>
    <row r="35" spans="1:5" x14ac:dyDescent="0.2">
      <c r="A35" s="4">
        <v>4</v>
      </c>
      <c r="B35" t="s">
        <v>138</v>
      </c>
      <c r="C35" t="s">
        <v>148</v>
      </c>
    </row>
    <row r="36" spans="1:5" x14ac:dyDescent="0.2">
      <c r="A36">
        <v>4</v>
      </c>
      <c r="B36" t="s">
        <v>144</v>
      </c>
      <c r="C36" t="s">
        <v>149</v>
      </c>
      <c r="D36" t="s">
        <v>64</v>
      </c>
    </row>
    <row r="37" spans="1:5" x14ac:dyDescent="0.2">
      <c r="A37" s="4">
        <v>4</v>
      </c>
      <c r="B37" t="s">
        <v>138</v>
      </c>
      <c r="C37" t="s">
        <v>150</v>
      </c>
      <c r="D37" t="s">
        <v>64</v>
      </c>
    </row>
    <row r="38" spans="1:5" x14ac:dyDescent="0.2">
      <c r="A38" s="4">
        <v>4</v>
      </c>
      <c r="B38" t="s">
        <v>138</v>
      </c>
      <c r="C38" s="5" t="s">
        <v>67</v>
      </c>
    </row>
    <row r="39" spans="1:5" x14ac:dyDescent="0.2">
      <c r="A39">
        <v>4</v>
      </c>
      <c r="B39" t="s">
        <v>144</v>
      </c>
      <c r="C39" t="s">
        <v>151</v>
      </c>
      <c r="D39" s="4"/>
    </row>
    <row r="40" spans="1:5" x14ac:dyDescent="0.2">
      <c r="A40" s="4">
        <v>5</v>
      </c>
      <c r="B40" t="s">
        <v>152</v>
      </c>
      <c r="C40" t="s">
        <v>79</v>
      </c>
      <c r="E40" t="s">
        <v>153</v>
      </c>
    </row>
    <row r="41" spans="1:5" x14ac:dyDescent="0.2">
      <c r="A41" s="4">
        <v>5</v>
      </c>
      <c r="B41" t="s">
        <v>152</v>
      </c>
      <c r="C41" t="s">
        <v>73</v>
      </c>
      <c r="E41" t="s">
        <v>153</v>
      </c>
    </row>
    <row r="42" spans="1:5" x14ac:dyDescent="0.2">
      <c r="A42" s="4">
        <v>5</v>
      </c>
      <c r="B42" t="s">
        <v>154</v>
      </c>
      <c r="C42" t="s">
        <v>155</v>
      </c>
      <c r="D42" s="4" t="s">
        <v>64</v>
      </c>
    </row>
    <row r="43" spans="1:5" x14ac:dyDescent="0.2">
      <c r="A43" s="4">
        <v>5</v>
      </c>
      <c r="B43" t="s">
        <v>156</v>
      </c>
      <c r="C43" t="s">
        <v>157</v>
      </c>
      <c r="D43" t="s">
        <v>64</v>
      </c>
    </row>
    <row r="44" spans="1:5" x14ac:dyDescent="0.2">
      <c r="A44" s="4">
        <v>5</v>
      </c>
      <c r="B44" s="4" t="s">
        <v>156</v>
      </c>
      <c r="C44" s="4" t="s">
        <v>158</v>
      </c>
      <c r="D44" s="4" t="s">
        <v>64</v>
      </c>
      <c r="E44" s="4" t="s">
        <v>159</v>
      </c>
    </row>
    <row r="45" spans="1:5" x14ac:dyDescent="0.2">
      <c r="A45" s="4">
        <v>5</v>
      </c>
      <c r="B45" s="4" t="s">
        <v>156</v>
      </c>
      <c r="C45" s="4" t="s">
        <v>160</v>
      </c>
      <c r="D45" s="4" t="s">
        <v>64</v>
      </c>
      <c r="E45" s="4" t="s">
        <v>161</v>
      </c>
    </row>
    <row r="46" spans="1:5" x14ac:dyDescent="0.2">
      <c r="A46">
        <v>5</v>
      </c>
      <c r="B46" t="s">
        <v>154</v>
      </c>
      <c r="C46" t="s">
        <v>162</v>
      </c>
      <c r="D46" s="4"/>
    </row>
    <row r="47" spans="1:5" x14ac:dyDescent="0.2">
      <c r="A47" s="4">
        <v>5</v>
      </c>
      <c r="B47" t="s">
        <v>163</v>
      </c>
      <c r="C47" t="s">
        <v>88</v>
      </c>
    </row>
    <row r="48" spans="1:5" x14ac:dyDescent="0.2">
      <c r="A48">
        <v>5</v>
      </c>
      <c r="B48" t="s">
        <v>164</v>
      </c>
      <c r="C48" t="s">
        <v>93</v>
      </c>
      <c r="D48" s="4" t="s">
        <v>64</v>
      </c>
    </row>
    <row r="49" spans="1:5" x14ac:dyDescent="0.2">
      <c r="A49" s="4">
        <v>5</v>
      </c>
      <c r="B49" s="4" t="s">
        <v>163</v>
      </c>
      <c r="C49" s="4" t="s">
        <v>165</v>
      </c>
      <c r="D49" s="4" t="s">
        <v>64</v>
      </c>
      <c r="E49" s="4" t="s">
        <v>166</v>
      </c>
    </row>
    <row r="50" spans="1:5" x14ac:dyDescent="0.2">
      <c r="A50" s="4">
        <v>6</v>
      </c>
      <c r="B50" s="4" t="s">
        <v>167</v>
      </c>
      <c r="C50" s="4" t="s">
        <v>168</v>
      </c>
      <c r="D50" s="4" t="s">
        <v>64</v>
      </c>
      <c r="E50" s="4" t="s">
        <v>169</v>
      </c>
    </row>
    <row r="51" spans="1:5" x14ac:dyDescent="0.2">
      <c r="A51" s="4">
        <v>6</v>
      </c>
      <c r="B51" s="4" t="s">
        <v>167</v>
      </c>
      <c r="C51" s="4" t="s">
        <v>170</v>
      </c>
      <c r="D51" s="4" t="s">
        <v>64</v>
      </c>
      <c r="E51" s="4" t="s">
        <v>171</v>
      </c>
    </row>
    <row r="52" spans="1:5" x14ac:dyDescent="0.2">
      <c r="A52" s="4">
        <v>6</v>
      </c>
      <c r="B52" s="4" t="s">
        <v>167</v>
      </c>
      <c r="C52" s="4" t="s">
        <v>172</v>
      </c>
      <c r="D52" s="4" t="s">
        <v>64</v>
      </c>
      <c r="E52" s="4" t="s">
        <v>173</v>
      </c>
    </row>
    <row r="53" spans="1:5" x14ac:dyDescent="0.2">
      <c r="A53" s="4">
        <v>6</v>
      </c>
      <c r="B53" t="s">
        <v>167</v>
      </c>
      <c r="C53" t="s">
        <v>174</v>
      </c>
    </row>
    <row r="54" spans="1:5" x14ac:dyDescent="0.2">
      <c r="A54">
        <v>6</v>
      </c>
      <c r="B54" t="s">
        <v>175</v>
      </c>
      <c r="C54" t="s">
        <v>176</v>
      </c>
      <c r="D54" s="4" t="s">
        <v>64</v>
      </c>
      <c r="E54" t="s">
        <v>177</v>
      </c>
    </row>
    <row r="55" spans="1:5" x14ac:dyDescent="0.2">
      <c r="A55" s="4">
        <v>7</v>
      </c>
      <c r="B55" t="s">
        <v>178</v>
      </c>
      <c r="C55" t="s">
        <v>179</v>
      </c>
      <c r="D55" s="4" t="s">
        <v>64</v>
      </c>
    </row>
    <row r="56" spans="1:5" x14ac:dyDescent="0.2">
      <c r="A56">
        <v>7</v>
      </c>
      <c r="B56" t="s">
        <v>55</v>
      </c>
      <c r="C56" t="s">
        <v>180</v>
      </c>
      <c r="D56" s="4" t="s">
        <v>64</v>
      </c>
      <c r="E56" t="s">
        <v>181</v>
      </c>
    </row>
    <row r="57" spans="1:5" x14ac:dyDescent="0.2">
      <c r="A57" s="4">
        <v>7</v>
      </c>
      <c r="B57" s="4" t="s">
        <v>182</v>
      </c>
      <c r="C57" s="4" t="s">
        <v>183</v>
      </c>
      <c r="D57" s="4" t="s">
        <v>64</v>
      </c>
      <c r="E57" s="4" t="s">
        <v>184</v>
      </c>
    </row>
    <row r="58" spans="1:5" x14ac:dyDescent="0.2">
      <c r="A58" s="4">
        <v>7</v>
      </c>
      <c r="B58" s="4" t="s">
        <v>182</v>
      </c>
      <c r="C58" s="4" t="s">
        <v>185</v>
      </c>
      <c r="D58" s="4" t="s">
        <v>64</v>
      </c>
      <c r="E58" s="4" t="s">
        <v>186</v>
      </c>
    </row>
    <row r="59" spans="1:5" x14ac:dyDescent="0.2">
      <c r="A59" s="4">
        <v>7</v>
      </c>
      <c r="B59" s="4" t="s">
        <v>182</v>
      </c>
      <c r="C59" s="4" t="s">
        <v>187</v>
      </c>
      <c r="D59" s="4" t="s">
        <v>64</v>
      </c>
      <c r="E59" s="4" t="s">
        <v>188</v>
      </c>
    </row>
    <row r="60" spans="1:5" x14ac:dyDescent="0.2">
      <c r="A60" s="4">
        <v>7</v>
      </c>
      <c r="B60" s="4" t="s">
        <v>189</v>
      </c>
      <c r="C60" s="4" t="s">
        <v>190</v>
      </c>
      <c r="D60" s="4" t="s">
        <v>64</v>
      </c>
      <c r="E60" s="4" t="s">
        <v>191</v>
      </c>
    </row>
    <row r="61" spans="1:5" x14ac:dyDescent="0.2">
      <c r="A61">
        <v>7</v>
      </c>
      <c r="B61" t="s">
        <v>192</v>
      </c>
      <c r="C61" t="s">
        <v>193</v>
      </c>
      <c r="D61" s="4"/>
    </row>
    <row r="62" spans="1:5" x14ac:dyDescent="0.2">
      <c r="A62">
        <v>7</v>
      </c>
      <c r="B62" t="s">
        <v>192</v>
      </c>
      <c r="C62" t="s">
        <v>194</v>
      </c>
      <c r="D62" s="4" t="s">
        <v>64</v>
      </c>
    </row>
    <row r="63" spans="1:5" x14ac:dyDescent="0.2">
      <c r="A63" s="4">
        <v>7</v>
      </c>
      <c r="B63" t="s">
        <v>189</v>
      </c>
      <c r="C63" t="s">
        <v>195</v>
      </c>
    </row>
    <row r="64" spans="1:5" x14ac:dyDescent="0.2">
      <c r="A64" s="4">
        <v>7</v>
      </c>
      <c r="B64" s="4" t="s">
        <v>189</v>
      </c>
      <c r="C64" s="4" t="s">
        <v>196</v>
      </c>
      <c r="D64" s="4" t="s">
        <v>64</v>
      </c>
      <c r="E64" s="4" t="s">
        <v>197</v>
      </c>
    </row>
    <row r="65" spans="1:5" x14ac:dyDescent="0.2">
      <c r="A65" s="4">
        <v>7</v>
      </c>
      <c r="B65" s="4" t="s">
        <v>189</v>
      </c>
      <c r="C65" s="4" t="s">
        <v>198</v>
      </c>
      <c r="D65" s="4" t="s">
        <v>64</v>
      </c>
      <c r="E65" s="4" t="s">
        <v>199</v>
      </c>
    </row>
    <row r="66" spans="1:5" x14ac:dyDescent="0.2">
      <c r="A66" s="4">
        <v>7</v>
      </c>
      <c r="B66" t="s">
        <v>189</v>
      </c>
      <c r="C66" t="s">
        <v>200</v>
      </c>
    </row>
    <row r="67" spans="1:5" x14ac:dyDescent="0.2">
      <c r="A67" s="4">
        <v>7</v>
      </c>
      <c r="B67" s="4" t="s">
        <v>189</v>
      </c>
      <c r="C67" s="4" t="s">
        <v>201</v>
      </c>
      <c r="D67" s="4" t="s">
        <v>64</v>
      </c>
      <c r="E67" s="4" t="s">
        <v>202</v>
      </c>
    </row>
    <row r="68" spans="1:5" x14ac:dyDescent="0.2">
      <c r="A68">
        <v>8</v>
      </c>
      <c r="B68" t="s">
        <v>203</v>
      </c>
      <c r="C68" t="s">
        <v>204</v>
      </c>
      <c r="D68" s="4" t="s">
        <v>64</v>
      </c>
    </row>
    <row r="69" spans="1:5" x14ac:dyDescent="0.2">
      <c r="A69" s="4">
        <v>9</v>
      </c>
      <c r="B69" s="4" t="s">
        <v>205</v>
      </c>
      <c r="C69" s="4" t="s">
        <v>206</v>
      </c>
      <c r="D69" s="4" t="s">
        <v>64</v>
      </c>
      <c r="E69" s="4" t="s">
        <v>207</v>
      </c>
    </row>
    <row r="70" spans="1:5" x14ac:dyDescent="0.2">
      <c r="A70" s="4">
        <v>9</v>
      </c>
      <c r="B70" s="4" t="s">
        <v>205</v>
      </c>
      <c r="C70" s="4" t="s">
        <v>208</v>
      </c>
      <c r="D70" s="4" t="s">
        <v>64</v>
      </c>
      <c r="E70" s="4" t="s">
        <v>209</v>
      </c>
    </row>
    <row r="71" spans="1:5" x14ac:dyDescent="0.2">
      <c r="A71" s="4">
        <v>9</v>
      </c>
      <c r="B71" s="4" t="s">
        <v>210</v>
      </c>
      <c r="C71" s="4" t="s">
        <v>211</v>
      </c>
      <c r="D71" s="4" t="s">
        <v>64</v>
      </c>
      <c r="E71" s="4" t="s">
        <v>212</v>
      </c>
    </row>
    <row r="72" spans="1:5" x14ac:dyDescent="0.2">
      <c r="A72" s="4">
        <v>9</v>
      </c>
      <c r="B72" s="4" t="s">
        <v>210</v>
      </c>
      <c r="C72" s="4" t="s">
        <v>213</v>
      </c>
      <c r="D72" s="4" t="s">
        <v>214</v>
      </c>
      <c r="E72" s="4" t="s">
        <v>215</v>
      </c>
    </row>
    <row r="73" spans="1:5" x14ac:dyDescent="0.2">
      <c r="A73" s="4">
        <v>9</v>
      </c>
      <c r="B73" s="4" t="s">
        <v>210</v>
      </c>
      <c r="C73" s="4" t="s">
        <v>213</v>
      </c>
      <c r="D73" s="4" t="s">
        <v>64</v>
      </c>
      <c r="E73" s="4" t="s">
        <v>216</v>
      </c>
    </row>
    <row r="74" spans="1:5" x14ac:dyDescent="0.2">
      <c r="A74" s="4">
        <v>9</v>
      </c>
      <c r="B74" t="s">
        <v>210</v>
      </c>
      <c r="C74" t="s">
        <v>217</v>
      </c>
    </row>
    <row r="75" spans="1:5" x14ac:dyDescent="0.2">
      <c r="A75">
        <v>9</v>
      </c>
      <c r="B75" t="s">
        <v>64</v>
      </c>
      <c r="C75" t="s">
        <v>218</v>
      </c>
      <c r="D75" s="4"/>
    </row>
    <row r="76" spans="1:5" x14ac:dyDescent="0.2">
      <c r="A76" s="4">
        <v>9</v>
      </c>
      <c r="B76" t="s">
        <v>219</v>
      </c>
      <c r="C76" s="5" t="s">
        <v>220</v>
      </c>
    </row>
    <row r="77" spans="1:5" x14ac:dyDescent="0.2">
      <c r="A77">
        <v>9</v>
      </c>
      <c r="B77" t="s">
        <v>64</v>
      </c>
      <c r="C77" t="s">
        <v>221</v>
      </c>
      <c r="D77" s="4" t="s">
        <v>64</v>
      </c>
    </row>
    <row r="78" spans="1:5" x14ac:dyDescent="0.2">
      <c r="A78" s="4">
        <v>9</v>
      </c>
      <c r="B78" s="4" t="s">
        <v>222</v>
      </c>
      <c r="C78" s="4" t="s">
        <v>223</v>
      </c>
      <c r="D78" s="4" t="s">
        <v>64</v>
      </c>
      <c r="E78" s="4" t="s">
        <v>224</v>
      </c>
    </row>
    <row r="79" spans="1:5" x14ac:dyDescent="0.2">
      <c r="A79" s="4">
        <v>9</v>
      </c>
      <c r="B79" s="4" t="s">
        <v>222</v>
      </c>
      <c r="C79" s="4" t="s">
        <v>225</v>
      </c>
      <c r="D79" s="4" t="s">
        <v>64</v>
      </c>
      <c r="E79" s="4" t="s">
        <v>226</v>
      </c>
    </row>
    <row r="80" spans="1:5" x14ac:dyDescent="0.2">
      <c r="A80" s="4">
        <v>9</v>
      </c>
      <c r="B80" s="4" t="s">
        <v>222</v>
      </c>
      <c r="C80" s="4" t="s">
        <v>227</v>
      </c>
      <c r="D80" s="4" t="s">
        <v>64</v>
      </c>
      <c r="E80" s="4" t="s">
        <v>228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5" sqref="C5"/>
    </sheetView>
  </sheetViews>
  <sheetFormatPr defaultRowHeight="14.25" x14ac:dyDescent="0.2"/>
  <cols>
    <col min="2" max="2" width="24.25" customWidth="1"/>
    <col min="3" max="3" width="123.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ht="57" x14ac:dyDescent="0.2">
      <c r="A2">
        <v>1</v>
      </c>
      <c r="B2" s="3" t="s">
        <v>414</v>
      </c>
      <c r="C2" s="3" t="s">
        <v>413</v>
      </c>
    </row>
    <row r="3" spans="1:3" ht="213.75" x14ac:dyDescent="0.2">
      <c r="A3">
        <v>9</v>
      </c>
      <c r="B3" s="3" t="s">
        <v>43</v>
      </c>
      <c r="C3" s="3" t="s">
        <v>477</v>
      </c>
    </row>
    <row r="4" spans="1:3" x14ac:dyDescent="0.2">
      <c r="A4">
        <v>3</v>
      </c>
      <c r="B4" s="3" t="s">
        <v>7</v>
      </c>
      <c r="C4" s="3" t="s">
        <v>45</v>
      </c>
    </row>
    <row r="5" spans="1:3" ht="28.5" x14ac:dyDescent="0.2">
      <c r="B5" s="3" t="s">
        <v>46</v>
      </c>
      <c r="C5" s="3" t="s">
        <v>47</v>
      </c>
    </row>
    <row r="6" spans="1:3" ht="28.5" x14ac:dyDescent="0.2">
      <c r="A6">
        <v>4</v>
      </c>
      <c r="B6" s="3" t="s">
        <v>31</v>
      </c>
      <c r="C6" s="3"/>
    </row>
    <row r="7" spans="1:3" x14ac:dyDescent="0.2">
      <c r="A7">
        <v>5</v>
      </c>
      <c r="B7" s="3" t="s">
        <v>11</v>
      </c>
      <c r="C7" s="3"/>
    </row>
    <row r="8" spans="1:3" x14ac:dyDescent="0.2">
      <c r="A8">
        <v>6</v>
      </c>
      <c r="B8" s="3"/>
      <c r="C8" s="3"/>
    </row>
    <row r="9" spans="1:3" x14ac:dyDescent="0.2">
      <c r="A9">
        <v>7</v>
      </c>
      <c r="B9" s="3"/>
      <c r="C9" s="3"/>
    </row>
    <row r="10" spans="1:3" x14ac:dyDescent="0.2">
      <c r="A10">
        <v>8</v>
      </c>
      <c r="B10" s="3"/>
      <c r="C10" s="3"/>
    </row>
    <row r="11" spans="1:3" ht="99.75" x14ac:dyDescent="0.2">
      <c r="B11" s="3" t="s">
        <v>42</v>
      </c>
      <c r="C11" s="3" t="s">
        <v>44</v>
      </c>
    </row>
    <row r="12" spans="1:3" ht="185.25" x14ac:dyDescent="0.2">
      <c r="A12">
        <v>10</v>
      </c>
      <c r="B12" s="3" t="s">
        <v>48</v>
      </c>
      <c r="C12" s="3" t="s">
        <v>49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21" sqref="C21"/>
    </sheetView>
  </sheetViews>
  <sheetFormatPr defaultRowHeight="14.25" x14ac:dyDescent="0.2"/>
  <cols>
    <col min="3" max="3" width="104.625" customWidth="1"/>
  </cols>
  <sheetData>
    <row r="1" spans="1:3" x14ac:dyDescent="0.2">
      <c r="A1" t="s">
        <v>12</v>
      </c>
      <c r="B1" t="s">
        <v>1</v>
      </c>
      <c r="C1" t="s">
        <v>13</v>
      </c>
    </row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17</v>
      </c>
      <c r="B3" t="s">
        <v>15</v>
      </c>
      <c r="C3" t="s">
        <v>18</v>
      </c>
    </row>
    <row r="4" spans="1:3" x14ac:dyDescent="0.2">
      <c r="A4" t="s">
        <v>19</v>
      </c>
      <c r="B4" t="s">
        <v>15</v>
      </c>
      <c r="C4" t="s">
        <v>20</v>
      </c>
    </row>
    <row r="5" spans="1:3" x14ac:dyDescent="0.2">
      <c r="A5" t="s">
        <v>19</v>
      </c>
      <c r="B5" t="s">
        <v>21</v>
      </c>
      <c r="C5" t="s">
        <v>22</v>
      </c>
    </row>
    <row r="6" spans="1:3" x14ac:dyDescent="0.2">
      <c r="A6" t="s">
        <v>23</v>
      </c>
      <c r="B6" t="s">
        <v>24</v>
      </c>
      <c r="C6" t="s">
        <v>29</v>
      </c>
    </row>
    <row r="7" spans="1:3" x14ac:dyDescent="0.2">
      <c r="A7" t="s">
        <v>25</v>
      </c>
      <c r="B7" t="s">
        <v>26</v>
      </c>
      <c r="C7" t="s">
        <v>27</v>
      </c>
    </row>
    <row r="8" spans="1:3" x14ac:dyDescent="0.2">
      <c r="A8" t="s">
        <v>25</v>
      </c>
      <c r="B8" t="s">
        <v>28</v>
      </c>
      <c r="C8" t="s">
        <v>30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C20" sqref="C20"/>
    </sheetView>
  </sheetViews>
  <sheetFormatPr defaultRowHeight="14.25" x14ac:dyDescent="0.2"/>
  <cols>
    <col min="1" max="1" width="16" bestFit="1" customWidth="1"/>
    <col min="2" max="2" width="7.25" bestFit="1" customWidth="1"/>
    <col min="3" max="3" width="77.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43539.375</v>
      </c>
      <c r="B2" s="2">
        <v>43538</v>
      </c>
      <c r="C2" s="3" t="s">
        <v>3</v>
      </c>
    </row>
    <row r="3" spans="1:3" x14ac:dyDescent="0.2">
      <c r="A3" s="1">
        <v>43539.525000000001</v>
      </c>
      <c r="B3" s="2">
        <v>43545</v>
      </c>
      <c r="C3" s="3" t="s">
        <v>6</v>
      </c>
    </row>
    <row r="4" spans="1:3" x14ac:dyDescent="0.2">
      <c r="A4" s="1">
        <v>43539.525000000001</v>
      </c>
      <c r="B4" s="2">
        <v>43545</v>
      </c>
      <c r="C4" s="3" t="s">
        <v>4</v>
      </c>
    </row>
    <row r="5" spans="1:3" x14ac:dyDescent="0.2">
      <c r="A5" s="1">
        <v>43539.683333333334</v>
      </c>
      <c r="B5" s="2">
        <v>43543</v>
      </c>
      <c r="C5" s="3" t="s">
        <v>5</v>
      </c>
    </row>
    <row r="6" spans="1:3" ht="28.5" x14ac:dyDescent="0.2">
      <c r="A6" s="1">
        <v>43542.364583333336</v>
      </c>
      <c r="B6" s="2">
        <v>43543</v>
      </c>
      <c r="C6" s="3" t="s">
        <v>32</v>
      </c>
    </row>
    <row r="7" spans="1:3" x14ac:dyDescent="0.2">
      <c r="A7" s="1">
        <v>43542.390972222223</v>
      </c>
      <c r="B7" s="2"/>
      <c r="C7" s="3" t="s">
        <v>33</v>
      </c>
    </row>
    <row r="8" spans="1:3" x14ac:dyDescent="0.2">
      <c r="A8" s="1">
        <v>43542.402777777781</v>
      </c>
      <c r="B8" s="2">
        <v>43551</v>
      </c>
      <c r="C8" s="3" t="s">
        <v>34</v>
      </c>
    </row>
    <row r="9" spans="1:3" x14ac:dyDescent="0.2">
      <c r="A9" s="1">
        <v>43542.40347222222</v>
      </c>
      <c r="B9" s="2">
        <v>43546</v>
      </c>
      <c r="C9" s="3" t="s">
        <v>35</v>
      </c>
    </row>
    <row r="10" spans="1:3" x14ac:dyDescent="0.2">
      <c r="A10" s="1">
        <v>43542.461111111108</v>
      </c>
      <c r="B10" s="2"/>
      <c r="C10" s="3" t="s">
        <v>36</v>
      </c>
    </row>
    <row r="11" spans="1:3" x14ac:dyDescent="0.2">
      <c r="A11" s="1">
        <v>43542.535416666666</v>
      </c>
      <c r="B11" s="2"/>
      <c r="C11" s="3" t="s">
        <v>37</v>
      </c>
    </row>
    <row r="12" spans="1:3" x14ac:dyDescent="0.2">
      <c r="A12" s="1">
        <v>43542.554166666669</v>
      </c>
      <c r="B12" s="2">
        <v>43543</v>
      </c>
      <c r="C12" s="3" t="s">
        <v>38</v>
      </c>
    </row>
    <row r="13" spans="1:3" x14ac:dyDescent="0.2">
      <c r="A13" s="1">
        <v>43542.56527777778</v>
      </c>
      <c r="B13" s="2">
        <v>43545</v>
      </c>
      <c r="C13" s="3" t="s">
        <v>39</v>
      </c>
    </row>
    <row r="14" spans="1:3" x14ac:dyDescent="0.2">
      <c r="A14" s="1">
        <v>43542.664583333331</v>
      </c>
      <c r="B14" s="2">
        <v>43545</v>
      </c>
      <c r="C14" s="3" t="s">
        <v>41</v>
      </c>
    </row>
    <row r="15" spans="1:3" x14ac:dyDescent="0.2">
      <c r="A15" s="1">
        <v>43543.369444444441</v>
      </c>
      <c r="B15" s="2">
        <v>43545</v>
      </c>
      <c r="C15" s="3" t="s">
        <v>40</v>
      </c>
    </row>
    <row r="16" spans="1:3" x14ac:dyDescent="0.2">
      <c r="A16" s="1">
        <v>43543.541666666664</v>
      </c>
      <c r="B16" s="2">
        <v>43545</v>
      </c>
      <c r="C16" s="3" t="s">
        <v>50</v>
      </c>
    </row>
    <row r="17" spans="1:3" x14ac:dyDescent="0.2">
      <c r="A17" s="1">
        <v>43543.666666666664</v>
      </c>
      <c r="B17" s="2">
        <v>43548</v>
      </c>
      <c r="C17" s="3" t="s">
        <v>51</v>
      </c>
    </row>
    <row r="18" spans="1:3" x14ac:dyDescent="0.2">
      <c r="A18" s="1"/>
      <c r="B18" s="2"/>
      <c r="C18" s="3"/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x14ac:dyDescent="0.2">
      <c r="A31" s="1"/>
      <c r="B31" s="2"/>
      <c r="C31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47D8-AE1C-488F-B4CB-0904A2F7146C}">
  <dimension ref="B1:V44"/>
  <sheetViews>
    <sheetView zoomScaleNormal="100" workbookViewId="0">
      <pane ySplit="1" topLeftCell="A2" activePane="bottomLeft" state="frozen"/>
      <selection activeCell="D1" sqref="D1"/>
      <selection pane="bottomLeft" activeCell="G15" sqref="G15"/>
    </sheetView>
  </sheetViews>
  <sheetFormatPr defaultRowHeight="12.75" x14ac:dyDescent="0.2"/>
  <cols>
    <col min="1" max="1" width="9" style="6"/>
    <col min="2" max="2" width="6.375" style="6" customWidth="1"/>
    <col min="3" max="3" width="21.625" style="6" customWidth="1"/>
    <col min="4" max="4" width="5.125" style="6" customWidth="1"/>
    <col min="5" max="5" width="11.375" style="6" customWidth="1"/>
    <col min="6" max="6" width="15.125" style="6" customWidth="1"/>
    <col min="7" max="7" width="14.625" style="6" bestFit="1" customWidth="1"/>
    <col min="8" max="8" width="17" style="6" bestFit="1" customWidth="1"/>
    <col min="9" max="9" width="17.75" style="6" bestFit="1" customWidth="1"/>
    <col min="10" max="10" width="5.125" style="6" bestFit="1" customWidth="1"/>
    <col min="11" max="11" width="8.5" style="6" bestFit="1" customWidth="1"/>
    <col min="12" max="12" width="6.75" style="6" bestFit="1" customWidth="1"/>
    <col min="13" max="13" width="44.25" style="6" bestFit="1" customWidth="1"/>
    <col min="14" max="14" width="11.875" style="6" bestFit="1" customWidth="1"/>
    <col min="15" max="15" width="10.25" style="6" bestFit="1" customWidth="1"/>
    <col min="16" max="16" width="6" style="6" bestFit="1" customWidth="1"/>
    <col min="17" max="17" width="8.5" style="6" bestFit="1" customWidth="1"/>
    <col min="18" max="18" width="6.75" style="6" bestFit="1" customWidth="1"/>
    <col min="19" max="19" width="10" style="6" bestFit="1" customWidth="1"/>
    <col min="20" max="22" width="8.375" style="6" bestFit="1" customWidth="1"/>
    <col min="23" max="16384" width="9" style="6"/>
  </cols>
  <sheetData>
    <row r="1" spans="2:22" x14ac:dyDescent="0.2">
      <c r="B1" s="6" t="s">
        <v>229</v>
      </c>
      <c r="C1" s="6" t="s">
        <v>230</v>
      </c>
      <c r="D1" s="6" t="s">
        <v>231</v>
      </c>
      <c r="E1" s="6" t="s">
        <v>482</v>
      </c>
      <c r="F1" s="6" t="s">
        <v>232</v>
      </c>
      <c r="G1" s="6" t="s">
        <v>498</v>
      </c>
      <c r="H1" s="6" t="s">
        <v>233</v>
      </c>
      <c r="I1" s="6" t="s">
        <v>234</v>
      </c>
      <c r="J1" s="6" t="s">
        <v>237</v>
      </c>
      <c r="K1" s="6" t="s">
        <v>238</v>
      </c>
      <c r="L1" s="6" t="s">
        <v>239</v>
      </c>
      <c r="M1" s="6" t="s">
        <v>240</v>
      </c>
      <c r="N1" s="6" t="s">
        <v>235</v>
      </c>
      <c r="O1" s="6" t="s">
        <v>236</v>
      </c>
      <c r="P1" s="6" t="s">
        <v>467</v>
      </c>
      <c r="Q1" s="6" t="s">
        <v>468</v>
      </c>
      <c r="R1" s="6" t="s">
        <v>469</v>
      </c>
      <c r="S1" s="6" t="s">
        <v>478</v>
      </c>
      <c r="T1" s="6" t="s">
        <v>479</v>
      </c>
      <c r="U1" s="6" t="s">
        <v>480</v>
      </c>
      <c r="V1" s="6" t="s">
        <v>481</v>
      </c>
    </row>
    <row r="2" spans="2:22" ht="25.5" x14ac:dyDescent="0.2">
      <c r="B2" s="7">
        <v>43545</v>
      </c>
      <c r="C2" s="8" t="s">
        <v>241</v>
      </c>
      <c r="D2" s="8">
        <v>1</v>
      </c>
      <c r="E2" s="8" t="s">
        <v>483</v>
      </c>
      <c r="F2" s="8" t="s">
        <v>242</v>
      </c>
      <c r="G2" s="8"/>
      <c r="H2" s="8" t="s">
        <v>242</v>
      </c>
      <c r="I2" s="8" t="s">
        <v>243</v>
      </c>
      <c r="J2" s="8">
        <v>1</v>
      </c>
      <c r="K2" s="8">
        <v>354.5</v>
      </c>
      <c r="L2" s="8">
        <v>0.9</v>
      </c>
      <c r="M2" s="9" t="s">
        <v>245</v>
      </c>
      <c r="N2" s="8" t="s">
        <v>244</v>
      </c>
      <c r="O2" s="26" t="s">
        <v>411</v>
      </c>
      <c r="P2" s="8">
        <f>表1_8[[#This Row],[件]]</f>
        <v>1</v>
      </c>
      <c r="Q2" s="8">
        <f>表1_8[[#This Row],[毛]]</f>
        <v>354.5</v>
      </c>
      <c r="R2" s="8">
        <f>表1_8[[#This Row],[体]]</f>
        <v>0.9</v>
      </c>
      <c r="S2" s="8"/>
      <c r="T2" s="8"/>
      <c r="U2" s="8"/>
      <c r="V2" s="8"/>
    </row>
    <row r="3" spans="2:22" ht="25.5" x14ac:dyDescent="0.2">
      <c r="B3" s="7">
        <v>43545</v>
      </c>
      <c r="C3" s="8" t="s">
        <v>241</v>
      </c>
      <c r="D3" s="8">
        <v>2</v>
      </c>
      <c r="E3" s="8" t="s">
        <v>484</v>
      </c>
      <c r="F3" s="8" t="s">
        <v>246</v>
      </c>
      <c r="G3" s="8"/>
      <c r="H3" s="8" t="s">
        <v>247</v>
      </c>
      <c r="I3" s="8" t="s">
        <v>248</v>
      </c>
      <c r="J3" s="8">
        <v>9</v>
      </c>
      <c r="K3" s="8">
        <v>2500</v>
      </c>
      <c r="L3" s="8">
        <v>12.2</v>
      </c>
      <c r="M3" s="9" t="s">
        <v>250</v>
      </c>
      <c r="N3" s="8" t="s">
        <v>249</v>
      </c>
      <c r="O3" s="26" t="s">
        <v>412</v>
      </c>
      <c r="P3" s="8">
        <f>表1_8[[#This Row],[件]]</f>
        <v>9</v>
      </c>
      <c r="Q3" s="8">
        <f>表1_8[[#This Row],[毛]]</f>
        <v>2500</v>
      </c>
      <c r="R3" s="8">
        <f>表1_8[[#This Row],[体]]</f>
        <v>12.2</v>
      </c>
      <c r="S3" s="8"/>
      <c r="T3" s="8"/>
      <c r="U3" s="8"/>
      <c r="V3" s="8"/>
    </row>
    <row r="4" spans="2:22" ht="38.25" hidden="1" x14ac:dyDescent="0.2">
      <c r="B4" s="7">
        <v>43545</v>
      </c>
      <c r="C4" s="8" t="s">
        <v>241</v>
      </c>
      <c r="D4" s="8">
        <v>3</v>
      </c>
      <c r="E4" s="8" t="s">
        <v>484</v>
      </c>
      <c r="F4" s="8" t="s">
        <v>255</v>
      </c>
      <c r="G4" s="8" t="s">
        <v>246</v>
      </c>
      <c r="H4" s="8" t="s">
        <v>256</v>
      </c>
      <c r="I4" s="8" t="s">
        <v>257</v>
      </c>
      <c r="J4" s="8">
        <v>5</v>
      </c>
      <c r="K4" s="8">
        <v>450</v>
      </c>
      <c r="L4" s="8">
        <v>5.4</v>
      </c>
      <c r="M4" s="9" t="s">
        <v>258</v>
      </c>
      <c r="N4" s="8" t="s">
        <v>249</v>
      </c>
      <c r="O4" s="26" t="s">
        <v>412</v>
      </c>
      <c r="P4" s="8">
        <f>表1_8[[#This Row],[件]]</f>
        <v>5</v>
      </c>
      <c r="Q4" s="8">
        <f>表1_8[[#This Row],[毛]]</f>
        <v>450</v>
      </c>
      <c r="R4" s="8">
        <f>表1_8[[#This Row],[体]]</f>
        <v>5.4</v>
      </c>
      <c r="S4" s="8"/>
      <c r="T4" s="8"/>
      <c r="U4" s="8"/>
      <c r="V4" s="8"/>
    </row>
    <row r="5" spans="2:22" x14ac:dyDescent="0.2">
      <c r="B5" s="7">
        <v>43545</v>
      </c>
      <c r="C5" s="8" t="s">
        <v>241</v>
      </c>
      <c r="D5" s="8">
        <v>4</v>
      </c>
      <c r="E5" s="8" t="s">
        <v>485</v>
      </c>
      <c r="F5" s="8" t="s">
        <v>259</v>
      </c>
      <c r="G5" s="8"/>
      <c r="H5" s="8" t="s">
        <v>260</v>
      </c>
      <c r="I5" s="8" t="s">
        <v>261</v>
      </c>
      <c r="J5" s="8">
        <v>1</v>
      </c>
      <c r="K5" s="8">
        <v>336</v>
      </c>
      <c r="L5" s="8">
        <v>0.33</v>
      </c>
      <c r="M5" s="9" t="s">
        <v>262</v>
      </c>
      <c r="N5" s="8" t="s">
        <v>244</v>
      </c>
      <c r="O5" s="26" t="s">
        <v>411</v>
      </c>
      <c r="P5" s="8">
        <f>表1_8[[#This Row],[件]]</f>
        <v>1</v>
      </c>
      <c r="Q5" s="8">
        <f>表1_8[[#This Row],[毛]]</f>
        <v>336</v>
      </c>
      <c r="R5" s="8">
        <f>表1_8[[#This Row],[体]]</f>
        <v>0.33</v>
      </c>
      <c r="S5" s="8"/>
      <c r="T5" s="8"/>
      <c r="U5" s="8"/>
      <c r="V5" s="8"/>
    </row>
    <row r="6" spans="2:22" x14ac:dyDescent="0.2">
      <c r="B6" s="7">
        <v>43545</v>
      </c>
      <c r="C6" s="8" t="s">
        <v>241</v>
      </c>
      <c r="D6" s="8">
        <v>5</v>
      </c>
      <c r="E6" s="8" t="s">
        <v>486</v>
      </c>
      <c r="F6" s="8" t="s">
        <v>263</v>
      </c>
      <c r="G6" s="8"/>
      <c r="H6" s="8" t="s">
        <v>264</v>
      </c>
      <c r="I6" s="8" t="s">
        <v>265</v>
      </c>
      <c r="J6" s="8">
        <v>2</v>
      </c>
      <c r="K6" s="8">
        <v>581.20000000000005</v>
      </c>
      <c r="L6" s="8">
        <v>3.44</v>
      </c>
      <c r="M6" s="9" t="s">
        <v>266</v>
      </c>
      <c r="N6" s="8" t="s">
        <v>244</v>
      </c>
      <c r="O6" s="26" t="s">
        <v>411</v>
      </c>
      <c r="P6" s="8">
        <f>表1_8[[#This Row],[件]]</f>
        <v>2</v>
      </c>
      <c r="Q6" s="8">
        <f>表1_8[[#This Row],[毛]]</f>
        <v>581.20000000000005</v>
      </c>
      <c r="R6" s="8">
        <f>表1_8[[#This Row],[体]]</f>
        <v>3.44</v>
      </c>
      <c r="S6" s="8"/>
      <c r="T6" s="8"/>
      <c r="U6" s="8"/>
      <c r="V6" s="8"/>
    </row>
    <row r="7" spans="2:22" x14ac:dyDescent="0.2">
      <c r="B7" s="7">
        <v>43545</v>
      </c>
      <c r="C7" s="8" t="s">
        <v>241</v>
      </c>
      <c r="D7" s="8">
        <v>6</v>
      </c>
      <c r="E7" s="8" t="s">
        <v>487</v>
      </c>
      <c r="F7" s="8" t="s">
        <v>267</v>
      </c>
      <c r="G7" s="8"/>
      <c r="H7" s="8" t="s">
        <v>268</v>
      </c>
      <c r="I7" s="8" t="s">
        <v>269</v>
      </c>
      <c r="J7" s="8">
        <v>5</v>
      </c>
      <c r="K7" s="8">
        <v>2202</v>
      </c>
      <c r="L7" s="8">
        <v>4.7869999999999999</v>
      </c>
      <c r="M7" s="9" t="s">
        <v>270</v>
      </c>
      <c r="N7" s="8" t="s">
        <v>244</v>
      </c>
      <c r="O7" s="26" t="s">
        <v>411</v>
      </c>
      <c r="P7" s="8">
        <f>表1_8[[#This Row],[件]]</f>
        <v>5</v>
      </c>
      <c r="Q7" s="8">
        <f>表1_8[[#This Row],[毛]]</f>
        <v>2202</v>
      </c>
      <c r="R7" s="8">
        <f>表1_8[[#This Row],[体]]</f>
        <v>4.7869999999999999</v>
      </c>
      <c r="S7" s="8"/>
      <c r="T7" s="8"/>
      <c r="U7" s="8"/>
      <c r="V7" s="8"/>
    </row>
    <row r="8" spans="2:22" hidden="1" x14ac:dyDescent="0.2">
      <c r="B8" s="7">
        <v>43545</v>
      </c>
      <c r="C8" s="8" t="s">
        <v>241</v>
      </c>
      <c r="D8" s="8">
        <v>7</v>
      </c>
      <c r="E8" s="8" t="s">
        <v>484</v>
      </c>
      <c r="F8" s="8" t="s">
        <v>271</v>
      </c>
      <c r="G8" s="8" t="s">
        <v>246</v>
      </c>
      <c r="H8" s="8" t="s">
        <v>272</v>
      </c>
      <c r="I8" s="8" t="s">
        <v>273</v>
      </c>
      <c r="J8" s="8">
        <v>12</v>
      </c>
      <c r="K8" s="8">
        <v>660</v>
      </c>
      <c r="L8" s="8">
        <v>16.239999999999998</v>
      </c>
      <c r="M8" s="9" t="s">
        <v>274</v>
      </c>
      <c r="N8" s="8" t="s">
        <v>249</v>
      </c>
      <c r="O8" s="26" t="s">
        <v>412</v>
      </c>
      <c r="P8" s="8">
        <f>表1_8[[#This Row],[件]]</f>
        <v>12</v>
      </c>
      <c r="Q8" s="8">
        <f>表1_8[[#This Row],[毛]]</f>
        <v>660</v>
      </c>
      <c r="R8" s="8">
        <f>表1_8[[#This Row],[体]]</f>
        <v>16.239999999999998</v>
      </c>
      <c r="S8" s="8"/>
      <c r="T8" s="8"/>
      <c r="U8" s="8"/>
      <c r="V8" s="8"/>
    </row>
    <row r="9" spans="2:22" hidden="1" x14ac:dyDescent="0.2">
      <c r="B9" s="7">
        <v>43545</v>
      </c>
      <c r="C9" s="8" t="s">
        <v>241</v>
      </c>
      <c r="D9" s="8">
        <v>8</v>
      </c>
      <c r="E9" s="8" t="s">
        <v>484</v>
      </c>
      <c r="F9" s="8" t="s">
        <v>271</v>
      </c>
      <c r="G9" s="8" t="s">
        <v>246</v>
      </c>
      <c r="H9" s="8" t="s">
        <v>275</v>
      </c>
      <c r="I9" s="8" t="s">
        <v>276</v>
      </c>
      <c r="J9" s="8">
        <v>3</v>
      </c>
      <c r="K9" s="8">
        <v>277.60000000000002</v>
      </c>
      <c r="L9" s="8">
        <v>3.28</v>
      </c>
      <c r="M9" s="9" t="s">
        <v>274</v>
      </c>
      <c r="N9" s="8" t="s">
        <v>249</v>
      </c>
      <c r="O9" s="26" t="s">
        <v>412</v>
      </c>
      <c r="P9" s="8">
        <f>表1_8[[#This Row],[件]]</f>
        <v>3</v>
      </c>
      <c r="Q9" s="8">
        <f>表1_8[[#This Row],[毛]]</f>
        <v>277.60000000000002</v>
      </c>
      <c r="R9" s="8">
        <f>表1_8[[#This Row],[体]]</f>
        <v>3.28</v>
      </c>
      <c r="S9" s="8"/>
      <c r="T9" s="8"/>
      <c r="U9" s="8"/>
      <c r="V9" s="8"/>
    </row>
    <row r="10" spans="2:22" ht="25.5" x14ac:dyDescent="0.2">
      <c r="B10" s="7">
        <v>43545</v>
      </c>
      <c r="C10" s="8" t="s">
        <v>241</v>
      </c>
      <c r="D10" s="8">
        <v>9</v>
      </c>
      <c r="E10" s="8" t="s">
        <v>332</v>
      </c>
      <c r="F10" s="8" t="s">
        <v>277</v>
      </c>
      <c r="G10" s="8"/>
      <c r="H10" s="8" t="s">
        <v>278</v>
      </c>
      <c r="I10" s="8" t="s">
        <v>279</v>
      </c>
      <c r="J10" s="8">
        <v>11</v>
      </c>
      <c r="K10" s="8">
        <v>220</v>
      </c>
      <c r="L10" s="8">
        <v>1.1000000000000001</v>
      </c>
      <c r="M10" s="9" t="s">
        <v>280</v>
      </c>
      <c r="N10" s="8" t="s">
        <v>244</v>
      </c>
      <c r="O10" s="26" t="s">
        <v>411</v>
      </c>
      <c r="P10" s="8">
        <f>表1_8[[#This Row],[件]]</f>
        <v>11</v>
      </c>
      <c r="Q10" s="8">
        <f>表1_8[[#This Row],[毛]]</f>
        <v>220</v>
      </c>
      <c r="R10" s="8">
        <f>表1_8[[#This Row],[体]]</f>
        <v>1.1000000000000001</v>
      </c>
      <c r="S10" s="8"/>
      <c r="T10" s="8"/>
      <c r="U10" s="8"/>
      <c r="V10" s="8"/>
    </row>
    <row r="11" spans="2:22" x14ac:dyDescent="0.2">
      <c r="B11" s="7">
        <v>43545</v>
      </c>
      <c r="C11" s="8" t="s">
        <v>241</v>
      </c>
      <c r="D11" s="8">
        <v>10</v>
      </c>
      <c r="E11" s="8" t="s">
        <v>488</v>
      </c>
      <c r="F11" s="8" t="s">
        <v>281</v>
      </c>
      <c r="G11" s="8"/>
      <c r="H11" s="8" t="s">
        <v>282</v>
      </c>
      <c r="I11" s="8" t="s">
        <v>283</v>
      </c>
      <c r="J11" s="8">
        <v>3</v>
      </c>
      <c r="K11" s="8">
        <v>670</v>
      </c>
      <c r="L11" s="8">
        <v>2.85</v>
      </c>
      <c r="M11" s="9" t="s">
        <v>284</v>
      </c>
      <c r="N11" s="8" t="s">
        <v>249</v>
      </c>
      <c r="O11" s="26" t="s">
        <v>412</v>
      </c>
      <c r="P11" s="8">
        <f>表1_8[[#This Row],[件]]</f>
        <v>3</v>
      </c>
      <c r="Q11" s="8">
        <f>表1_8[[#This Row],[毛]]</f>
        <v>670</v>
      </c>
      <c r="R11" s="8">
        <f>表1_8[[#This Row],[体]]</f>
        <v>2.85</v>
      </c>
      <c r="S11" s="8"/>
      <c r="T11" s="8"/>
      <c r="U11" s="8"/>
      <c r="V11" s="8"/>
    </row>
    <row r="12" spans="2:22" ht="25.5" x14ac:dyDescent="0.2">
      <c r="B12" s="7">
        <v>43545</v>
      </c>
      <c r="C12" s="8" t="s">
        <v>241</v>
      </c>
      <c r="D12" s="8">
        <v>11</v>
      </c>
      <c r="E12" s="8" t="s">
        <v>489</v>
      </c>
      <c r="F12" s="8" t="s">
        <v>285</v>
      </c>
      <c r="G12" s="8"/>
      <c r="H12" s="8" t="s">
        <v>286</v>
      </c>
      <c r="I12" s="8" t="s">
        <v>287</v>
      </c>
      <c r="J12" s="8">
        <v>2</v>
      </c>
      <c r="K12" s="8">
        <v>147</v>
      </c>
      <c r="L12" s="8">
        <v>2.4</v>
      </c>
      <c r="M12" s="9" t="s">
        <v>288</v>
      </c>
      <c r="N12" s="8" t="s">
        <v>244</v>
      </c>
      <c r="O12" s="26" t="s">
        <v>411</v>
      </c>
      <c r="P12" s="8">
        <f>表1_8[[#This Row],[件]]</f>
        <v>2</v>
      </c>
      <c r="Q12" s="8">
        <f>表1_8[[#This Row],[毛]]</f>
        <v>147</v>
      </c>
      <c r="R12" s="8">
        <f>表1_8[[#This Row],[体]]</f>
        <v>2.4</v>
      </c>
      <c r="S12" s="8"/>
      <c r="T12" s="8"/>
      <c r="U12" s="8"/>
      <c r="V12" s="8"/>
    </row>
    <row r="13" spans="2:22" x14ac:dyDescent="0.2">
      <c r="B13" s="7">
        <v>43545</v>
      </c>
      <c r="C13" s="8" t="s">
        <v>241</v>
      </c>
      <c r="D13" s="8">
        <v>12</v>
      </c>
      <c r="E13" s="8" t="s">
        <v>490</v>
      </c>
      <c r="F13" s="8" t="s">
        <v>289</v>
      </c>
      <c r="G13" s="8"/>
      <c r="H13" s="8" t="s">
        <v>290</v>
      </c>
      <c r="I13" s="8" t="s">
        <v>291</v>
      </c>
      <c r="J13" s="8">
        <v>3</v>
      </c>
      <c r="K13" s="8">
        <v>20</v>
      </c>
      <c r="L13" s="8">
        <v>0.19</v>
      </c>
      <c r="M13" s="9" t="s">
        <v>292</v>
      </c>
      <c r="N13" s="8" t="s">
        <v>249</v>
      </c>
      <c r="O13" s="26" t="s">
        <v>412</v>
      </c>
      <c r="P13" s="8">
        <f>表1_8[[#This Row],[件]]</f>
        <v>3</v>
      </c>
      <c r="Q13" s="8">
        <f>表1_8[[#This Row],[毛]]</f>
        <v>20</v>
      </c>
      <c r="R13" s="8">
        <f>表1_8[[#This Row],[体]]</f>
        <v>0.19</v>
      </c>
      <c r="S13" s="8"/>
      <c r="T13" s="8"/>
      <c r="U13" s="8"/>
      <c r="V13" s="8"/>
    </row>
    <row r="14" spans="2:22" x14ac:dyDescent="0.2">
      <c r="B14" s="7">
        <v>43545</v>
      </c>
      <c r="C14" s="8" t="s">
        <v>241</v>
      </c>
      <c r="D14" s="8">
        <v>13</v>
      </c>
      <c r="E14" s="8" t="s">
        <v>491</v>
      </c>
      <c r="F14" s="8" t="s">
        <v>293</v>
      </c>
      <c r="G14" s="8"/>
      <c r="H14" s="8" t="s">
        <v>294</v>
      </c>
      <c r="I14" s="8" t="s">
        <v>295</v>
      </c>
      <c r="J14" s="8">
        <v>1</v>
      </c>
      <c r="K14" s="8">
        <v>108</v>
      </c>
      <c r="L14" s="8">
        <v>1.1100000000000001</v>
      </c>
      <c r="M14" s="9" t="s">
        <v>296</v>
      </c>
      <c r="N14" s="8" t="s">
        <v>249</v>
      </c>
      <c r="O14" s="26" t="s">
        <v>412</v>
      </c>
      <c r="P14" s="8">
        <f>表1_8[[#This Row],[件]]</f>
        <v>1</v>
      </c>
      <c r="Q14" s="8">
        <f>表1_8[[#This Row],[毛]]</f>
        <v>108</v>
      </c>
      <c r="R14" s="8">
        <f>表1_8[[#This Row],[体]]</f>
        <v>1.1100000000000001</v>
      </c>
      <c r="S14" s="8"/>
      <c r="T14" s="8"/>
      <c r="U14" s="8"/>
      <c r="V14" s="8"/>
    </row>
    <row r="15" spans="2:22" x14ac:dyDescent="0.2">
      <c r="B15" s="7">
        <v>43545</v>
      </c>
      <c r="C15" s="8" t="s">
        <v>241</v>
      </c>
      <c r="D15" s="8">
        <v>14</v>
      </c>
      <c r="E15" s="8" t="s">
        <v>492</v>
      </c>
      <c r="F15" s="8" t="s">
        <v>297</v>
      </c>
      <c r="G15" s="8"/>
      <c r="H15" s="8" t="s">
        <v>298</v>
      </c>
      <c r="I15" s="8" t="s">
        <v>299</v>
      </c>
      <c r="J15" s="8">
        <v>11</v>
      </c>
      <c r="K15" s="8">
        <v>8569</v>
      </c>
      <c r="L15" s="8">
        <v>5.22</v>
      </c>
      <c r="M15" s="9" t="s">
        <v>300</v>
      </c>
      <c r="N15" s="8" t="s">
        <v>244</v>
      </c>
      <c r="O15" s="26" t="s">
        <v>411</v>
      </c>
      <c r="P15" s="8">
        <f>表1_8[[#This Row],[件]]</f>
        <v>11</v>
      </c>
      <c r="Q15" s="8">
        <f>表1_8[[#This Row],[毛]]</f>
        <v>8569</v>
      </c>
      <c r="R15" s="8">
        <f>表1_8[[#This Row],[体]]</f>
        <v>5.22</v>
      </c>
      <c r="S15" s="8"/>
      <c r="T15" s="8"/>
      <c r="U15" s="8"/>
      <c r="V15" s="8"/>
    </row>
    <row r="16" spans="2:22" x14ac:dyDescent="0.2">
      <c r="B16" s="7">
        <v>43545</v>
      </c>
      <c r="C16" s="8" t="s">
        <v>241</v>
      </c>
      <c r="D16" s="8">
        <v>15</v>
      </c>
      <c r="E16" s="8" t="s">
        <v>326</v>
      </c>
      <c r="F16" s="8" t="s">
        <v>301</v>
      </c>
      <c r="G16" s="8"/>
      <c r="H16" s="8" t="s">
        <v>302</v>
      </c>
      <c r="I16" s="8" t="s">
        <v>303</v>
      </c>
      <c r="J16" s="8">
        <v>70</v>
      </c>
      <c r="K16" s="8">
        <v>988.24</v>
      </c>
      <c r="L16" s="8">
        <v>2.78</v>
      </c>
      <c r="M16" s="9" t="s">
        <v>304</v>
      </c>
      <c r="N16" s="8" t="s">
        <v>244</v>
      </c>
      <c r="O16" s="26" t="s">
        <v>411</v>
      </c>
      <c r="P16" s="8">
        <f>表1_8[[#This Row],[件]]</f>
        <v>70</v>
      </c>
      <c r="Q16" s="8">
        <f>表1_8[[#This Row],[毛]]</f>
        <v>988.24</v>
      </c>
      <c r="R16" s="8">
        <f>表1_8[[#This Row],[体]]</f>
        <v>2.78</v>
      </c>
      <c r="S16" s="8"/>
      <c r="T16" s="8"/>
      <c r="U16" s="8"/>
      <c r="V16" s="8"/>
    </row>
    <row r="17" spans="2:22" ht="89.25" x14ac:dyDescent="0.2">
      <c r="B17" s="7">
        <v>43545</v>
      </c>
      <c r="C17" s="8" t="s">
        <v>241</v>
      </c>
      <c r="D17" s="8">
        <v>16</v>
      </c>
      <c r="E17" s="8" t="s">
        <v>345</v>
      </c>
      <c r="F17" s="8" t="s">
        <v>305</v>
      </c>
      <c r="G17" s="8"/>
      <c r="H17" s="8" t="s">
        <v>306</v>
      </c>
      <c r="I17" s="8" t="s">
        <v>307</v>
      </c>
      <c r="J17" s="8">
        <v>91</v>
      </c>
      <c r="K17" s="8">
        <v>392</v>
      </c>
      <c r="L17" s="8">
        <v>3.47</v>
      </c>
      <c r="M17" s="9" t="s">
        <v>308</v>
      </c>
      <c r="N17" s="8" t="s">
        <v>244</v>
      </c>
      <c r="O17" s="26" t="s">
        <v>411</v>
      </c>
      <c r="P17" s="8">
        <f>表1_8[[#This Row],[件]]</f>
        <v>91</v>
      </c>
      <c r="Q17" s="8">
        <f>表1_8[[#This Row],[毛]]</f>
        <v>392</v>
      </c>
      <c r="R17" s="8">
        <f>表1_8[[#This Row],[体]]</f>
        <v>3.47</v>
      </c>
      <c r="S17" s="8"/>
      <c r="T17" s="8"/>
      <c r="U17" s="8"/>
      <c r="V17" s="8"/>
    </row>
    <row r="18" spans="2:22" x14ac:dyDescent="0.2">
      <c r="B18" s="7">
        <v>43545</v>
      </c>
      <c r="C18" s="8" t="s">
        <v>241</v>
      </c>
      <c r="D18" s="8">
        <v>17</v>
      </c>
      <c r="E18" s="8" t="s">
        <v>493</v>
      </c>
      <c r="F18" s="8" t="s">
        <v>309</v>
      </c>
      <c r="G18" s="8"/>
      <c r="H18" s="8" t="s">
        <v>310</v>
      </c>
      <c r="I18" s="8" t="s">
        <v>311</v>
      </c>
      <c r="J18" s="8">
        <v>31</v>
      </c>
      <c r="K18" s="8">
        <v>693</v>
      </c>
      <c r="L18" s="8">
        <v>0.32</v>
      </c>
      <c r="M18" s="9" t="s">
        <v>312</v>
      </c>
      <c r="N18" s="8" t="s">
        <v>249</v>
      </c>
      <c r="O18" s="26" t="s">
        <v>412</v>
      </c>
      <c r="P18" s="8">
        <f>表1_8[[#This Row],[件]]</f>
        <v>31</v>
      </c>
      <c r="Q18" s="8">
        <f>表1_8[[#This Row],[毛]]</f>
        <v>693</v>
      </c>
      <c r="R18" s="8">
        <f>表1_8[[#This Row],[体]]</f>
        <v>0.32</v>
      </c>
      <c r="S18" s="8"/>
      <c r="T18" s="8"/>
      <c r="U18" s="8"/>
      <c r="V18" s="8"/>
    </row>
    <row r="19" spans="2:22" x14ac:dyDescent="0.2">
      <c r="B19" s="7">
        <v>43545</v>
      </c>
      <c r="C19" s="8" t="s">
        <v>241</v>
      </c>
      <c r="D19" s="8">
        <v>18</v>
      </c>
      <c r="E19" s="8" t="s">
        <v>494</v>
      </c>
      <c r="F19" s="8" t="s">
        <v>251</v>
      </c>
      <c r="G19" s="8"/>
      <c r="H19" s="8" t="s">
        <v>252</v>
      </c>
      <c r="I19" s="8" t="s">
        <v>253</v>
      </c>
      <c r="J19" s="8">
        <v>1</v>
      </c>
      <c r="K19" s="8">
        <v>4.4000000000000004</v>
      </c>
      <c r="L19" s="8">
        <v>1</v>
      </c>
      <c r="M19" s="9" t="s">
        <v>254</v>
      </c>
      <c r="N19" s="8" t="s">
        <v>244</v>
      </c>
      <c r="O19" s="26" t="s">
        <v>411</v>
      </c>
      <c r="P19" s="8">
        <f>表1_8[[#This Row],[件]]</f>
        <v>1</v>
      </c>
      <c r="Q19" s="8">
        <f>表1_8[[#This Row],[毛]]</f>
        <v>4.4000000000000004</v>
      </c>
      <c r="R19" s="8">
        <f>表1_8[[#This Row],[体]]</f>
        <v>1</v>
      </c>
      <c r="S19" s="8"/>
      <c r="T19" s="8"/>
      <c r="U19" s="8"/>
      <c r="V19" s="8"/>
    </row>
    <row r="20" spans="2:22" x14ac:dyDescent="0.2">
      <c r="B20" s="7">
        <v>43545</v>
      </c>
      <c r="C20" s="8" t="s">
        <v>241</v>
      </c>
      <c r="D20" s="8">
        <v>19</v>
      </c>
      <c r="E20" s="8" t="s">
        <v>495</v>
      </c>
      <c r="F20" s="8" t="s">
        <v>313</v>
      </c>
      <c r="G20" s="8"/>
      <c r="H20" s="8" t="s">
        <v>314</v>
      </c>
      <c r="I20" s="8" t="s">
        <v>315</v>
      </c>
      <c r="J20" s="8">
        <v>1</v>
      </c>
      <c r="K20" s="8">
        <v>330.7</v>
      </c>
      <c r="L20" s="8">
        <v>0.8</v>
      </c>
      <c r="M20" s="9" t="s">
        <v>316</v>
      </c>
      <c r="N20" s="8" t="s">
        <v>249</v>
      </c>
      <c r="O20" s="26" t="s">
        <v>412</v>
      </c>
      <c r="P20" s="8">
        <f>表1_8[[#This Row],[件]]</f>
        <v>1</v>
      </c>
      <c r="Q20" s="8">
        <f>表1_8[[#This Row],[毛]]</f>
        <v>330.7</v>
      </c>
      <c r="R20" s="8">
        <f>表1_8[[#This Row],[体]]</f>
        <v>0.8</v>
      </c>
      <c r="S20" s="8"/>
      <c r="T20" s="8"/>
      <c r="U20" s="8"/>
      <c r="V20" s="8"/>
    </row>
    <row r="21" spans="2:22" hidden="1" x14ac:dyDescent="0.2">
      <c r="B21" s="7">
        <v>43545</v>
      </c>
      <c r="C21" s="8" t="s">
        <v>241</v>
      </c>
      <c r="D21" s="8">
        <v>20</v>
      </c>
      <c r="E21" s="8" t="s">
        <v>332</v>
      </c>
      <c r="F21" s="8" t="s">
        <v>317</v>
      </c>
      <c r="G21" s="8" t="s">
        <v>277</v>
      </c>
      <c r="H21" s="8" t="s">
        <v>318</v>
      </c>
      <c r="I21" s="8" t="s">
        <v>319</v>
      </c>
      <c r="J21" s="8">
        <v>6</v>
      </c>
      <c r="K21" s="8">
        <v>94</v>
      </c>
      <c r="L21" s="8">
        <v>0.52200000000000002</v>
      </c>
      <c r="M21" s="9" t="s">
        <v>320</v>
      </c>
      <c r="N21" s="8" t="s">
        <v>244</v>
      </c>
      <c r="O21" s="26" t="s">
        <v>411</v>
      </c>
      <c r="P21" s="8">
        <f>表1_8[[#This Row],[件]]</f>
        <v>6</v>
      </c>
      <c r="Q21" s="8">
        <f>表1_8[[#This Row],[毛]]</f>
        <v>94</v>
      </c>
      <c r="R21" s="8">
        <f>表1_8[[#This Row],[体]]</f>
        <v>0.52200000000000002</v>
      </c>
      <c r="S21" s="8"/>
      <c r="T21" s="8"/>
      <c r="U21" s="8"/>
      <c r="V21" s="8"/>
    </row>
    <row r="22" spans="2:22" x14ac:dyDescent="0.2">
      <c r="B22" s="7">
        <v>43545</v>
      </c>
      <c r="C22" s="8" t="s">
        <v>241</v>
      </c>
      <c r="D22" s="8">
        <v>21</v>
      </c>
      <c r="E22" s="8" t="s">
        <v>496</v>
      </c>
      <c r="F22" s="8" t="s">
        <v>321</v>
      </c>
      <c r="G22" s="8"/>
      <c r="H22" s="8" t="s">
        <v>322</v>
      </c>
      <c r="I22" s="8" t="s">
        <v>323</v>
      </c>
      <c r="J22" s="8">
        <v>1</v>
      </c>
      <c r="K22" s="8">
        <v>230</v>
      </c>
      <c r="L22" s="8">
        <v>0.48</v>
      </c>
      <c r="M22" s="9" t="s">
        <v>324</v>
      </c>
      <c r="N22" s="8" t="s">
        <v>249</v>
      </c>
      <c r="O22" s="26" t="s">
        <v>412</v>
      </c>
      <c r="P22" s="8">
        <f>表1_8[[#This Row],[件]]</f>
        <v>1</v>
      </c>
      <c r="Q22" s="8">
        <f>表1_8[[#This Row],[毛]]</f>
        <v>230</v>
      </c>
      <c r="R22" s="8">
        <f>表1_8[[#This Row],[体]]</f>
        <v>0.48</v>
      </c>
      <c r="S22" s="8"/>
      <c r="T22" s="8"/>
      <c r="U22" s="8"/>
      <c r="V22" s="8"/>
    </row>
    <row r="23" spans="2:22" hidden="1" x14ac:dyDescent="0.2">
      <c r="B23" s="7">
        <v>43548</v>
      </c>
      <c r="C23" s="8" t="s">
        <v>325</v>
      </c>
      <c r="D23" s="8">
        <v>1</v>
      </c>
      <c r="E23" s="8" t="s">
        <v>326</v>
      </c>
      <c r="F23" s="8" t="s">
        <v>327</v>
      </c>
      <c r="G23" s="8"/>
      <c r="H23" s="8" t="s">
        <v>327</v>
      </c>
      <c r="I23" s="8" t="s">
        <v>328</v>
      </c>
      <c r="J23" s="8">
        <v>56</v>
      </c>
      <c r="K23" s="8">
        <v>795.68</v>
      </c>
      <c r="L23" s="8">
        <v>2.2799999999999998</v>
      </c>
      <c r="M23" s="9" t="s">
        <v>304</v>
      </c>
      <c r="N23" s="8" t="s">
        <v>409</v>
      </c>
      <c r="O23" s="26" t="s">
        <v>410</v>
      </c>
      <c r="P23" s="8">
        <f>表1_8[[#This Row],[件]]</f>
        <v>56</v>
      </c>
      <c r="Q23" s="8">
        <f>表1_8[[#This Row],[毛]]</f>
        <v>795.68</v>
      </c>
      <c r="R23" s="8">
        <f>表1_8[[#This Row],[体]]</f>
        <v>2.2799999999999998</v>
      </c>
      <c r="S23" s="8"/>
      <c r="T23" s="8"/>
      <c r="U23" s="8"/>
      <c r="V23" s="8"/>
    </row>
    <row r="24" spans="2:22" hidden="1" x14ac:dyDescent="0.2">
      <c r="B24" s="7">
        <v>43548</v>
      </c>
      <c r="C24" s="8" t="s">
        <v>325</v>
      </c>
      <c r="D24" s="8">
        <v>3</v>
      </c>
      <c r="E24" s="8" t="s">
        <v>329</v>
      </c>
      <c r="F24" s="8" t="s">
        <v>330</v>
      </c>
      <c r="G24" s="8"/>
      <c r="H24" s="8" t="s">
        <v>330</v>
      </c>
      <c r="I24" s="8" t="s">
        <v>471</v>
      </c>
      <c r="J24" s="8">
        <v>6</v>
      </c>
      <c r="K24" s="8">
        <v>842</v>
      </c>
      <c r="L24" s="8">
        <v>8.57</v>
      </c>
      <c r="M24" s="9" t="s">
        <v>331</v>
      </c>
      <c r="N24" s="8" t="s">
        <v>462</v>
      </c>
      <c r="O24" s="26" t="s">
        <v>463</v>
      </c>
      <c r="P24" s="8">
        <f>表1_8[[#This Row],[件]]</f>
        <v>6</v>
      </c>
      <c r="Q24" s="8">
        <f>表1_8[[#This Row],[毛]]</f>
        <v>842</v>
      </c>
      <c r="R24" s="8">
        <f>表1_8[[#This Row],[体]]</f>
        <v>8.57</v>
      </c>
      <c r="S24" s="8"/>
      <c r="T24" s="8"/>
      <c r="U24" s="8"/>
      <c r="V24" s="8"/>
    </row>
    <row r="25" spans="2:22" hidden="1" x14ac:dyDescent="0.2">
      <c r="B25" s="7">
        <v>43548</v>
      </c>
      <c r="C25" s="8" t="s">
        <v>325</v>
      </c>
      <c r="D25" s="8">
        <v>4</v>
      </c>
      <c r="E25" s="8" t="s">
        <v>332</v>
      </c>
      <c r="F25" s="8" t="s">
        <v>333</v>
      </c>
      <c r="G25" s="8"/>
      <c r="H25" s="8" t="s">
        <v>333</v>
      </c>
      <c r="I25" s="8" t="s">
        <v>334</v>
      </c>
      <c r="J25" s="8">
        <v>16</v>
      </c>
      <c r="K25" s="8">
        <v>320</v>
      </c>
      <c r="L25" s="8">
        <v>1.6</v>
      </c>
      <c r="M25" s="9" t="s">
        <v>470</v>
      </c>
      <c r="N25" s="8" t="s">
        <v>462</v>
      </c>
      <c r="O25" s="26" t="s">
        <v>463</v>
      </c>
      <c r="P25" s="8">
        <f>表1_8[[#This Row],[件]]</f>
        <v>16</v>
      </c>
      <c r="Q25" s="8">
        <f>表1_8[[#This Row],[毛]]</f>
        <v>320</v>
      </c>
      <c r="R25" s="8">
        <f>表1_8[[#This Row],[体]]</f>
        <v>1.6</v>
      </c>
      <c r="S25" s="8"/>
      <c r="T25" s="8"/>
      <c r="U25" s="8"/>
      <c r="V25" s="8"/>
    </row>
    <row r="26" spans="2:22" hidden="1" x14ac:dyDescent="0.2">
      <c r="B26" s="7">
        <v>43548</v>
      </c>
      <c r="C26" s="8" t="s">
        <v>325</v>
      </c>
      <c r="D26" s="8">
        <v>5</v>
      </c>
      <c r="E26" s="8" t="s">
        <v>335</v>
      </c>
      <c r="F26" s="8" t="s">
        <v>336</v>
      </c>
      <c r="G26" s="8"/>
      <c r="H26" s="8" t="s">
        <v>336</v>
      </c>
      <c r="I26" s="8" t="s">
        <v>337</v>
      </c>
      <c r="J26" s="8">
        <v>6</v>
      </c>
      <c r="K26" s="8">
        <v>3543</v>
      </c>
      <c r="L26" s="8">
        <v>5.3</v>
      </c>
      <c r="M26" s="9" t="s">
        <v>338</v>
      </c>
      <c r="N26" s="8" t="s">
        <v>409</v>
      </c>
      <c r="O26" s="26" t="s">
        <v>410</v>
      </c>
      <c r="P26" s="8">
        <f>表1_8[[#This Row],[件]]</f>
        <v>6</v>
      </c>
      <c r="Q26" s="8">
        <f>表1_8[[#This Row],[毛]]</f>
        <v>3543</v>
      </c>
      <c r="R26" s="8">
        <f>表1_8[[#This Row],[体]]</f>
        <v>5.3</v>
      </c>
      <c r="S26" s="8"/>
      <c r="T26" s="8"/>
      <c r="U26" s="8"/>
      <c r="V26" s="8"/>
    </row>
    <row r="27" spans="2:22" hidden="1" x14ac:dyDescent="0.2">
      <c r="B27" s="7">
        <v>43548</v>
      </c>
      <c r="C27" s="8" t="s">
        <v>325</v>
      </c>
      <c r="D27" s="8">
        <v>6</v>
      </c>
      <c r="E27" s="8" t="s">
        <v>339</v>
      </c>
      <c r="F27" s="8" t="s">
        <v>340</v>
      </c>
      <c r="G27" s="8"/>
      <c r="H27" s="8" t="s">
        <v>340</v>
      </c>
      <c r="I27" s="8" t="s">
        <v>341</v>
      </c>
      <c r="J27" s="8">
        <v>2</v>
      </c>
      <c r="K27" s="8">
        <v>236.6</v>
      </c>
      <c r="L27" s="8">
        <v>2.2999999999999998</v>
      </c>
      <c r="M27" s="9" t="s">
        <v>344</v>
      </c>
      <c r="N27" s="8" t="s">
        <v>462</v>
      </c>
      <c r="O27" s="26" t="s">
        <v>463</v>
      </c>
      <c r="P27" s="8">
        <f>表1_8[[#This Row],[件]]</f>
        <v>2</v>
      </c>
      <c r="Q27" s="8">
        <f>表1_8[[#This Row],[毛]]</f>
        <v>236.6</v>
      </c>
      <c r="R27" s="8">
        <f>表1_8[[#This Row],[体]]</f>
        <v>2.2999999999999998</v>
      </c>
      <c r="S27" s="8"/>
      <c r="T27" s="8"/>
      <c r="U27" s="8"/>
      <c r="V27" s="8"/>
    </row>
    <row r="28" spans="2:22" hidden="1" x14ac:dyDescent="0.2">
      <c r="B28" s="7">
        <v>43548</v>
      </c>
      <c r="C28" s="8" t="s">
        <v>325</v>
      </c>
      <c r="D28" s="8">
        <v>7</v>
      </c>
      <c r="E28" s="8" t="s">
        <v>339</v>
      </c>
      <c r="F28" s="8" t="s">
        <v>342</v>
      </c>
      <c r="G28" s="8"/>
      <c r="H28" s="8" t="s">
        <v>342</v>
      </c>
      <c r="I28" s="8" t="s">
        <v>343</v>
      </c>
      <c r="J28" s="8">
        <v>1</v>
      </c>
      <c r="K28" s="8">
        <v>61</v>
      </c>
      <c r="L28" s="8">
        <v>0.79</v>
      </c>
      <c r="M28" s="9" t="s">
        <v>344</v>
      </c>
      <c r="N28" s="8" t="s">
        <v>462</v>
      </c>
      <c r="O28" s="26" t="s">
        <v>463</v>
      </c>
      <c r="P28" s="8">
        <f>表1_8[[#This Row],[件]]</f>
        <v>1</v>
      </c>
      <c r="Q28" s="8">
        <f>表1_8[[#This Row],[毛]]</f>
        <v>61</v>
      </c>
      <c r="R28" s="8">
        <f>表1_8[[#This Row],[体]]</f>
        <v>0.79</v>
      </c>
      <c r="S28" s="8"/>
      <c r="T28" s="8"/>
      <c r="U28" s="8"/>
      <c r="V28" s="8"/>
    </row>
    <row r="29" spans="2:22" ht="89.25" hidden="1" x14ac:dyDescent="0.2">
      <c r="B29" s="7">
        <v>43548</v>
      </c>
      <c r="C29" s="8" t="s">
        <v>325</v>
      </c>
      <c r="D29" s="8">
        <v>8</v>
      </c>
      <c r="E29" s="8" t="s">
        <v>345</v>
      </c>
      <c r="F29" s="8" t="s">
        <v>346</v>
      </c>
      <c r="G29" s="8"/>
      <c r="H29" s="8" t="s">
        <v>346</v>
      </c>
      <c r="I29" s="8" t="s">
        <v>347</v>
      </c>
      <c r="J29" s="8">
        <v>23</v>
      </c>
      <c r="K29" s="8">
        <v>98</v>
      </c>
      <c r="L29" s="8">
        <v>0.63</v>
      </c>
      <c r="M29" s="9" t="s">
        <v>464</v>
      </c>
      <c r="N29" s="8" t="s">
        <v>462</v>
      </c>
      <c r="O29" s="26" t="s">
        <v>463</v>
      </c>
      <c r="P29" s="8">
        <f>表1_8[[#This Row],[件]]</f>
        <v>23</v>
      </c>
      <c r="Q29" s="8">
        <f>表1_8[[#This Row],[毛]]</f>
        <v>98</v>
      </c>
      <c r="R29" s="8">
        <f>表1_8[[#This Row],[体]]</f>
        <v>0.63</v>
      </c>
      <c r="S29" s="8"/>
      <c r="T29" s="8"/>
      <c r="U29" s="8"/>
      <c r="V29" s="8"/>
    </row>
    <row r="30" spans="2:22" hidden="1" x14ac:dyDescent="0.2">
      <c r="B30" s="7">
        <v>43548</v>
      </c>
      <c r="C30" s="8" t="s">
        <v>325</v>
      </c>
      <c r="D30" s="8">
        <v>9</v>
      </c>
      <c r="E30" s="8" t="s">
        <v>348</v>
      </c>
      <c r="F30" s="8" t="s">
        <v>349</v>
      </c>
      <c r="G30" s="8"/>
      <c r="H30" s="8" t="s">
        <v>349</v>
      </c>
      <c r="I30" s="8" t="s">
        <v>350</v>
      </c>
      <c r="J30" s="8">
        <v>7</v>
      </c>
      <c r="K30" s="8">
        <v>4968</v>
      </c>
      <c r="L30" s="8">
        <v>3.7309999999999999</v>
      </c>
      <c r="M30" s="9" t="s">
        <v>351</v>
      </c>
      <c r="N30" s="8" t="s">
        <v>462</v>
      </c>
      <c r="O30" s="26" t="s">
        <v>463</v>
      </c>
      <c r="P30" s="8">
        <f>表1_8[[#This Row],[件]]</f>
        <v>7</v>
      </c>
      <c r="Q30" s="8">
        <f>表1_8[[#This Row],[毛]]</f>
        <v>4968</v>
      </c>
      <c r="R30" s="8">
        <f>表1_8[[#This Row],[体]]</f>
        <v>3.7309999999999999</v>
      </c>
      <c r="S30" s="8"/>
      <c r="T30" s="8"/>
      <c r="U30" s="8"/>
      <c r="V30" s="8"/>
    </row>
    <row r="31" spans="2:22" ht="25.5" hidden="1" x14ac:dyDescent="0.2">
      <c r="B31" s="7">
        <v>43548</v>
      </c>
      <c r="C31" s="8" t="s">
        <v>325</v>
      </c>
      <c r="D31" s="8">
        <v>10</v>
      </c>
      <c r="E31" s="8" t="s">
        <v>332</v>
      </c>
      <c r="F31" s="8" t="s">
        <v>352</v>
      </c>
      <c r="G31" s="8"/>
      <c r="H31" s="8" t="s">
        <v>352</v>
      </c>
      <c r="I31" s="8" t="s">
        <v>353</v>
      </c>
      <c r="J31" s="8">
        <v>6</v>
      </c>
      <c r="K31" s="8">
        <v>120</v>
      </c>
      <c r="L31" s="8">
        <v>0.5</v>
      </c>
      <c r="M31" s="9" t="s">
        <v>354</v>
      </c>
      <c r="N31" s="8" t="s">
        <v>462</v>
      </c>
      <c r="O31" s="26" t="s">
        <v>463</v>
      </c>
      <c r="P31" s="8">
        <f>表1_8[[#This Row],[件]]</f>
        <v>6</v>
      </c>
      <c r="Q31" s="8">
        <f>表1_8[[#This Row],[毛]]</f>
        <v>120</v>
      </c>
      <c r="R31" s="8">
        <f>表1_8[[#This Row],[体]]</f>
        <v>0.5</v>
      </c>
      <c r="S31" s="8"/>
      <c r="T31" s="8"/>
      <c r="U31" s="8"/>
      <c r="V31" s="8"/>
    </row>
    <row r="32" spans="2:22" hidden="1" x14ac:dyDescent="0.2">
      <c r="B32" s="7">
        <v>43548</v>
      </c>
      <c r="C32" s="8" t="s">
        <v>325</v>
      </c>
      <c r="D32" s="8">
        <v>11</v>
      </c>
      <c r="E32" s="8" t="s">
        <v>332</v>
      </c>
      <c r="F32" s="8" t="s">
        <v>355</v>
      </c>
      <c r="G32" s="8"/>
      <c r="H32" s="8" t="s">
        <v>355</v>
      </c>
      <c r="I32" s="8" t="s">
        <v>356</v>
      </c>
      <c r="J32" s="8">
        <v>12</v>
      </c>
      <c r="K32" s="8">
        <v>159.22</v>
      </c>
      <c r="L32" s="8">
        <v>1.5</v>
      </c>
      <c r="M32" s="9" t="s">
        <v>470</v>
      </c>
      <c r="N32" s="8" t="s">
        <v>462</v>
      </c>
      <c r="O32" s="26" t="s">
        <v>463</v>
      </c>
      <c r="P32" s="8">
        <f>表1_8[[#This Row],[件]]</f>
        <v>12</v>
      </c>
      <c r="Q32" s="8">
        <f>表1_8[[#This Row],[毛]]</f>
        <v>159.22</v>
      </c>
      <c r="R32" s="8">
        <f>表1_8[[#This Row],[体]]</f>
        <v>1.5</v>
      </c>
      <c r="S32" s="8"/>
      <c r="T32" s="8"/>
      <c r="U32" s="8"/>
      <c r="V32" s="8"/>
    </row>
    <row r="33" spans="2:22" hidden="1" x14ac:dyDescent="0.2">
      <c r="B33" s="7">
        <v>43548</v>
      </c>
      <c r="C33" s="8" t="s">
        <v>325</v>
      </c>
      <c r="D33" s="8">
        <v>12</v>
      </c>
      <c r="E33" s="8" t="s">
        <v>357</v>
      </c>
      <c r="F33" s="8" t="s">
        <v>358</v>
      </c>
      <c r="G33" s="8"/>
      <c r="H33" s="8" t="s">
        <v>358</v>
      </c>
      <c r="I33" s="8" t="s">
        <v>359</v>
      </c>
      <c r="J33" s="8">
        <v>8</v>
      </c>
      <c r="K33" s="8">
        <v>988</v>
      </c>
      <c r="L33" s="8">
        <v>7.87</v>
      </c>
      <c r="M33" s="9" t="s">
        <v>408</v>
      </c>
      <c r="N33" s="8" t="s">
        <v>409</v>
      </c>
      <c r="O33" s="26" t="s">
        <v>410</v>
      </c>
      <c r="P33" s="8">
        <f>表1_8[[#This Row],[件]]</f>
        <v>8</v>
      </c>
      <c r="Q33" s="8">
        <f>表1_8[[#This Row],[毛]]</f>
        <v>988</v>
      </c>
      <c r="R33" s="8">
        <f>表1_8[[#This Row],[体]]</f>
        <v>7.87</v>
      </c>
      <c r="S33" s="8"/>
      <c r="T33" s="8"/>
      <c r="U33" s="8"/>
      <c r="V33" s="8"/>
    </row>
    <row r="34" spans="2:22" hidden="1" x14ac:dyDescent="0.2">
      <c r="B34" s="7">
        <v>43548</v>
      </c>
      <c r="C34" s="8" t="s">
        <v>325</v>
      </c>
      <c r="D34" s="8">
        <v>13</v>
      </c>
      <c r="E34" s="8" t="s">
        <v>360</v>
      </c>
      <c r="F34" s="8" t="s">
        <v>361</v>
      </c>
      <c r="G34" s="8"/>
      <c r="H34" s="8" t="s">
        <v>361</v>
      </c>
      <c r="I34" s="8" t="s">
        <v>362</v>
      </c>
      <c r="J34" s="8">
        <v>2</v>
      </c>
      <c r="K34" s="8">
        <v>118</v>
      </c>
      <c r="L34" s="8">
        <v>0.96</v>
      </c>
      <c r="M34" s="9" t="s">
        <v>363</v>
      </c>
      <c r="N34" s="8" t="s">
        <v>462</v>
      </c>
      <c r="O34" s="26" t="s">
        <v>463</v>
      </c>
      <c r="P34" s="8">
        <f>表1_8[[#This Row],[件]]</f>
        <v>2</v>
      </c>
      <c r="Q34" s="8">
        <f>表1_8[[#This Row],[毛]]</f>
        <v>118</v>
      </c>
      <c r="R34" s="8">
        <f>表1_8[[#This Row],[体]]</f>
        <v>0.96</v>
      </c>
      <c r="S34" s="8"/>
      <c r="T34" s="8"/>
      <c r="U34" s="8"/>
      <c r="V34" s="8"/>
    </row>
    <row r="35" spans="2:22" hidden="1" x14ac:dyDescent="0.2">
      <c r="B35" s="7">
        <v>43548</v>
      </c>
      <c r="C35" s="8" t="s">
        <v>325</v>
      </c>
      <c r="D35" s="8">
        <v>14</v>
      </c>
      <c r="E35" s="8" t="s">
        <v>360</v>
      </c>
      <c r="F35" s="8" t="s">
        <v>361</v>
      </c>
      <c r="G35" s="8"/>
      <c r="H35" s="8" t="s">
        <v>361</v>
      </c>
      <c r="I35" s="8" t="s">
        <v>364</v>
      </c>
      <c r="J35" s="8">
        <v>1</v>
      </c>
      <c r="K35" s="8">
        <v>59</v>
      </c>
      <c r="L35" s="8">
        <v>0.48</v>
      </c>
      <c r="M35" s="9" t="s">
        <v>363</v>
      </c>
      <c r="N35" s="8" t="s">
        <v>462</v>
      </c>
      <c r="O35" s="26" t="s">
        <v>463</v>
      </c>
      <c r="P35" s="8">
        <f>表1_8[[#This Row],[件]]</f>
        <v>1</v>
      </c>
      <c r="Q35" s="8">
        <f>表1_8[[#This Row],[毛]]</f>
        <v>59</v>
      </c>
      <c r="R35" s="8">
        <f>表1_8[[#This Row],[体]]</f>
        <v>0.48</v>
      </c>
      <c r="S35" s="8"/>
      <c r="T35" s="8"/>
      <c r="U35" s="8"/>
      <c r="V35" s="8"/>
    </row>
    <row r="36" spans="2:22" hidden="1" x14ac:dyDescent="0.2">
      <c r="B36" s="7">
        <v>43548</v>
      </c>
      <c r="C36" s="8" t="s">
        <v>325</v>
      </c>
      <c r="D36" s="8">
        <v>15</v>
      </c>
      <c r="E36" s="8" t="s">
        <v>365</v>
      </c>
      <c r="F36" s="8" t="s">
        <v>366</v>
      </c>
      <c r="G36" s="8"/>
      <c r="H36" s="8" t="s">
        <v>366</v>
      </c>
      <c r="I36" s="8" t="s">
        <v>367</v>
      </c>
      <c r="J36" s="8">
        <v>30</v>
      </c>
      <c r="K36" s="8">
        <v>360</v>
      </c>
      <c r="L36" s="8">
        <v>1.95</v>
      </c>
      <c r="M36" s="9" t="s">
        <v>368</v>
      </c>
      <c r="N36" s="8" t="s">
        <v>462</v>
      </c>
      <c r="O36" s="26" t="s">
        <v>463</v>
      </c>
      <c r="P36" s="8">
        <f>表1_8[[#This Row],[件]]</f>
        <v>30</v>
      </c>
      <c r="Q36" s="8">
        <f>表1_8[[#This Row],[毛]]</f>
        <v>360</v>
      </c>
      <c r="R36" s="8">
        <f>表1_8[[#This Row],[体]]</f>
        <v>1.95</v>
      </c>
      <c r="S36" s="8"/>
      <c r="T36" s="8"/>
      <c r="U36" s="8"/>
      <c r="V36" s="8"/>
    </row>
    <row r="37" spans="2:22" hidden="1" x14ac:dyDescent="0.2">
      <c r="B37" s="7">
        <v>43548</v>
      </c>
      <c r="C37" s="8" t="s">
        <v>325</v>
      </c>
      <c r="D37" s="8">
        <v>16</v>
      </c>
      <c r="E37" s="8" t="s">
        <v>369</v>
      </c>
      <c r="F37" s="8" t="s">
        <v>370</v>
      </c>
      <c r="G37" s="8"/>
      <c r="H37" s="8" t="s">
        <v>370</v>
      </c>
      <c r="I37" s="8" t="s">
        <v>371</v>
      </c>
      <c r="J37" s="8">
        <v>4</v>
      </c>
      <c r="K37" s="8">
        <v>1317.44</v>
      </c>
      <c r="L37" s="8">
        <v>8.86</v>
      </c>
      <c r="M37" s="9" t="s">
        <v>372</v>
      </c>
      <c r="N37" s="8" t="s">
        <v>409</v>
      </c>
      <c r="O37" s="26" t="s">
        <v>410</v>
      </c>
      <c r="P37" s="8">
        <f>表1_8[[#This Row],[件]]</f>
        <v>4</v>
      </c>
      <c r="Q37" s="8">
        <f>表1_8[[#This Row],[毛]]</f>
        <v>1317.44</v>
      </c>
      <c r="R37" s="8">
        <f>表1_8[[#This Row],[体]]</f>
        <v>8.86</v>
      </c>
      <c r="S37" s="8"/>
      <c r="T37" s="8"/>
      <c r="U37" s="8"/>
      <c r="V37" s="8"/>
    </row>
    <row r="38" spans="2:22" hidden="1" x14ac:dyDescent="0.2">
      <c r="B38" s="7">
        <v>43548</v>
      </c>
      <c r="C38" s="8" t="s">
        <v>325</v>
      </c>
      <c r="D38" s="8">
        <v>17</v>
      </c>
      <c r="E38" s="8" t="s">
        <v>373</v>
      </c>
      <c r="F38" s="8" t="s">
        <v>374</v>
      </c>
      <c r="G38" s="8"/>
      <c r="H38" s="8" t="s">
        <v>374</v>
      </c>
      <c r="I38" s="8" t="s">
        <v>375</v>
      </c>
      <c r="J38" s="8">
        <v>1</v>
      </c>
      <c r="K38" s="8">
        <v>320</v>
      </c>
      <c r="L38" s="8">
        <v>1.5</v>
      </c>
      <c r="M38" s="9" t="s">
        <v>376</v>
      </c>
      <c r="N38" s="8" t="s">
        <v>409</v>
      </c>
      <c r="O38" s="26" t="s">
        <v>410</v>
      </c>
      <c r="P38" s="8">
        <f>表1_8[[#This Row],[件]]</f>
        <v>1</v>
      </c>
      <c r="Q38" s="8">
        <f>表1_8[[#This Row],[毛]]</f>
        <v>320</v>
      </c>
      <c r="R38" s="8">
        <f>表1_8[[#This Row],[体]]</f>
        <v>1.5</v>
      </c>
      <c r="S38" s="8"/>
      <c r="T38" s="8"/>
      <c r="U38" s="8"/>
      <c r="V38" s="8"/>
    </row>
    <row r="39" spans="2:22" hidden="1" x14ac:dyDescent="0.2">
      <c r="B39" s="7">
        <v>43548</v>
      </c>
      <c r="C39" s="8" t="s">
        <v>325</v>
      </c>
      <c r="D39" s="8">
        <v>18</v>
      </c>
      <c r="E39" s="8" t="s">
        <v>373</v>
      </c>
      <c r="F39" s="8" t="s">
        <v>377</v>
      </c>
      <c r="G39" s="8"/>
      <c r="H39" s="8" t="s">
        <v>377</v>
      </c>
      <c r="I39" s="8" t="s">
        <v>378</v>
      </c>
      <c r="J39" s="8">
        <v>1</v>
      </c>
      <c r="K39" s="8">
        <v>15</v>
      </c>
      <c r="L39" s="8">
        <v>0.1</v>
      </c>
      <c r="M39" s="9" t="s">
        <v>379</v>
      </c>
      <c r="N39" s="8" t="s">
        <v>462</v>
      </c>
      <c r="O39" s="26" t="s">
        <v>463</v>
      </c>
      <c r="P39" s="8">
        <f>表1_8[[#This Row],[件]]</f>
        <v>1</v>
      </c>
      <c r="Q39" s="8">
        <f>表1_8[[#This Row],[毛]]</f>
        <v>15</v>
      </c>
      <c r="R39" s="8">
        <f>表1_8[[#This Row],[体]]</f>
        <v>0.1</v>
      </c>
      <c r="S39" s="8"/>
      <c r="T39" s="8"/>
      <c r="U39" s="8"/>
      <c r="V39" s="8"/>
    </row>
    <row r="40" spans="2:22" hidden="1" x14ac:dyDescent="0.2">
      <c r="B40" s="7">
        <v>43548</v>
      </c>
      <c r="C40" s="8" t="s">
        <v>325</v>
      </c>
      <c r="D40" s="8">
        <v>19</v>
      </c>
      <c r="E40" s="8" t="s">
        <v>380</v>
      </c>
      <c r="F40" s="8" t="s">
        <v>381</v>
      </c>
      <c r="G40" s="8"/>
      <c r="H40" s="8" t="s">
        <v>381</v>
      </c>
      <c r="I40" s="8" t="s">
        <v>382</v>
      </c>
      <c r="J40" s="8">
        <v>1</v>
      </c>
      <c r="K40" s="8">
        <v>194.4</v>
      </c>
      <c r="L40" s="8">
        <v>0.44</v>
      </c>
      <c r="M40" s="9" t="s">
        <v>383</v>
      </c>
      <c r="N40" s="8" t="s">
        <v>409</v>
      </c>
      <c r="O40" s="26" t="s">
        <v>410</v>
      </c>
      <c r="P40" s="8">
        <f>表1_8[[#This Row],[件]]</f>
        <v>1</v>
      </c>
      <c r="Q40" s="8">
        <f>表1_8[[#This Row],[毛]]</f>
        <v>194.4</v>
      </c>
      <c r="R40" s="8">
        <f>表1_8[[#This Row],[体]]</f>
        <v>0.44</v>
      </c>
      <c r="S40" s="8"/>
      <c r="T40" s="8"/>
      <c r="U40" s="8"/>
      <c r="V40" s="8"/>
    </row>
    <row r="41" spans="2:22" ht="38.25" hidden="1" x14ac:dyDescent="0.2">
      <c r="B41" s="7">
        <v>43548</v>
      </c>
      <c r="C41" s="8" t="s">
        <v>325</v>
      </c>
      <c r="D41" s="8">
        <v>20</v>
      </c>
      <c r="E41" s="8" t="s">
        <v>384</v>
      </c>
      <c r="F41" s="8" t="s">
        <v>385</v>
      </c>
      <c r="G41" s="8"/>
      <c r="H41" s="8" t="s">
        <v>385</v>
      </c>
      <c r="I41" s="8" t="s">
        <v>386</v>
      </c>
      <c r="J41" s="8">
        <v>2</v>
      </c>
      <c r="K41" s="8">
        <v>460</v>
      </c>
      <c r="L41" s="8">
        <v>1.95</v>
      </c>
      <c r="M41" s="9" t="s">
        <v>465</v>
      </c>
      <c r="N41" s="8" t="s">
        <v>409</v>
      </c>
      <c r="O41" s="26" t="s">
        <v>410</v>
      </c>
      <c r="P41" s="8">
        <f>表1_8[[#This Row],[件]]</f>
        <v>2</v>
      </c>
      <c r="Q41" s="8">
        <f>表1_8[[#This Row],[毛]]</f>
        <v>460</v>
      </c>
      <c r="R41" s="8">
        <f>表1_8[[#This Row],[体]]</f>
        <v>1.95</v>
      </c>
      <c r="S41" s="8"/>
      <c r="T41" s="8"/>
      <c r="U41" s="8"/>
      <c r="V41" s="8"/>
    </row>
    <row r="42" spans="2:22" hidden="1" x14ac:dyDescent="0.2">
      <c r="B42" s="7">
        <v>43548</v>
      </c>
      <c r="C42" s="8" t="s">
        <v>325</v>
      </c>
      <c r="D42" s="8">
        <v>21</v>
      </c>
      <c r="E42" s="8" t="s">
        <v>332</v>
      </c>
      <c r="F42" s="8" t="s">
        <v>387</v>
      </c>
      <c r="G42" s="8"/>
      <c r="H42" s="8" t="s">
        <v>387</v>
      </c>
      <c r="I42" s="8" t="s">
        <v>388</v>
      </c>
      <c r="J42" s="8">
        <v>14</v>
      </c>
      <c r="K42" s="8">
        <v>280</v>
      </c>
      <c r="L42" s="8">
        <v>1.4</v>
      </c>
      <c r="M42" s="9" t="s">
        <v>470</v>
      </c>
      <c r="N42" s="8" t="s">
        <v>462</v>
      </c>
      <c r="O42" s="26" t="s">
        <v>463</v>
      </c>
      <c r="P42" s="8">
        <f>表1_8[[#This Row],[件]]</f>
        <v>14</v>
      </c>
      <c r="Q42" s="8">
        <f>表1_8[[#This Row],[毛]]</f>
        <v>280</v>
      </c>
      <c r="R42" s="8">
        <f>表1_8[[#This Row],[体]]</f>
        <v>1.4</v>
      </c>
      <c r="S42" s="8"/>
      <c r="T42" s="8"/>
      <c r="U42" s="8"/>
      <c r="V42" s="8"/>
    </row>
    <row r="43" spans="2:22" ht="38.25" hidden="1" x14ac:dyDescent="0.2">
      <c r="B43" s="7">
        <v>43548</v>
      </c>
      <c r="C43" s="8" t="s">
        <v>325</v>
      </c>
      <c r="D43" s="8">
        <v>22</v>
      </c>
      <c r="E43" s="8" t="s">
        <v>389</v>
      </c>
      <c r="F43" s="8" t="s">
        <v>390</v>
      </c>
      <c r="G43" s="8"/>
      <c r="H43" s="8" t="s">
        <v>390</v>
      </c>
      <c r="I43" s="8" t="s">
        <v>391</v>
      </c>
      <c r="J43" s="8">
        <v>1</v>
      </c>
      <c r="K43" s="8">
        <v>45.2</v>
      </c>
      <c r="L43" s="8">
        <v>0.4</v>
      </c>
      <c r="M43" s="9" t="s">
        <v>466</v>
      </c>
      <c r="N43" s="8" t="s">
        <v>462</v>
      </c>
      <c r="O43" s="26" t="s">
        <v>463</v>
      </c>
      <c r="P43" s="8">
        <f>表1_8[[#This Row],[件]]</f>
        <v>1</v>
      </c>
      <c r="Q43" s="8">
        <f>表1_8[[#This Row],[毛]]</f>
        <v>45.2</v>
      </c>
      <c r="R43" s="8">
        <f>表1_8[[#This Row],[体]]</f>
        <v>0.4</v>
      </c>
      <c r="S43" s="8"/>
      <c r="T43" s="8"/>
      <c r="U43" s="8"/>
      <c r="V43" s="8"/>
    </row>
    <row r="44" spans="2:22" x14ac:dyDescent="0.2">
      <c r="B44" s="32" t="s">
        <v>497</v>
      </c>
      <c r="C44" s="32"/>
      <c r="D44" s="32"/>
      <c r="E44" s="32"/>
      <c r="F44" s="32"/>
      <c r="G44" s="32"/>
      <c r="H44" s="32"/>
      <c r="I44" s="32"/>
      <c r="J44" s="32">
        <f>SUBTOTAL(109,表1_8[件])</f>
        <v>244</v>
      </c>
      <c r="K44" s="32">
        <f>SUBTOTAL(109,表1_8[毛])</f>
        <v>18346.040000000005</v>
      </c>
      <c r="L44" s="32">
        <f>SUBTOTAL(109,表1_8[体])</f>
        <v>43.376999999999995</v>
      </c>
      <c r="M44" s="33"/>
      <c r="N44" s="32"/>
      <c r="O44" s="32"/>
      <c r="P44" s="32">
        <f>SUBTOTAL(109,表1_8[件1])</f>
        <v>244</v>
      </c>
      <c r="Q44" s="32">
        <f>SUBTOTAL(109,表1_8[毛1])</f>
        <v>18346.040000000005</v>
      </c>
      <c r="R44" s="32">
        <f>SUBTOTAL(109,表1_8[体1])</f>
        <v>43.376999999999995</v>
      </c>
      <c r="S44" s="32"/>
      <c r="T44" s="32"/>
      <c r="U44" s="32"/>
      <c r="V44" s="32">
        <f>SUBTOTAL(103,表1_8[核对体])</f>
        <v>0</v>
      </c>
    </row>
  </sheetData>
  <sortState ref="T24:V43">
    <sortCondition ref="T25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A176-9D11-4AA2-AAFA-CB8D0F1A4AAB}">
  <sheetPr>
    <pageSetUpPr autoPageBreaks="0" fitToPage="1"/>
  </sheetPr>
  <dimension ref="A1:H168"/>
  <sheetViews>
    <sheetView showGridLines="0" zoomScaleNormal="100" workbookViewId="0">
      <selection activeCell="P14" sqref="P14"/>
    </sheetView>
  </sheetViews>
  <sheetFormatPr defaultColWidth="8.75" defaultRowHeight="16.5" x14ac:dyDescent="0.3"/>
  <cols>
    <col min="1" max="1" width="2" style="13" customWidth="1"/>
    <col min="2" max="8" width="18.25" style="13" customWidth="1"/>
    <col min="9" max="9" width="2.5" style="13" customWidth="1"/>
    <col min="10" max="13" width="8.75" style="13"/>
    <col min="14" max="14" width="6.75" style="13" customWidth="1"/>
    <col min="15" max="16384" width="8.75" style="13"/>
  </cols>
  <sheetData>
    <row r="1" spans="1:8" ht="54" customHeight="1" x14ac:dyDescent="0.75">
      <c r="A1" s="10"/>
      <c r="B1" s="11">
        <f ca="1">YEAR(TODAY())</f>
        <v>2019</v>
      </c>
      <c r="C1" s="12" t="s">
        <v>392</v>
      </c>
      <c r="D1" s="10"/>
      <c r="E1" s="10"/>
      <c r="F1" s="10"/>
      <c r="G1" s="10"/>
      <c r="H1" s="10"/>
    </row>
    <row r="2" spans="1:8" ht="14.25" customHeight="1" x14ac:dyDescent="0.35">
      <c r="A2" s="14"/>
      <c r="B2" s="15" t="s">
        <v>393</v>
      </c>
      <c r="C2" s="16" t="str">
        <f t="shared" ref="C2:H2" ca="1" si="0">UPPER(TEXT(C3,"aaaa"))</f>
        <v>星期一</v>
      </c>
      <c r="D2" s="15" t="str">
        <f t="shared" ca="1" si="0"/>
        <v>星期二</v>
      </c>
      <c r="E2" s="17" t="str">
        <f t="shared" ca="1" si="0"/>
        <v>星期三</v>
      </c>
      <c r="F2" s="15" t="str">
        <f t="shared" ca="1" si="0"/>
        <v>星期四</v>
      </c>
      <c r="G2" s="17" t="str">
        <f t="shared" ca="1" si="0"/>
        <v>星期五</v>
      </c>
      <c r="H2" s="15" t="str">
        <f t="shared" ca="1" si="0"/>
        <v>星期六</v>
      </c>
    </row>
    <row r="3" spans="1:8" ht="16.5" customHeight="1" x14ac:dyDescent="0.3">
      <c r="B3" s="18">
        <f t="array" aca="1" ref="B3:H3" ca="1">日+1+DATE(Calendar1Year,Calendar1MonthOption,1)-WEEKDAY(DATE(Calendar1Year,Calendar1MonthOption,1),WeekdayOption)</f>
        <v>43520</v>
      </c>
      <c r="C3" s="18">
        <f ca="1"/>
        <v>43521</v>
      </c>
      <c r="D3" s="18">
        <f ca="1"/>
        <v>43522</v>
      </c>
      <c r="E3" s="18">
        <f ca="1"/>
        <v>43523</v>
      </c>
      <c r="F3" s="18">
        <f ca="1"/>
        <v>43524</v>
      </c>
      <c r="G3" s="18">
        <f ca="1"/>
        <v>43525</v>
      </c>
      <c r="H3" s="19">
        <f ca="1"/>
        <v>43526</v>
      </c>
    </row>
    <row r="4" spans="1:8" ht="56.25" customHeight="1" x14ac:dyDescent="0.3">
      <c r="B4" s="20"/>
      <c r="C4" s="20"/>
      <c r="D4" s="20"/>
      <c r="E4" s="20"/>
      <c r="F4" s="20"/>
      <c r="G4" s="20"/>
      <c r="H4" s="21"/>
    </row>
    <row r="5" spans="1:8" ht="16.5" customHeight="1" x14ac:dyDescent="0.3">
      <c r="B5" s="18">
        <f t="array" aca="1" ref="B5:H5" ca="1">日+8+DATE(Calendar1Year,Calendar1MonthOption,1)-WEEKDAY(DATE(Calendar1Year,Calendar1MonthOption,1),WeekdayOption)</f>
        <v>43527</v>
      </c>
      <c r="C5" s="18">
        <f ca="1"/>
        <v>43528</v>
      </c>
      <c r="D5" s="18">
        <f ca="1"/>
        <v>43529</v>
      </c>
      <c r="E5" s="18">
        <f ca="1"/>
        <v>43530</v>
      </c>
      <c r="F5" s="18">
        <f ca="1"/>
        <v>43531</v>
      </c>
      <c r="G5" s="18">
        <f ca="1"/>
        <v>43532</v>
      </c>
      <c r="H5" s="19">
        <f ca="1"/>
        <v>43533</v>
      </c>
    </row>
    <row r="6" spans="1:8" ht="56.25" customHeight="1" x14ac:dyDescent="0.3">
      <c r="B6" s="22" t="s">
        <v>394</v>
      </c>
      <c r="C6" s="20"/>
      <c r="D6" s="22" t="s">
        <v>395</v>
      </c>
      <c r="E6" s="20"/>
      <c r="F6" s="23" t="s">
        <v>396</v>
      </c>
      <c r="G6" s="20"/>
      <c r="H6" s="20"/>
    </row>
    <row r="7" spans="1:8" ht="16.5" customHeight="1" x14ac:dyDescent="0.3">
      <c r="B7" s="18">
        <f t="array" aca="1" ref="B7:H7" ca="1">日+15+DATE(Calendar1Year,Calendar1MonthOption,1)-WEEKDAY(DATE(Calendar1Year,Calendar1MonthOption,1),WeekdayOption)</f>
        <v>43534</v>
      </c>
      <c r="C7" s="18">
        <f ca="1"/>
        <v>43535</v>
      </c>
      <c r="D7" s="18">
        <f ca="1"/>
        <v>43536</v>
      </c>
      <c r="E7" s="18">
        <f ca="1"/>
        <v>43537</v>
      </c>
      <c r="F7" s="18">
        <f ca="1"/>
        <v>43538</v>
      </c>
      <c r="G7" s="18">
        <f ca="1"/>
        <v>43539</v>
      </c>
      <c r="H7" s="19">
        <f ca="1"/>
        <v>43540</v>
      </c>
    </row>
    <row r="8" spans="1:8" ht="56.25" customHeight="1" x14ac:dyDescent="0.3">
      <c r="B8" s="22" t="s">
        <v>397</v>
      </c>
      <c r="C8" s="20"/>
      <c r="D8" s="22" t="s">
        <v>398</v>
      </c>
      <c r="E8" s="20"/>
      <c r="F8" s="23" t="s">
        <v>399</v>
      </c>
      <c r="G8" s="20"/>
      <c r="H8" s="21"/>
    </row>
    <row r="9" spans="1:8" ht="16.5" customHeight="1" x14ac:dyDescent="0.3">
      <c r="B9" s="18">
        <f t="array" aca="1" ref="B9:H9" ca="1">日+22+DATE(Calendar1Year,Calendar1MonthOption,1)-WEEKDAY(DATE(Calendar1Year,Calendar1MonthOption,1),WeekdayOption)</f>
        <v>43541</v>
      </c>
      <c r="C9" s="18">
        <f ca="1"/>
        <v>43542</v>
      </c>
      <c r="D9" s="18">
        <f ca="1"/>
        <v>43543</v>
      </c>
      <c r="E9" s="18">
        <f ca="1"/>
        <v>43544</v>
      </c>
      <c r="F9" s="18">
        <f ca="1"/>
        <v>43545</v>
      </c>
      <c r="G9" s="18">
        <f ca="1"/>
        <v>43546</v>
      </c>
      <c r="H9" s="19">
        <f ca="1"/>
        <v>43547</v>
      </c>
    </row>
    <row r="10" spans="1:8" ht="56.25" customHeight="1" x14ac:dyDescent="0.3">
      <c r="B10" s="22" t="s">
        <v>400</v>
      </c>
      <c r="C10" s="20"/>
      <c r="D10" s="22" t="s">
        <v>401</v>
      </c>
      <c r="E10" s="20"/>
      <c r="F10" s="23" t="s">
        <v>402</v>
      </c>
      <c r="G10" s="20"/>
      <c r="H10" s="21"/>
    </row>
    <row r="11" spans="1:8" ht="16.5" customHeight="1" x14ac:dyDescent="0.3">
      <c r="B11" s="18">
        <f t="array" aca="1" ref="B11:H11" ca="1">日+29+DATE(Calendar1Year,Calendar1MonthOption,1)-WEEKDAY(DATE(Calendar1Year,Calendar1MonthOption,1),WeekdayOption)</f>
        <v>43548</v>
      </c>
      <c r="C11" s="18">
        <f ca="1"/>
        <v>43549</v>
      </c>
      <c r="D11" s="18">
        <f ca="1"/>
        <v>43550</v>
      </c>
      <c r="E11" s="18">
        <f ca="1"/>
        <v>43551</v>
      </c>
      <c r="F11" s="18">
        <f ca="1"/>
        <v>43552</v>
      </c>
      <c r="G11" s="18">
        <f ca="1"/>
        <v>43553</v>
      </c>
      <c r="H11" s="19">
        <f ca="1"/>
        <v>43554</v>
      </c>
    </row>
    <row r="12" spans="1:8" ht="57" customHeight="1" x14ac:dyDescent="0.3">
      <c r="B12" s="22" t="s">
        <v>403</v>
      </c>
      <c r="C12" s="20"/>
      <c r="D12" s="22" t="s">
        <v>404</v>
      </c>
      <c r="E12" s="20"/>
      <c r="F12" s="23" t="s">
        <v>405</v>
      </c>
      <c r="G12" s="20"/>
      <c r="H12" s="21"/>
    </row>
    <row r="13" spans="1:8" ht="16.5" customHeight="1" x14ac:dyDescent="0.3">
      <c r="B13" s="18">
        <f t="array" aca="1" ref="B13:C13" ca="1">日+36+DATE(Calendar1Year,Calendar1MonthOption,1)-WEEKDAY(DATE(Calendar1Year,Calendar1MonthOption,1),WeekdayOption)</f>
        <v>43555</v>
      </c>
      <c r="C13" s="18">
        <f ca="1"/>
        <v>43556</v>
      </c>
      <c r="D13" s="29" t="s">
        <v>406</v>
      </c>
      <c r="E13" s="29"/>
      <c r="F13" s="29"/>
      <c r="G13" s="29"/>
      <c r="H13" s="29"/>
    </row>
    <row r="14" spans="1:8" ht="63.75" customHeight="1" x14ac:dyDescent="0.3">
      <c r="B14" s="22" t="s">
        <v>407</v>
      </c>
      <c r="C14" s="20"/>
      <c r="D14" s="28"/>
      <c r="E14" s="28"/>
      <c r="F14" s="28"/>
      <c r="G14" s="28"/>
      <c r="H14" s="28"/>
    </row>
    <row r="15" spans="1:8" ht="54" customHeight="1" x14ac:dyDescent="0.75">
      <c r="A15" s="10"/>
      <c r="B15" s="11">
        <f ca="1">YEAR(DATE(Calendar1Year,Calendar1MonthOption+1,1))</f>
        <v>2019</v>
      </c>
      <c r="C15" s="24" t="str">
        <f ca="1">TEXT(DATE(Calendar1Year,Calendar1MonthOption+1,1),"m月")</f>
        <v>4月</v>
      </c>
      <c r="D15" s="10"/>
      <c r="E15" s="10"/>
      <c r="F15" s="10"/>
      <c r="G15" s="10"/>
      <c r="H15" s="10"/>
    </row>
    <row r="16" spans="1:8" ht="14.25" customHeight="1" x14ac:dyDescent="0.35">
      <c r="A16" s="14"/>
      <c r="B16" s="15" t="str">
        <f t="shared" ref="B16:H16" ca="1" si="1">UPPER(TEXT(B17,"aaaa"))</f>
        <v>星期日</v>
      </c>
      <c r="C16" s="17" t="str">
        <f t="shared" ca="1" si="1"/>
        <v>星期一</v>
      </c>
      <c r="D16" s="15" t="str">
        <f t="shared" ca="1" si="1"/>
        <v>星期二</v>
      </c>
      <c r="E16" s="17" t="str">
        <f t="shared" ca="1" si="1"/>
        <v>星期三</v>
      </c>
      <c r="F16" s="15" t="str">
        <f t="shared" ca="1" si="1"/>
        <v>星期四</v>
      </c>
      <c r="G16" s="17" t="str">
        <f t="shared" ca="1" si="1"/>
        <v>星期五</v>
      </c>
      <c r="H16" s="15" t="str">
        <f t="shared" ca="1" si="1"/>
        <v>星期六</v>
      </c>
    </row>
    <row r="17" spans="1:8" ht="16.5" customHeight="1" x14ac:dyDescent="0.3">
      <c r="B17" s="18">
        <f t="array" aca="1" ref="B17:H17" ca="1">日+1+DATE(Calendar2Year,Calendar2MonthOption,1)-WEEKDAY(DATE(Calendar2Year,Calendar2MonthOption,1),WeekdayOption)</f>
        <v>43555</v>
      </c>
      <c r="C17" s="18">
        <f ca="1"/>
        <v>43556</v>
      </c>
      <c r="D17" s="18">
        <f ca="1"/>
        <v>43557</v>
      </c>
      <c r="E17" s="18">
        <f ca="1"/>
        <v>43558</v>
      </c>
      <c r="F17" s="18">
        <f ca="1"/>
        <v>43559</v>
      </c>
      <c r="G17" s="18">
        <f ca="1"/>
        <v>43560</v>
      </c>
      <c r="H17" s="19">
        <f ca="1"/>
        <v>43561</v>
      </c>
    </row>
    <row r="18" spans="1:8" ht="56.25" customHeight="1" x14ac:dyDescent="0.3">
      <c r="B18" s="20"/>
      <c r="C18" s="20"/>
      <c r="D18" s="20"/>
      <c r="E18" s="20"/>
      <c r="F18" s="20"/>
      <c r="G18" s="20"/>
      <c r="H18" s="21"/>
    </row>
    <row r="19" spans="1:8" ht="16.5" customHeight="1" x14ac:dyDescent="0.3">
      <c r="B19" s="18">
        <f t="array" aca="1" ref="B19:H19" ca="1">日+8+DATE(Calendar2Year,Calendar2MonthOption,1)-WEEKDAY(DATE(Calendar2Year,Calendar2MonthOption,1),WeekdayOption)</f>
        <v>43562</v>
      </c>
      <c r="C19" s="18">
        <f ca="1"/>
        <v>43563</v>
      </c>
      <c r="D19" s="18">
        <f ca="1"/>
        <v>43564</v>
      </c>
      <c r="E19" s="18">
        <f ca="1"/>
        <v>43565</v>
      </c>
      <c r="F19" s="18">
        <f ca="1"/>
        <v>43566</v>
      </c>
      <c r="G19" s="18">
        <f ca="1"/>
        <v>43567</v>
      </c>
      <c r="H19" s="19">
        <f ca="1"/>
        <v>43568</v>
      </c>
    </row>
    <row r="20" spans="1:8" ht="56.25" customHeight="1" x14ac:dyDescent="0.3">
      <c r="B20" s="20"/>
      <c r="C20" s="20"/>
      <c r="D20" s="20"/>
      <c r="E20" s="20"/>
      <c r="F20" s="20"/>
      <c r="G20" s="20"/>
      <c r="H20" s="21"/>
    </row>
    <row r="21" spans="1:8" ht="16.5" customHeight="1" x14ac:dyDescent="0.3">
      <c r="B21" s="18">
        <f t="array" aca="1" ref="B21:H21" ca="1">日+15+DATE(Calendar2Year,Calendar2MonthOption,1)-WEEKDAY(DATE(Calendar2Year,Calendar2MonthOption,1),WeekdayOption)</f>
        <v>43569</v>
      </c>
      <c r="C21" s="18">
        <f ca="1"/>
        <v>43570</v>
      </c>
      <c r="D21" s="18">
        <f ca="1"/>
        <v>43571</v>
      </c>
      <c r="E21" s="18">
        <f ca="1"/>
        <v>43572</v>
      </c>
      <c r="F21" s="18">
        <f ca="1"/>
        <v>43573</v>
      </c>
      <c r="G21" s="18">
        <f ca="1"/>
        <v>43574</v>
      </c>
      <c r="H21" s="19">
        <f ca="1"/>
        <v>43575</v>
      </c>
    </row>
    <row r="22" spans="1:8" ht="56.25" customHeight="1" x14ac:dyDescent="0.3">
      <c r="B22" s="20"/>
      <c r="C22" s="20"/>
      <c r="D22" s="20"/>
      <c r="E22" s="20"/>
      <c r="F22" s="20"/>
      <c r="G22" s="20"/>
      <c r="H22" s="21"/>
    </row>
    <row r="23" spans="1:8" ht="16.5" customHeight="1" x14ac:dyDescent="0.3">
      <c r="B23" s="18">
        <f t="array" aca="1" ref="B23:H23" ca="1">日+22+DATE(Calendar2Year,Calendar2MonthOption,1)-WEEKDAY(DATE(Calendar2Year,Calendar2MonthOption,1),WeekdayOption)</f>
        <v>43576</v>
      </c>
      <c r="C23" s="18">
        <f ca="1"/>
        <v>43577</v>
      </c>
      <c r="D23" s="18">
        <f ca="1"/>
        <v>43578</v>
      </c>
      <c r="E23" s="18">
        <f ca="1"/>
        <v>43579</v>
      </c>
      <c r="F23" s="18">
        <f ca="1"/>
        <v>43580</v>
      </c>
      <c r="G23" s="18">
        <f ca="1"/>
        <v>43581</v>
      </c>
      <c r="H23" s="19">
        <f ca="1"/>
        <v>43582</v>
      </c>
    </row>
    <row r="24" spans="1:8" ht="56.25" customHeight="1" x14ac:dyDescent="0.3">
      <c r="B24" s="20"/>
      <c r="C24" s="20"/>
      <c r="D24" s="20"/>
      <c r="E24" s="20"/>
      <c r="F24" s="20"/>
      <c r="G24" s="20"/>
      <c r="H24" s="21"/>
    </row>
    <row r="25" spans="1:8" ht="16.5" customHeight="1" x14ac:dyDescent="0.3">
      <c r="B25" s="18">
        <f t="array" aca="1" ref="B25:H25" ca="1">日+29+DATE(Calendar2Year,Calendar2MonthOption,1)-WEEKDAY(DATE(Calendar2Year,Calendar2MonthOption,1),WeekdayOption)</f>
        <v>43583</v>
      </c>
      <c r="C25" s="18">
        <f ca="1"/>
        <v>43584</v>
      </c>
      <c r="D25" s="18">
        <f ca="1"/>
        <v>43585</v>
      </c>
      <c r="E25" s="18">
        <f ca="1"/>
        <v>43586</v>
      </c>
      <c r="F25" s="18">
        <f ca="1"/>
        <v>43587</v>
      </c>
      <c r="G25" s="18">
        <f ca="1"/>
        <v>43588</v>
      </c>
      <c r="H25" s="19">
        <f ca="1"/>
        <v>43589</v>
      </c>
    </row>
    <row r="26" spans="1:8" ht="57" customHeight="1" x14ac:dyDescent="0.3">
      <c r="B26" s="20"/>
      <c r="C26" s="20"/>
      <c r="D26" s="20"/>
      <c r="E26" s="20"/>
      <c r="F26" s="20"/>
      <c r="G26" s="20"/>
      <c r="H26" s="25"/>
    </row>
    <row r="27" spans="1:8" ht="16.5" customHeight="1" x14ac:dyDescent="0.3">
      <c r="B27" s="18">
        <f t="array" aca="1" ref="B27:C27" ca="1">日+36+DATE(Calendar2Year,Calendar2MonthOption,1)-WEEKDAY(DATE(Calendar2Year,Calendar2MonthOption,1),WeekdayOption)</f>
        <v>43590</v>
      </c>
      <c r="C27" s="18">
        <f ca="1"/>
        <v>43591</v>
      </c>
      <c r="D27" s="30" t="s">
        <v>406</v>
      </c>
      <c r="E27" s="30"/>
      <c r="F27" s="30"/>
      <c r="G27" s="30"/>
      <c r="H27" s="30"/>
    </row>
    <row r="28" spans="1:8" ht="63.75" customHeight="1" x14ac:dyDescent="0.3">
      <c r="B28" s="20"/>
      <c r="C28" s="20"/>
      <c r="D28" s="28"/>
      <c r="E28" s="28"/>
      <c r="F28" s="28"/>
      <c r="G28" s="28"/>
      <c r="H28" s="28"/>
    </row>
    <row r="29" spans="1:8" ht="54" customHeight="1" x14ac:dyDescent="0.75">
      <c r="A29" s="10"/>
      <c r="B29" s="11">
        <f ca="1">YEAR(DATE(Calendar2Year,Calendar2MonthOption+1,1))</f>
        <v>2019</v>
      </c>
      <c r="C29" s="12" t="str">
        <f ca="1">TEXT(DATE(Calendar2Year,Calendar2MonthOption+1,1),"m月")</f>
        <v>5月</v>
      </c>
      <c r="D29" s="10"/>
      <c r="E29" s="10"/>
      <c r="F29" s="10"/>
      <c r="G29" s="10"/>
      <c r="H29" s="10"/>
    </row>
    <row r="30" spans="1:8" ht="14.25" customHeight="1" x14ac:dyDescent="0.35">
      <c r="A30" s="14"/>
      <c r="B30" s="15" t="str">
        <f t="shared" ref="B30:H30" ca="1" si="2">UPPER(TEXT(B31,"aaaa"))</f>
        <v>星期日</v>
      </c>
      <c r="C30" s="17" t="str">
        <f t="shared" ca="1" si="2"/>
        <v>星期一</v>
      </c>
      <c r="D30" s="15" t="str">
        <f t="shared" ca="1" si="2"/>
        <v>星期二</v>
      </c>
      <c r="E30" s="17" t="str">
        <f t="shared" ca="1" si="2"/>
        <v>星期三</v>
      </c>
      <c r="F30" s="15" t="str">
        <f t="shared" ca="1" si="2"/>
        <v>星期四</v>
      </c>
      <c r="G30" s="17" t="str">
        <f t="shared" ca="1" si="2"/>
        <v>星期五</v>
      </c>
      <c r="H30" s="15" t="str">
        <f t="shared" ca="1" si="2"/>
        <v>星期六</v>
      </c>
    </row>
    <row r="31" spans="1:8" ht="16.5" customHeight="1" x14ac:dyDescent="0.3">
      <c r="B31" s="18">
        <f t="array" aca="1" ref="B31:H31" ca="1">日+1+DATE(Calendar3Year,Calendar3MonthOption,1)-WEEKDAY(DATE(Calendar3Year,Calendar3MonthOption,1),WeekdayOption)</f>
        <v>43583</v>
      </c>
      <c r="C31" s="18">
        <f ca="1"/>
        <v>43584</v>
      </c>
      <c r="D31" s="18">
        <f ca="1"/>
        <v>43585</v>
      </c>
      <c r="E31" s="18">
        <f ca="1"/>
        <v>43586</v>
      </c>
      <c r="F31" s="18">
        <f ca="1"/>
        <v>43587</v>
      </c>
      <c r="G31" s="18">
        <f ca="1"/>
        <v>43588</v>
      </c>
      <c r="H31" s="19">
        <f ca="1"/>
        <v>43589</v>
      </c>
    </row>
    <row r="32" spans="1:8" ht="56.25" customHeight="1" x14ac:dyDescent="0.3">
      <c r="B32" s="20"/>
      <c r="C32" s="20"/>
      <c r="D32" s="20"/>
      <c r="E32" s="20"/>
      <c r="F32" s="20"/>
      <c r="G32" s="20"/>
      <c r="H32" s="21"/>
    </row>
    <row r="33" spans="1:8" ht="16.5" customHeight="1" x14ac:dyDescent="0.3">
      <c r="B33" s="18">
        <f t="array" aca="1" ref="B33:H33" ca="1">日+8+DATE(Calendar3Year,Calendar3MonthOption,1)-WEEKDAY(DATE(Calendar3Year,Calendar3MonthOption,1),WeekdayOption)</f>
        <v>43590</v>
      </c>
      <c r="C33" s="18">
        <f ca="1"/>
        <v>43591</v>
      </c>
      <c r="D33" s="18">
        <f ca="1"/>
        <v>43592</v>
      </c>
      <c r="E33" s="18">
        <f ca="1"/>
        <v>43593</v>
      </c>
      <c r="F33" s="18">
        <f ca="1"/>
        <v>43594</v>
      </c>
      <c r="G33" s="18">
        <f ca="1"/>
        <v>43595</v>
      </c>
      <c r="H33" s="19">
        <f ca="1"/>
        <v>43596</v>
      </c>
    </row>
    <row r="34" spans="1:8" ht="56.25" customHeight="1" x14ac:dyDescent="0.3">
      <c r="B34" s="20"/>
      <c r="C34" s="20"/>
      <c r="D34" s="20"/>
      <c r="E34" s="20"/>
      <c r="F34" s="20"/>
      <c r="G34" s="20"/>
      <c r="H34" s="21"/>
    </row>
    <row r="35" spans="1:8" ht="16.5" customHeight="1" x14ac:dyDescent="0.3">
      <c r="B35" s="18">
        <f t="array" aca="1" ref="B35:H35" ca="1">日+15+DATE(Calendar3Year,Calendar3MonthOption,1)-WEEKDAY(DATE(Calendar3Year,Calendar3MonthOption,1),WeekdayOption)</f>
        <v>43597</v>
      </c>
      <c r="C35" s="18">
        <f ca="1"/>
        <v>43598</v>
      </c>
      <c r="D35" s="18">
        <f ca="1"/>
        <v>43599</v>
      </c>
      <c r="E35" s="18">
        <f ca="1"/>
        <v>43600</v>
      </c>
      <c r="F35" s="18">
        <f ca="1"/>
        <v>43601</v>
      </c>
      <c r="G35" s="18">
        <f ca="1"/>
        <v>43602</v>
      </c>
      <c r="H35" s="19">
        <f ca="1"/>
        <v>43603</v>
      </c>
    </row>
    <row r="36" spans="1:8" ht="56.25" customHeight="1" x14ac:dyDescent="0.3">
      <c r="B36" s="20"/>
      <c r="C36" s="20"/>
      <c r="D36" s="20"/>
      <c r="E36" s="20"/>
      <c r="F36" s="20"/>
      <c r="G36" s="20"/>
      <c r="H36" s="21"/>
    </row>
    <row r="37" spans="1:8" ht="16.5" customHeight="1" x14ac:dyDescent="0.3">
      <c r="B37" s="18">
        <f t="array" aca="1" ref="B37:H37" ca="1">日+22+DATE(Calendar3Year,Calendar3MonthOption,1)-WEEKDAY(DATE(Calendar3Year,Calendar3MonthOption,1),WeekdayOption)</f>
        <v>43604</v>
      </c>
      <c r="C37" s="18">
        <f ca="1"/>
        <v>43605</v>
      </c>
      <c r="D37" s="18">
        <f ca="1"/>
        <v>43606</v>
      </c>
      <c r="E37" s="18">
        <f ca="1"/>
        <v>43607</v>
      </c>
      <c r="F37" s="18">
        <f ca="1"/>
        <v>43608</v>
      </c>
      <c r="G37" s="18">
        <f ca="1"/>
        <v>43609</v>
      </c>
      <c r="H37" s="19">
        <f ca="1"/>
        <v>43610</v>
      </c>
    </row>
    <row r="38" spans="1:8" ht="56.25" customHeight="1" x14ac:dyDescent="0.3">
      <c r="B38" s="20"/>
      <c r="C38" s="20"/>
      <c r="D38" s="20"/>
      <c r="E38" s="20"/>
      <c r="F38" s="20"/>
      <c r="G38" s="20"/>
      <c r="H38" s="21"/>
    </row>
    <row r="39" spans="1:8" ht="16.5" customHeight="1" x14ac:dyDescent="0.3">
      <c r="B39" s="18">
        <f t="array" aca="1" ref="B39:H39" ca="1">日+29+DATE(Calendar3Year,Calendar3MonthOption,1)-WEEKDAY(DATE(Calendar3Year,Calendar3MonthOption,1),WeekdayOption)</f>
        <v>43611</v>
      </c>
      <c r="C39" s="18">
        <f ca="1"/>
        <v>43612</v>
      </c>
      <c r="D39" s="18">
        <f ca="1"/>
        <v>43613</v>
      </c>
      <c r="E39" s="18">
        <f ca="1"/>
        <v>43614</v>
      </c>
      <c r="F39" s="18">
        <f ca="1"/>
        <v>43615</v>
      </c>
      <c r="G39" s="18">
        <f ca="1"/>
        <v>43616</v>
      </c>
      <c r="H39" s="19">
        <f ca="1"/>
        <v>43617</v>
      </c>
    </row>
    <row r="40" spans="1:8" ht="57" customHeight="1" x14ac:dyDescent="0.3">
      <c r="B40" s="20"/>
      <c r="C40" s="20"/>
      <c r="D40" s="20"/>
      <c r="E40" s="20"/>
      <c r="F40" s="20"/>
      <c r="G40" s="20"/>
      <c r="H40" s="25"/>
    </row>
    <row r="41" spans="1:8" ht="16.5" customHeight="1" x14ac:dyDescent="0.3">
      <c r="B41" s="18">
        <f t="array" aca="1" ref="B41:C41" ca="1">日+36+DATE(Calendar3Year,Calendar3MonthOption,1)-WEEKDAY(DATE(Calendar3Year,Calendar3MonthOption,1),WeekdayOption)</f>
        <v>43618</v>
      </c>
      <c r="C41" s="18">
        <f ca="1"/>
        <v>43619</v>
      </c>
      <c r="D41" s="30" t="s">
        <v>406</v>
      </c>
      <c r="E41" s="30"/>
      <c r="F41" s="30"/>
      <c r="G41" s="30"/>
      <c r="H41" s="30"/>
    </row>
    <row r="42" spans="1:8" ht="63.75" customHeight="1" x14ac:dyDescent="0.3">
      <c r="B42" s="20"/>
      <c r="C42" s="20"/>
      <c r="D42" s="28"/>
      <c r="E42" s="28"/>
      <c r="F42" s="28"/>
      <c r="G42" s="28"/>
      <c r="H42" s="28"/>
    </row>
    <row r="43" spans="1:8" ht="54" customHeight="1" x14ac:dyDescent="0.75">
      <c r="A43" s="10"/>
      <c r="B43" s="11">
        <f ca="1">YEAR(DATE(Calendar3Year,Calendar3MonthOption+1,1))</f>
        <v>2019</v>
      </c>
      <c r="C43" s="12" t="str">
        <f ca="1">TEXT(DATE(Calendar3Year,Calendar3MonthOption+1,1),"m月")</f>
        <v>6月</v>
      </c>
      <c r="D43" s="10"/>
      <c r="E43" s="10"/>
      <c r="F43" s="10"/>
      <c r="G43" s="10"/>
      <c r="H43" s="10"/>
    </row>
    <row r="44" spans="1:8" ht="14.25" customHeight="1" x14ac:dyDescent="0.35">
      <c r="A44" s="14"/>
      <c r="B44" s="15" t="str">
        <f t="shared" ref="B44:H44" ca="1" si="3">UPPER(TEXT(B45,"aaaa"))</f>
        <v>星期日</v>
      </c>
      <c r="C44" s="17" t="str">
        <f t="shared" ca="1" si="3"/>
        <v>星期一</v>
      </c>
      <c r="D44" s="15" t="str">
        <f t="shared" ca="1" si="3"/>
        <v>星期二</v>
      </c>
      <c r="E44" s="17" t="str">
        <f t="shared" ca="1" si="3"/>
        <v>星期三</v>
      </c>
      <c r="F44" s="15" t="str">
        <f t="shared" ca="1" si="3"/>
        <v>星期四</v>
      </c>
      <c r="G44" s="17" t="str">
        <f t="shared" ca="1" si="3"/>
        <v>星期五</v>
      </c>
      <c r="H44" s="15" t="str">
        <f t="shared" ca="1" si="3"/>
        <v>星期六</v>
      </c>
    </row>
    <row r="45" spans="1:8" ht="16.5" customHeight="1" x14ac:dyDescent="0.3">
      <c r="B45" s="18">
        <f t="array" aca="1" ref="B45:H45" ca="1">日+1+DATE(Calendar4Year,Calendar4MonthOption,1)-WEEKDAY(DATE(Calendar4Year,Calendar4MonthOption,1),WeekdayOption)</f>
        <v>43611</v>
      </c>
      <c r="C45" s="18">
        <f ca="1"/>
        <v>43612</v>
      </c>
      <c r="D45" s="18">
        <f ca="1"/>
        <v>43613</v>
      </c>
      <c r="E45" s="18">
        <f ca="1"/>
        <v>43614</v>
      </c>
      <c r="F45" s="18">
        <f ca="1"/>
        <v>43615</v>
      </c>
      <c r="G45" s="18">
        <f ca="1"/>
        <v>43616</v>
      </c>
      <c r="H45" s="19">
        <f ca="1"/>
        <v>43617</v>
      </c>
    </row>
    <row r="46" spans="1:8" ht="56.25" customHeight="1" x14ac:dyDescent="0.3">
      <c r="B46" s="20"/>
      <c r="C46" s="20"/>
      <c r="D46" s="20"/>
      <c r="E46" s="20"/>
      <c r="F46" s="20"/>
      <c r="G46" s="20"/>
      <c r="H46" s="21"/>
    </row>
    <row r="47" spans="1:8" ht="16.5" customHeight="1" x14ac:dyDescent="0.3">
      <c r="B47" s="18">
        <f t="array" aca="1" ref="B47:H47" ca="1">日+8+DATE(Calendar4Year,Calendar4MonthOption,1)-WEEKDAY(DATE(Calendar4Year,Calendar4MonthOption,1),WeekdayOption)</f>
        <v>43618</v>
      </c>
      <c r="C47" s="18">
        <f ca="1"/>
        <v>43619</v>
      </c>
      <c r="D47" s="18">
        <f ca="1"/>
        <v>43620</v>
      </c>
      <c r="E47" s="18">
        <f ca="1"/>
        <v>43621</v>
      </c>
      <c r="F47" s="18">
        <f ca="1"/>
        <v>43622</v>
      </c>
      <c r="G47" s="18">
        <f ca="1"/>
        <v>43623</v>
      </c>
      <c r="H47" s="19">
        <f ca="1"/>
        <v>43624</v>
      </c>
    </row>
    <row r="48" spans="1:8" ht="56.25" customHeight="1" x14ac:dyDescent="0.3">
      <c r="B48" s="20"/>
      <c r="C48" s="20"/>
      <c r="D48" s="20"/>
      <c r="E48" s="20"/>
      <c r="F48" s="20"/>
      <c r="G48" s="20"/>
      <c r="H48" s="21"/>
    </row>
    <row r="49" spans="1:8" ht="16.5" customHeight="1" x14ac:dyDescent="0.3">
      <c r="B49" s="18">
        <f t="array" aca="1" ref="B49:H49" ca="1">日+15+DATE(Calendar4Year,Calendar4MonthOption,1)-WEEKDAY(DATE(Calendar4Year,Calendar4MonthOption,1),WeekdayOption)</f>
        <v>43625</v>
      </c>
      <c r="C49" s="18">
        <f ca="1"/>
        <v>43626</v>
      </c>
      <c r="D49" s="18">
        <f ca="1"/>
        <v>43627</v>
      </c>
      <c r="E49" s="18">
        <f ca="1"/>
        <v>43628</v>
      </c>
      <c r="F49" s="18">
        <f ca="1"/>
        <v>43629</v>
      </c>
      <c r="G49" s="18">
        <f ca="1"/>
        <v>43630</v>
      </c>
      <c r="H49" s="19">
        <f ca="1"/>
        <v>43631</v>
      </c>
    </row>
    <row r="50" spans="1:8" ht="56.25" customHeight="1" x14ac:dyDescent="0.3">
      <c r="B50" s="20"/>
      <c r="C50" s="20"/>
      <c r="D50" s="20"/>
      <c r="E50" s="20"/>
      <c r="F50" s="20"/>
      <c r="G50" s="20"/>
      <c r="H50" s="21"/>
    </row>
    <row r="51" spans="1:8" ht="16.5" customHeight="1" x14ac:dyDescent="0.3">
      <c r="B51" s="18">
        <f t="array" aca="1" ref="B51:H51" ca="1">日+22+DATE(Calendar4Year,Calendar4MonthOption,1)-WEEKDAY(DATE(Calendar4Year,Calendar4MonthOption,1),WeekdayOption)</f>
        <v>43632</v>
      </c>
      <c r="C51" s="18">
        <f ca="1"/>
        <v>43633</v>
      </c>
      <c r="D51" s="18">
        <f ca="1"/>
        <v>43634</v>
      </c>
      <c r="E51" s="18">
        <f ca="1"/>
        <v>43635</v>
      </c>
      <c r="F51" s="18">
        <f ca="1"/>
        <v>43636</v>
      </c>
      <c r="G51" s="18">
        <f ca="1"/>
        <v>43637</v>
      </c>
      <c r="H51" s="19">
        <f ca="1"/>
        <v>43638</v>
      </c>
    </row>
    <row r="52" spans="1:8" ht="56.25" customHeight="1" x14ac:dyDescent="0.3">
      <c r="B52" s="20"/>
      <c r="C52" s="20"/>
      <c r="D52" s="20"/>
      <c r="E52" s="20"/>
      <c r="F52" s="20"/>
      <c r="G52" s="20"/>
      <c r="H52" s="21"/>
    </row>
    <row r="53" spans="1:8" ht="16.5" customHeight="1" x14ac:dyDescent="0.3">
      <c r="B53" s="18">
        <f t="array" aca="1" ref="B53:H53" ca="1">日+29+DATE(Calendar4Year,Calendar4MonthOption,1)-WEEKDAY(DATE(Calendar4Year,Calendar4MonthOption,1),WeekdayOption)</f>
        <v>43639</v>
      </c>
      <c r="C53" s="18">
        <f ca="1"/>
        <v>43640</v>
      </c>
      <c r="D53" s="18">
        <f ca="1"/>
        <v>43641</v>
      </c>
      <c r="E53" s="18">
        <f ca="1"/>
        <v>43642</v>
      </c>
      <c r="F53" s="18">
        <f ca="1"/>
        <v>43643</v>
      </c>
      <c r="G53" s="18">
        <f ca="1"/>
        <v>43644</v>
      </c>
      <c r="H53" s="19">
        <f ca="1"/>
        <v>43645</v>
      </c>
    </row>
    <row r="54" spans="1:8" ht="57" customHeight="1" x14ac:dyDescent="0.3">
      <c r="B54" s="20"/>
      <c r="C54" s="20"/>
      <c r="D54" s="20"/>
      <c r="E54" s="20"/>
      <c r="F54" s="20"/>
      <c r="G54" s="20"/>
      <c r="H54" s="25"/>
    </row>
    <row r="55" spans="1:8" ht="16.5" customHeight="1" x14ac:dyDescent="0.3">
      <c r="B55" s="18">
        <f t="array" aca="1" ref="B55:C55" ca="1">日+36+DATE(Calendar4Year,Calendar4MonthOption,1)-WEEKDAY(DATE(Calendar4Year,Calendar4MonthOption,1),WeekdayOption)</f>
        <v>43646</v>
      </c>
      <c r="C55" s="18">
        <f ca="1"/>
        <v>43647</v>
      </c>
      <c r="D55" s="30" t="s">
        <v>406</v>
      </c>
      <c r="E55" s="30"/>
      <c r="F55" s="30"/>
      <c r="G55" s="30"/>
      <c r="H55" s="30"/>
    </row>
    <row r="56" spans="1:8" ht="63.75" customHeight="1" x14ac:dyDescent="0.3">
      <c r="B56" s="20"/>
      <c r="C56" s="20"/>
      <c r="D56" s="28"/>
      <c r="E56" s="28"/>
      <c r="F56" s="28"/>
      <c r="G56" s="28"/>
      <c r="H56" s="28"/>
    </row>
    <row r="57" spans="1:8" ht="54" customHeight="1" x14ac:dyDescent="0.75">
      <c r="A57" s="10"/>
      <c r="B57" s="11">
        <f ca="1">YEAR(DATE(Calendar4Year,Calendar4MonthOption+1,1))</f>
        <v>2019</v>
      </c>
      <c r="C57" s="12" t="str">
        <f ca="1">TEXT(DATE(Calendar4Year,Calendar4MonthOption+1,1),"m月")</f>
        <v>7月</v>
      </c>
      <c r="D57" s="10"/>
      <c r="E57" s="10"/>
      <c r="F57" s="10"/>
      <c r="G57" s="10"/>
      <c r="H57" s="10"/>
    </row>
    <row r="58" spans="1:8" ht="14.25" customHeight="1" x14ac:dyDescent="0.35">
      <c r="A58" s="14"/>
      <c r="B58" s="15" t="str">
        <f t="shared" ref="B58:H58" ca="1" si="4">UPPER(TEXT(B59,"aaaa"))</f>
        <v>星期日</v>
      </c>
      <c r="C58" s="17" t="str">
        <f t="shared" ca="1" si="4"/>
        <v>星期一</v>
      </c>
      <c r="D58" s="15" t="str">
        <f t="shared" ca="1" si="4"/>
        <v>星期二</v>
      </c>
      <c r="E58" s="17" t="str">
        <f t="shared" ca="1" si="4"/>
        <v>星期三</v>
      </c>
      <c r="F58" s="15" t="str">
        <f t="shared" ca="1" si="4"/>
        <v>星期四</v>
      </c>
      <c r="G58" s="17" t="str">
        <f t="shared" ca="1" si="4"/>
        <v>星期五</v>
      </c>
      <c r="H58" s="15" t="str">
        <f t="shared" ca="1" si="4"/>
        <v>星期六</v>
      </c>
    </row>
    <row r="59" spans="1:8" ht="16.5" customHeight="1" x14ac:dyDescent="0.3">
      <c r="B59" s="18">
        <f t="array" aca="1" ref="B59:H59" ca="1">日+1+DATE(Calendar5Year,Calendar5MonthOption,1)-WEEKDAY(DATE(Calendar5Year,Calendar5MonthOption,1),WeekdayOption)</f>
        <v>43646</v>
      </c>
      <c r="C59" s="18">
        <f ca="1"/>
        <v>43647</v>
      </c>
      <c r="D59" s="18">
        <f ca="1"/>
        <v>43648</v>
      </c>
      <c r="E59" s="18">
        <f ca="1"/>
        <v>43649</v>
      </c>
      <c r="F59" s="18">
        <f ca="1"/>
        <v>43650</v>
      </c>
      <c r="G59" s="18">
        <f ca="1"/>
        <v>43651</v>
      </c>
      <c r="H59" s="19">
        <f ca="1"/>
        <v>43652</v>
      </c>
    </row>
    <row r="60" spans="1:8" ht="56.25" customHeight="1" x14ac:dyDescent="0.3">
      <c r="B60" s="20"/>
      <c r="C60" s="20"/>
      <c r="D60" s="20"/>
      <c r="E60" s="20"/>
      <c r="F60" s="20"/>
      <c r="G60" s="20"/>
      <c r="H60" s="21"/>
    </row>
    <row r="61" spans="1:8" ht="16.5" customHeight="1" x14ac:dyDescent="0.3">
      <c r="B61" s="18">
        <f t="array" aca="1" ref="B61:H61" ca="1">日+8+DATE(Calendar5Year,Calendar5MonthOption,1)-WEEKDAY(DATE(Calendar5Year,Calendar5MonthOption,1),WeekdayOption)</f>
        <v>43653</v>
      </c>
      <c r="C61" s="18">
        <f ca="1"/>
        <v>43654</v>
      </c>
      <c r="D61" s="18">
        <f ca="1"/>
        <v>43655</v>
      </c>
      <c r="E61" s="18">
        <f ca="1"/>
        <v>43656</v>
      </c>
      <c r="F61" s="18">
        <f ca="1"/>
        <v>43657</v>
      </c>
      <c r="G61" s="18">
        <f ca="1"/>
        <v>43658</v>
      </c>
      <c r="H61" s="19">
        <f ca="1"/>
        <v>43659</v>
      </c>
    </row>
    <row r="62" spans="1:8" ht="56.25" customHeight="1" x14ac:dyDescent="0.3">
      <c r="B62" s="20"/>
      <c r="C62" s="20"/>
      <c r="D62" s="20"/>
      <c r="E62" s="20"/>
      <c r="F62" s="20"/>
      <c r="G62" s="20"/>
      <c r="H62" s="21"/>
    </row>
    <row r="63" spans="1:8" ht="16.5" customHeight="1" x14ac:dyDescent="0.3">
      <c r="B63" s="18">
        <f t="array" aca="1" ref="B63:H63" ca="1">日+15+DATE(Calendar5Year,Calendar5MonthOption,1)-WEEKDAY(DATE(Calendar5Year,Calendar5MonthOption,1),WeekdayOption)</f>
        <v>43660</v>
      </c>
      <c r="C63" s="18">
        <f ca="1"/>
        <v>43661</v>
      </c>
      <c r="D63" s="18">
        <f ca="1"/>
        <v>43662</v>
      </c>
      <c r="E63" s="18">
        <f ca="1"/>
        <v>43663</v>
      </c>
      <c r="F63" s="18">
        <f ca="1"/>
        <v>43664</v>
      </c>
      <c r="G63" s="18">
        <f ca="1"/>
        <v>43665</v>
      </c>
      <c r="H63" s="19">
        <f ca="1"/>
        <v>43666</v>
      </c>
    </row>
    <row r="64" spans="1:8" ht="56.25" customHeight="1" x14ac:dyDescent="0.3">
      <c r="B64" s="20"/>
      <c r="C64" s="20"/>
      <c r="D64" s="20"/>
      <c r="E64" s="20"/>
      <c r="F64" s="20"/>
      <c r="G64" s="20"/>
      <c r="H64" s="21"/>
    </row>
    <row r="65" spans="1:8" ht="16.5" customHeight="1" x14ac:dyDescent="0.3">
      <c r="B65" s="18">
        <f t="array" aca="1" ref="B65:H65" ca="1">日+22+DATE(Calendar5Year,Calendar5MonthOption,1)-WEEKDAY(DATE(Calendar5Year,Calendar5MonthOption,1),WeekdayOption)</f>
        <v>43667</v>
      </c>
      <c r="C65" s="18">
        <f ca="1"/>
        <v>43668</v>
      </c>
      <c r="D65" s="18">
        <f ca="1"/>
        <v>43669</v>
      </c>
      <c r="E65" s="18">
        <f ca="1"/>
        <v>43670</v>
      </c>
      <c r="F65" s="18">
        <f ca="1"/>
        <v>43671</v>
      </c>
      <c r="G65" s="18">
        <f ca="1"/>
        <v>43672</v>
      </c>
      <c r="H65" s="19">
        <f ca="1"/>
        <v>43673</v>
      </c>
    </row>
    <row r="66" spans="1:8" ht="56.25" customHeight="1" x14ac:dyDescent="0.3">
      <c r="B66" s="20"/>
      <c r="C66" s="20"/>
      <c r="D66" s="20"/>
      <c r="E66" s="20"/>
      <c r="F66" s="20"/>
      <c r="G66" s="20"/>
      <c r="H66" s="21"/>
    </row>
    <row r="67" spans="1:8" ht="16.5" customHeight="1" x14ac:dyDescent="0.3">
      <c r="B67" s="18">
        <f t="array" aca="1" ref="B67:H67" ca="1">日+29+DATE(Calendar5Year,Calendar5MonthOption,1)-WEEKDAY(DATE(Calendar5Year,Calendar5MonthOption,1),WeekdayOption)</f>
        <v>43674</v>
      </c>
      <c r="C67" s="18">
        <f ca="1"/>
        <v>43675</v>
      </c>
      <c r="D67" s="18">
        <f ca="1"/>
        <v>43676</v>
      </c>
      <c r="E67" s="18">
        <f ca="1"/>
        <v>43677</v>
      </c>
      <c r="F67" s="18">
        <f ca="1"/>
        <v>43678</v>
      </c>
      <c r="G67" s="18">
        <f ca="1"/>
        <v>43679</v>
      </c>
      <c r="H67" s="19">
        <f ca="1"/>
        <v>43680</v>
      </c>
    </row>
    <row r="68" spans="1:8" ht="57" customHeight="1" x14ac:dyDescent="0.3">
      <c r="B68" s="20"/>
      <c r="C68" s="20"/>
      <c r="D68" s="20"/>
      <c r="E68" s="20"/>
      <c r="F68" s="20"/>
      <c r="G68" s="20"/>
      <c r="H68" s="25"/>
    </row>
    <row r="69" spans="1:8" ht="16.5" customHeight="1" x14ac:dyDescent="0.3">
      <c r="B69" s="18">
        <f t="array" aca="1" ref="B69:C69" ca="1">日+36+DATE(Calendar5Year,Calendar5MonthOption,1)-WEEKDAY(DATE(Calendar5Year,Calendar5MonthOption,1),WeekdayOption)</f>
        <v>43681</v>
      </c>
      <c r="C69" s="18">
        <f ca="1"/>
        <v>43682</v>
      </c>
      <c r="D69" s="30" t="s">
        <v>406</v>
      </c>
      <c r="E69" s="30"/>
      <c r="F69" s="30"/>
      <c r="G69" s="30"/>
      <c r="H69" s="30"/>
    </row>
    <row r="70" spans="1:8" ht="63.75" customHeight="1" x14ac:dyDescent="0.3">
      <c r="B70" s="20"/>
      <c r="C70" s="20"/>
      <c r="D70" s="28"/>
      <c r="E70" s="28"/>
      <c r="F70" s="28"/>
      <c r="G70" s="28"/>
      <c r="H70" s="28"/>
    </row>
    <row r="71" spans="1:8" ht="54" customHeight="1" x14ac:dyDescent="0.75">
      <c r="A71" s="10"/>
      <c r="B71" s="11">
        <f ca="1">YEAR(DATE(Calendar5Year,Calendar5MonthOption+1,1))</f>
        <v>2019</v>
      </c>
      <c r="C71" s="12" t="str">
        <f ca="1">TEXT(DATE(Calendar5Year,Calendar5MonthOption+1,1),"m月")</f>
        <v>8月</v>
      </c>
      <c r="D71" s="10"/>
      <c r="E71" s="10"/>
      <c r="F71" s="10"/>
      <c r="G71" s="10"/>
      <c r="H71" s="10"/>
    </row>
    <row r="72" spans="1:8" ht="14.25" customHeight="1" x14ac:dyDescent="0.35">
      <c r="A72" s="14"/>
      <c r="B72" s="15" t="str">
        <f t="shared" ref="B72:H72" ca="1" si="5">UPPER(TEXT(B73,"aaaa"))</f>
        <v>星期日</v>
      </c>
      <c r="C72" s="17" t="str">
        <f t="shared" ca="1" si="5"/>
        <v>星期一</v>
      </c>
      <c r="D72" s="15" t="str">
        <f t="shared" ca="1" si="5"/>
        <v>星期二</v>
      </c>
      <c r="E72" s="17" t="str">
        <f t="shared" ca="1" si="5"/>
        <v>星期三</v>
      </c>
      <c r="F72" s="15" t="str">
        <f t="shared" ca="1" si="5"/>
        <v>星期四</v>
      </c>
      <c r="G72" s="17" t="str">
        <f t="shared" ca="1" si="5"/>
        <v>星期五</v>
      </c>
      <c r="H72" s="15" t="str">
        <f t="shared" ca="1" si="5"/>
        <v>星期六</v>
      </c>
    </row>
    <row r="73" spans="1:8" ht="16.5" customHeight="1" x14ac:dyDescent="0.3">
      <c r="B73" s="18">
        <f t="array" aca="1" ref="B73:H73" ca="1">日+1+DATE(Calendar6Year,Calendar6MonthOption,1)-WEEKDAY(DATE(Calendar6Year,Calendar6MonthOption,1),WeekdayOption)</f>
        <v>43674</v>
      </c>
      <c r="C73" s="18">
        <f ca="1"/>
        <v>43675</v>
      </c>
      <c r="D73" s="18">
        <f ca="1"/>
        <v>43676</v>
      </c>
      <c r="E73" s="18">
        <f ca="1"/>
        <v>43677</v>
      </c>
      <c r="F73" s="18">
        <f ca="1"/>
        <v>43678</v>
      </c>
      <c r="G73" s="18">
        <f ca="1"/>
        <v>43679</v>
      </c>
      <c r="H73" s="19">
        <f ca="1"/>
        <v>43680</v>
      </c>
    </row>
    <row r="74" spans="1:8" ht="56.25" customHeight="1" x14ac:dyDescent="0.3">
      <c r="B74" s="20"/>
      <c r="C74" s="20"/>
      <c r="D74" s="20"/>
      <c r="E74" s="20"/>
      <c r="F74" s="20"/>
      <c r="G74" s="20"/>
      <c r="H74" s="21"/>
    </row>
    <row r="75" spans="1:8" ht="16.5" customHeight="1" x14ac:dyDescent="0.3">
      <c r="B75" s="18">
        <f t="array" aca="1" ref="B75:H75" ca="1">日+8+DATE(Calendar6Year,Calendar6MonthOption,1)-WEEKDAY(DATE(Calendar6Year,Calendar6MonthOption,1),WeekdayOption)</f>
        <v>43681</v>
      </c>
      <c r="C75" s="18">
        <f ca="1"/>
        <v>43682</v>
      </c>
      <c r="D75" s="18">
        <f ca="1"/>
        <v>43683</v>
      </c>
      <c r="E75" s="18">
        <f ca="1"/>
        <v>43684</v>
      </c>
      <c r="F75" s="18">
        <f ca="1"/>
        <v>43685</v>
      </c>
      <c r="G75" s="18">
        <f ca="1"/>
        <v>43686</v>
      </c>
      <c r="H75" s="19">
        <f ca="1"/>
        <v>43687</v>
      </c>
    </row>
    <row r="76" spans="1:8" ht="56.25" customHeight="1" x14ac:dyDescent="0.3">
      <c r="B76" s="20"/>
      <c r="C76" s="20"/>
      <c r="D76" s="20"/>
      <c r="E76" s="20"/>
      <c r="F76" s="20"/>
      <c r="G76" s="20"/>
      <c r="H76" s="21"/>
    </row>
    <row r="77" spans="1:8" ht="16.5" customHeight="1" x14ac:dyDescent="0.3">
      <c r="B77" s="18">
        <f t="array" aca="1" ref="B77:H77" ca="1">日+15+DATE(Calendar6Year,Calendar6MonthOption,1)-WEEKDAY(DATE(Calendar6Year,Calendar6MonthOption,1),WeekdayOption)</f>
        <v>43688</v>
      </c>
      <c r="C77" s="18">
        <f ca="1"/>
        <v>43689</v>
      </c>
      <c r="D77" s="18">
        <f ca="1"/>
        <v>43690</v>
      </c>
      <c r="E77" s="18">
        <f ca="1"/>
        <v>43691</v>
      </c>
      <c r="F77" s="18">
        <f ca="1"/>
        <v>43692</v>
      </c>
      <c r="G77" s="18">
        <f ca="1"/>
        <v>43693</v>
      </c>
      <c r="H77" s="19">
        <f ca="1"/>
        <v>43694</v>
      </c>
    </row>
    <row r="78" spans="1:8" ht="56.25" customHeight="1" x14ac:dyDescent="0.3">
      <c r="B78" s="20"/>
      <c r="C78" s="20"/>
      <c r="D78" s="20"/>
      <c r="E78" s="20"/>
      <c r="F78" s="20"/>
      <c r="G78" s="20"/>
      <c r="H78" s="21"/>
    </row>
    <row r="79" spans="1:8" ht="16.5" customHeight="1" x14ac:dyDescent="0.3">
      <c r="B79" s="18">
        <f t="array" aca="1" ref="B79:H79" ca="1">日+22+DATE(Calendar6Year,Calendar6MonthOption,1)-WEEKDAY(DATE(Calendar6Year,Calendar6MonthOption,1),WeekdayOption)</f>
        <v>43695</v>
      </c>
      <c r="C79" s="18">
        <f ca="1"/>
        <v>43696</v>
      </c>
      <c r="D79" s="18">
        <f ca="1"/>
        <v>43697</v>
      </c>
      <c r="E79" s="18">
        <f ca="1"/>
        <v>43698</v>
      </c>
      <c r="F79" s="18">
        <f ca="1"/>
        <v>43699</v>
      </c>
      <c r="G79" s="18">
        <f ca="1"/>
        <v>43700</v>
      </c>
      <c r="H79" s="19">
        <f ca="1"/>
        <v>43701</v>
      </c>
    </row>
    <row r="80" spans="1:8" ht="56.25" customHeight="1" x14ac:dyDescent="0.3">
      <c r="B80" s="20"/>
      <c r="C80" s="20"/>
      <c r="D80" s="20"/>
      <c r="E80" s="20"/>
      <c r="F80" s="20"/>
      <c r="G80" s="20"/>
      <c r="H80" s="21"/>
    </row>
    <row r="81" spans="1:8" ht="16.5" customHeight="1" x14ac:dyDescent="0.3">
      <c r="B81" s="18">
        <f t="array" aca="1" ref="B81:H81" ca="1">日+29+DATE(Calendar6Year,Calendar6MonthOption,1)-WEEKDAY(DATE(Calendar6Year,Calendar6MonthOption,1),WeekdayOption)</f>
        <v>43702</v>
      </c>
      <c r="C81" s="18">
        <f ca="1"/>
        <v>43703</v>
      </c>
      <c r="D81" s="18">
        <f ca="1"/>
        <v>43704</v>
      </c>
      <c r="E81" s="18">
        <f ca="1"/>
        <v>43705</v>
      </c>
      <c r="F81" s="18">
        <f ca="1"/>
        <v>43706</v>
      </c>
      <c r="G81" s="18">
        <f ca="1"/>
        <v>43707</v>
      </c>
      <c r="H81" s="19">
        <f ca="1"/>
        <v>43708</v>
      </c>
    </row>
    <row r="82" spans="1:8" ht="57" customHeight="1" x14ac:dyDescent="0.3">
      <c r="B82" s="20"/>
      <c r="C82" s="20"/>
      <c r="D82" s="20"/>
      <c r="E82" s="20"/>
      <c r="F82" s="20"/>
      <c r="G82" s="20"/>
      <c r="H82" s="25"/>
    </row>
    <row r="83" spans="1:8" ht="16.5" customHeight="1" x14ac:dyDescent="0.3">
      <c r="B83" s="18">
        <f t="array" aca="1" ref="B83:C83" ca="1">日+36+DATE(Calendar6Year,Calendar6MonthOption,1)-WEEKDAY(DATE(Calendar6Year,Calendar6MonthOption,1),WeekdayOption)</f>
        <v>43709</v>
      </c>
      <c r="C83" s="18">
        <f ca="1"/>
        <v>43710</v>
      </c>
      <c r="D83" s="30" t="s">
        <v>406</v>
      </c>
      <c r="E83" s="30"/>
      <c r="F83" s="30"/>
      <c r="G83" s="30"/>
      <c r="H83" s="30"/>
    </row>
    <row r="84" spans="1:8" ht="63.75" customHeight="1" x14ac:dyDescent="0.3">
      <c r="B84" s="20"/>
      <c r="C84" s="20"/>
      <c r="D84" s="28"/>
      <c r="E84" s="28"/>
      <c r="F84" s="28"/>
      <c r="G84" s="28"/>
      <c r="H84" s="28"/>
    </row>
    <row r="85" spans="1:8" ht="54" customHeight="1" x14ac:dyDescent="0.75">
      <c r="A85" s="10"/>
      <c r="B85" s="11">
        <f ca="1">YEAR(DATE(Calendar6Year,Calendar6MonthOption+1,1))</f>
        <v>2019</v>
      </c>
      <c r="C85" s="12" t="str">
        <f ca="1">TEXT(DATE(Calendar6Year,Calendar6MonthOption+1,1),"m月")</f>
        <v>9月</v>
      </c>
      <c r="D85" s="10"/>
      <c r="E85" s="10"/>
      <c r="F85" s="10"/>
      <c r="G85" s="10"/>
      <c r="H85" s="10"/>
    </row>
    <row r="86" spans="1:8" ht="14.25" customHeight="1" x14ac:dyDescent="0.35">
      <c r="A86" s="14"/>
      <c r="B86" s="15" t="str">
        <f t="shared" ref="B86:H86" ca="1" si="6">UPPER(TEXT(B87,"aaaa"))</f>
        <v>星期日</v>
      </c>
      <c r="C86" s="17" t="str">
        <f t="shared" ca="1" si="6"/>
        <v>星期一</v>
      </c>
      <c r="D86" s="15" t="str">
        <f t="shared" ca="1" si="6"/>
        <v>星期二</v>
      </c>
      <c r="E86" s="17" t="str">
        <f t="shared" ca="1" si="6"/>
        <v>星期三</v>
      </c>
      <c r="F86" s="15" t="str">
        <f t="shared" ca="1" si="6"/>
        <v>星期四</v>
      </c>
      <c r="G86" s="17" t="str">
        <f t="shared" ca="1" si="6"/>
        <v>星期五</v>
      </c>
      <c r="H86" s="15" t="str">
        <f t="shared" ca="1" si="6"/>
        <v>星期六</v>
      </c>
    </row>
    <row r="87" spans="1:8" ht="16.5" customHeight="1" x14ac:dyDescent="0.3">
      <c r="B87" s="18">
        <f t="array" aca="1" ref="B87:H87" ca="1">日+1+DATE(Calendar7Year,Calendar7MonthOption,1)-WEEKDAY(DATE(Calendar7Year,Calendar7MonthOption,1),WeekdayOption)</f>
        <v>43709</v>
      </c>
      <c r="C87" s="18">
        <f ca="1"/>
        <v>43710</v>
      </c>
      <c r="D87" s="18">
        <f ca="1"/>
        <v>43711</v>
      </c>
      <c r="E87" s="18">
        <f ca="1"/>
        <v>43712</v>
      </c>
      <c r="F87" s="18">
        <f ca="1"/>
        <v>43713</v>
      </c>
      <c r="G87" s="18">
        <f ca="1"/>
        <v>43714</v>
      </c>
      <c r="H87" s="19">
        <f ca="1"/>
        <v>43715</v>
      </c>
    </row>
    <row r="88" spans="1:8" ht="56.25" customHeight="1" x14ac:dyDescent="0.3">
      <c r="B88" s="20"/>
      <c r="C88" s="20"/>
      <c r="D88" s="20"/>
      <c r="E88" s="20"/>
      <c r="F88" s="20"/>
      <c r="G88" s="20"/>
      <c r="H88" s="21"/>
    </row>
    <row r="89" spans="1:8" ht="16.5" customHeight="1" x14ac:dyDescent="0.3">
      <c r="B89" s="18">
        <f t="array" aca="1" ref="B89:H89" ca="1">日+8+DATE(Calendar7Year,Calendar7MonthOption,1)-WEEKDAY(DATE(Calendar7Year,Calendar7MonthOption,1),WeekdayOption)</f>
        <v>43716</v>
      </c>
      <c r="C89" s="18">
        <f ca="1"/>
        <v>43717</v>
      </c>
      <c r="D89" s="18">
        <f ca="1"/>
        <v>43718</v>
      </c>
      <c r="E89" s="18">
        <f ca="1"/>
        <v>43719</v>
      </c>
      <c r="F89" s="18">
        <f ca="1"/>
        <v>43720</v>
      </c>
      <c r="G89" s="18">
        <f ca="1"/>
        <v>43721</v>
      </c>
      <c r="H89" s="19">
        <f ca="1"/>
        <v>43722</v>
      </c>
    </row>
    <row r="90" spans="1:8" ht="56.25" customHeight="1" x14ac:dyDescent="0.3">
      <c r="B90" s="20"/>
      <c r="C90" s="20"/>
      <c r="D90" s="20"/>
      <c r="E90" s="20"/>
      <c r="F90" s="20"/>
      <c r="G90" s="20"/>
      <c r="H90" s="21"/>
    </row>
    <row r="91" spans="1:8" ht="16.5" customHeight="1" x14ac:dyDescent="0.3">
      <c r="B91" s="18">
        <f t="array" aca="1" ref="B91:H91" ca="1">日+15+DATE(Calendar7Year,Calendar7MonthOption,1)-WEEKDAY(DATE(Calendar7Year,Calendar7MonthOption,1),WeekdayOption)</f>
        <v>43723</v>
      </c>
      <c r="C91" s="18">
        <f ca="1"/>
        <v>43724</v>
      </c>
      <c r="D91" s="18">
        <f ca="1"/>
        <v>43725</v>
      </c>
      <c r="E91" s="18">
        <f ca="1"/>
        <v>43726</v>
      </c>
      <c r="F91" s="18">
        <f ca="1"/>
        <v>43727</v>
      </c>
      <c r="G91" s="18">
        <f ca="1"/>
        <v>43728</v>
      </c>
      <c r="H91" s="19">
        <f ca="1"/>
        <v>43729</v>
      </c>
    </row>
    <row r="92" spans="1:8" ht="56.25" customHeight="1" x14ac:dyDescent="0.3">
      <c r="B92" s="20"/>
      <c r="C92" s="20"/>
      <c r="D92" s="20"/>
      <c r="E92" s="20"/>
      <c r="F92" s="20"/>
      <c r="G92" s="20"/>
      <c r="H92" s="21"/>
    </row>
    <row r="93" spans="1:8" ht="16.5" customHeight="1" x14ac:dyDescent="0.3">
      <c r="B93" s="18">
        <f t="array" aca="1" ref="B93:H93" ca="1">日+22+DATE(Calendar7Year,Calendar7MonthOption,1)-WEEKDAY(DATE(Calendar7Year,Calendar7MonthOption,1),WeekdayOption)</f>
        <v>43730</v>
      </c>
      <c r="C93" s="18">
        <f ca="1"/>
        <v>43731</v>
      </c>
      <c r="D93" s="18">
        <f ca="1"/>
        <v>43732</v>
      </c>
      <c r="E93" s="18">
        <f ca="1"/>
        <v>43733</v>
      </c>
      <c r="F93" s="18">
        <f ca="1"/>
        <v>43734</v>
      </c>
      <c r="G93" s="18">
        <f ca="1"/>
        <v>43735</v>
      </c>
      <c r="H93" s="19">
        <f ca="1"/>
        <v>43736</v>
      </c>
    </row>
    <row r="94" spans="1:8" ht="56.25" customHeight="1" x14ac:dyDescent="0.3">
      <c r="B94" s="20"/>
      <c r="C94" s="20"/>
      <c r="D94" s="20"/>
      <c r="E94" s="20"/>
      <c r="F94" s="20"/>
      <c r="G94" s="20"/>
      <c r="H94" s="21"/>
    </row>
    <row r="95" spans="1:8" ht="16.5" customHeight="1" x14ac:dyDescent="0.3">
      <c r="B95" s="18">
        <f t="array" aca="1" ref="B95:H95" ca="1">日+29+DATE(Calendar7Year,Calendar7MonthOption,1)-WEEKDAY(DATE(Calendar7Year,Calendar7MonthOption,1),WeekdayOption)</f>
        <v>43737</v>
      </c>
      <c r="C95" s="18">
        <f ca="1"/>
        <v>43738</v>
      </c>
      <c r="D95" s="18">
        <f ca="1"/>
        <v>43739</v>
      </c>
      <c r="E95" s="18">
        <f ca="1"/>
        <v>43740</v>
      </c>
      <c r="F95" s="18">
        <f ca="1"/>
        <v>43741</v>
      </c>
      <c r="G95" s="18">
        <f ca="1"/>
        <v>43742</v>
      </c>
      <c r="H95" s="19">
        <f ca="1"/>
        <v>43743</v>
      </c>
    </row>
    <row r="96" spans="1:8" ht="57" customHeight="1" x14ac:dyDescent="0.3">
      <c r="B96" s="20"/>
      <c r="C96" s="20"/>
      <c r="D96" s="20"/>
      <c r="E96" s="20"/>
      <c r="F96" s="20"/>
      <c r="G96" s="20"/>
      <c r="H96" s="25"/>
    </row>
    <row r="97" spans="1:8" ht="16.5" customHeight="1" x14ac:dyDescent="0.3">
      <c r="B97" s="18">
        <f t="array" aca="1" ref="B97:C97" ca="1">日+36+DATE(Calendar7Year,Calendar7MonthOption,1)-WEEKDAY(DATE(Calendar7Year,Calendar7MonthOption,1),WeekdayOption)</f>
        <v>43744</v>
      </c>
      <c r="C97" s="18">
        <f ca="1"/>
        <v>43745</v>
      </c>
      <c r="D97" s="30" t="s">
        <v>406</v>
      </c>
      <c r="E97" s="30"/>
      <c r="F97" s="30"/>
      <c r="G97" s="30"/>
      <c r="H97" s="30"/>
    </row>
    <row r="98" spans="1:8" ht="63.75" customHeight="1" x14ac:dyDescent="0.3">
      <c r="B98" s="20"/>
      <c r="C98" s="20"/>
      <c r="D98" s="28"/>
      <c r="E98" s="28"/>
      <c r="F98" s="28"/>
      <c r="G98" s="28"/>
      <c r="H98" s="28"/>
    </row>
    <row r="99" spans="1:8" ht="54" customHeight="1" x14ac:dyDescent="0.75">
      <c r="A99" s="10"/>
      <c r="B99" s="11">
        <f ca="1">YEAR(DATE(Calendar7Year,Calendar7MonthOption+1,1))</f>
        <v>2019</v>
      </c>
      <c r="C99" s="12" t="str">
        <f ca="1">TEXT(DATE(Calendar7Year,Calendar7MonthOption+1,1),"m月")</f>
        <v>10月</v>
      </c>
      <c r="D99" s="10"/>
      <c r="E99" s="10"/>
      <c r="F99" s="10"/>
      <c r="G99" s="10"/>
      <c r="H99" s="10"/>
    </row>
    <row r="100" spans="1:8" ht="14.25" customHeight="1" x14ac:dyDescent="0.35">
      <c r="A100" s="14"/>
      <c r="B100" s="15" t="str">
        <f t="shared" ref="B100:H100" ca="1" si="7">UPPER(TEXT(B101,"aaaa"))</f>
        <v>星期日</v>
      </c>
      <c r="C100" s="17" t="str">
        <f t="shared" ca="1" si="7"/>
        <v>星期一</v>
      </c>
      <c r="D100" s="15" t="str">
        <f t="shared" ca="1" si="7"/>
        <v>星期二</v>
      </c>
      <c r="E100" s="17" t="str">
        <f t="shared" ca="1" si="7"/>
        <v>星期三</v>
      </c>
      <c r="F100" s="15" t="str">
        <f t="shared" ca="1" si="7"/>
        <v>星期四</v>
      </c>
      <c r="G100" s="17" t="str">
        <f t="shared" ca="1" si="7"/>
        <v>星期五</v>
      </c>
      <c r="H100" s="15" t="str">
        <f t="shared" ca="1" si="7"/>
        <v>星期六</v>
      </c>
    </row>
    <row r="101" spans="1:8" ht="16.5" customHeight="1" x14ac:dyDescent="0.3">
      <c r="B101" s="18">
        <f t="array" aca="1" ref="B101:H101" ca="1">日+1+DATE(Calendar8Year,Calendar8MonthOption,1)-WEEKDAY(DATE(Calendar8Year,Calendar8MonthOption,1),WeekdayOption)</f>
        <v>43737</v>
      </c>
      <c r="C101" s="18">
        <f ca="1"/>
        <v>43738</v>
      </c>
      <c r="D101" s="18">
        <f ca="1"/>
        <v>43739</v>
      </c>
      <c r="E101" s="18">
        <f ca="1"/>
        <v>43740</v>
      </c>
      <c r="F101" s="18">
        <f ca="1"/>
        <v>43741</v>
      </c>
      <c r="G101" s="18">
        <f ca="1"/>
        <v>43742</v>
      </c>
      <c r="H101" s="19">
        <f ca="1"/>
        <v>43743</v>
      </c>
    </row>
    <row r="102" spans="1:8" ht="56.25" customHeight="1" x14ac:dyDescent="0.3">
      <c r="B102" s="20"/>
      <c r="C102" s="20"/>
      <c r="D102" s="20"/>
      <c r="E102" s="20"/>
      <c r="F102" s="20"/>
      <c r="G102" s="20"/>
      <c r="H102" s="21"/>
    </row>
    <row r="103" spans="1:8" ht="16.5" customHeight="1" x14ac:dyDescent="0.3">
      <c r="B103" s="18">
        <f t="array" aca="1" ref="B103:H103" ca="1">日+8+DATE(Calendar8Year,Calendar8MonthOption,1)-WEEKDAY(DATE(Calendar8Year,Calendar8MonthOption,1),WeekdayOption)</f>
        <v>43744</v>
      </c>
      <c r="C103" s="18">
        <f ca="1"/>
        <v>43745</v>
      </c>
      <c r="D103" s="18">
        <f ca="1"/>
        <v>43746</v>
      </c>
      <c r="E103" s="18">
        <f ca="1"/>
        <v>43747</v>
      </c>
      <c r="F103" s="18">
        <f ca="1"/>
        <v>43748</v>
      </c>
      <c r="G103" s="18">
        <f ca="1"/>
        <v>43749</v>
      </c>
      <c r="H103" s="19">
        <f ca="1"/>
        <v>43750</v>
      </c>
    </row>
    <row r="104" spans="1:8" ht="56.25" customHeight="1" x14ac:dyDescent="0.3">
      <c r="B104" s="20"/>
      <c r="C104" s="20"/>
      <c r="D104" s="20"/>
      <c r="E104" s="20"/>
      <c r="F104" s="20"/>
      <c r="G104" s="20"/>
      <c r="H104" s="21"/>
    </row>
    <row r="105" spans="1:8" ht="16.5" customHeight="1" x14ac:dyDescent="0.3">
      <c r="B105" s="18">
        <f t="array" aca="1" ref="B105:H105" ca="1">日+15+DATE(Calendar8Year,Calendar8MonthOption,1)-WEEKDAY(DATE(Calendar8Year,Calendar8MonthOption,1),WeekdayOption)</f>
        <v>43751</v>
      </c>
      <c r="C105" s="18">
        <f ca="1"/>
        <v>43752</v>
      </c>
      <c r="D105" s="18">
        <f ca="1"/>
        <v>43753</v>
      </c>
      <c r="E105" s="18">
        <f ca="1"/>
        <v>43754</v>
      </c>
      <c r="F105" s="18">
        <f ca="1"/>
        <v>43755</v>
      </c>
      <c r="G105" s="18">
        <f ca="1"/>
        <v>43756</v>
      </c>
      <c r="H105" s="19">
        <f ca="1"/>
        <v>43757</v>
      </c>
    </row>
    <row r="106" spans="1:8" ht="56.25" customHeight="1" x14ac:dyDescent="0.3">
      <c r="B106" s="20"/>
      <c r="C106" s="20"/>
      <c r="D106" s="20"/>
      <c r="E106" s="20"/>
      <c r="F106" s="20"/>
      <c r="G106" s="20"/>
      <c r="H106" s="21"/>
    </row>
    <row r="107" spans="1:8" ht="16.5" customHeight="1" x14ac:dyDescent="0.3">
      <c r="B107" s="18">
        <f t="array" aca="1" ref="B107:H107" ca="1">日+22+DATE(Calendar8Year,Calendar8MonthOption,1)-WEEKDAY(DATE(Calendar8Year,Calendar8MonthOption,1),WeekdayOption)</f>
        <v>43758</v>
      </c>
      <c r="C107" s="18">
        <f ca="1"/>
        <v>43759</v>
      </c>
      <c r="D107" s="18">
        <f ca="1"/>
        <v>43760</v>
      </c>
      <c r="E107" s="18">
        <f ca="1"/>
        <v>43761</v>
      </c>
      <c r="F107" s="18">
        <f ca="1"/>
        <v>43762</v>
      </c>
      <c r="G107" s="18">
        <f ca="1"/>
        <v>43763</v>
      </c>
      <c r="H107" s="19">
        <f ca="1"/>
        <v>43764</v>
      </c>
    </row>
    <row r="108" spans="1:8" ht="56.25" customHeight="1" x14ac:dyDescent="0.3">
      <c r="B108" s="20"/>
      <c r="C108" s="20"/>
      <c r="D108" s="20"/>
      <c r="E108" s="20"/>
      <c r="F108" s="20"/>
      <c r="G108" s="20"/>
      <c r="H108" s="21"/>
    </row>
    <row r="109" spans="1:8" ht="16.5" customHeight="1" x14ac:dyDescent="0.3">
      <c r="B109" s="18">
        <f t="array" aca="1" ref="B109:H109" ca="1">日+29+DATE(Calendar8Year,Calendar8MonthOption,1)-WEEKDAY(DATE(Calendar8Year,Calendar8MonthOption,1),WeekdayOption)</f>
        <v>43765</v>
      </c>
      <c r="C109" s="18">
        <f ca="1"/>
        <v>43766</v>
      </c>
      <c r="D109" s="18">
        <f ca="1"/>
        <v>43767</v>
      </c>
      <c r="E109" s="18">
        <f ca="1"/>
        <v>43768</v>
      </c>
      <c r="F109" s="18">
        <f ca="1"/>
        <v>43769</v>
      </c>
      <c r="G109" s="18">
        <f ca="1"/>
        <v>43770</v>
      </c>
      <c r="H109" s="19">
        <f ca="1"/>
        <v>43771</v>
      </c>
    </row>
    <row r="110" spans="1:8" ht="57" customHeight="1" x14ac:dyDescent="0.3">
      <c r="B110" s="20"/>
      <c r="C110" s="20"/>
      <c r="D110" s="20"/>
      <c r="E110" s="20"/>
      <c r="F110" s="20"/>
      <c r="G110" s="20"/>
      <c r="H110" s="25"/>
    </row>
    <row r="111" spans="1:8" ht="16.5" customHeight="1" x14ac:dyDescent="0.3">
      <c r="B111" s="18">
        <f t="array" aca="1" ref="B111:C111" ca="1">日+36+DATE(Calendar8Year,Calendar8MonthOption,1)-WEEKDAY(DATE(Calendar8Year,Calendar8MonthOption,1),WeekdayOption)</f>
        <v>43772</v>
      </c>
      <c r="C111" s="18">
        <f ca="1"/>
        <v>43773</v>
      </c>
      <c r="D111" s="30" t="s">
        <v>406</v>
      </c>
      <c r="E111" s="30"/>
      <c r="F111" s="30"/>
      <c r="G111" s="30"/>
      <c r="H111" s="30"/>
    </row>
    <row r="112" spans="1:8" ht="63.75" customHeight="1" x14ac:dyDescent="0.3">
      <c r="B112" s="20"/>
      <c r="C112" s="20"/>
      <c r="D112" s="28"/>
      <c r="E112" s="28"/>
      <c r="F112" s="28"/>
      <c r="G112" s="28"/>
      <c r="H112" s="28"/>
    </row>
    <row r="113" spans="1:8" ht="54" customHeight="1" x14ac:dyDescent="0.75">
      <c r="A113" s="10"/>
      <c r="B113" s="11">
        <f ca="1">YEAR(DATE(Calendar8Year,Calendar8MonthOption+1,1))</f>
        <v>2019</v>
      </c>
      <c r="C113" s="12" t="str">
        <f ca="1">TEXT(DATE(Calendar8Year,Calendar8MonthOption+1,1),"m月")</f>
        <v>11月</v>
      </c>
      <c r="D113" s="10"/>
      <c r="E113" s="10"/>
      <c r="F113" s="10"/>
      <c r="G113" s="10"/>
      <c r="H113" s="10"/>
    </row>
    <row r="114" spans="1:8" ht="14.25" customHeight="1" x14ac:dyDescent="0.35">
      <c r="A114" s="14"/>
      <c r="B114" s="15" t="str">
        <f t="shared" ref="B114:H114" ca="1" si="8">UPPER(TEXT(B115,"aaaa"))</f>
        <v>星期日</v>
      </c>
      <c r="C114" s="17" t="str">
        <f t="shared" ca="1" si="8"/>
        <v>星期一</v>
      </c>
      <c r="D114" s="15" t="str">
        <f t="shared" ca="1" si="8"/>
        <v>星期二</v>
      </c>
      <c r="E114" s="17" t="str">
        <f t="shared" ca="1" si="8"/>
        <v>星期三</v>
      </c>
      <c r="F114" s="15" t="str">
        <f t="shared" ca="1" si="8"/>
        <v>星期四</v>
      </c>
      <c r="G114" s="17" t="str">
        <f t="shared" ca="1" si="8"/>
        <v>星期五</v>
      </c>
      <c r="H114" s="15" t="str">
        <f t="shared" ca="1" si="8"/>
        <v>星期六</v>
      </c>
    </row>
    <row r="115" spans="1:8" ht="16.5" customHeight="1" x14ac:dyDescent="0.3">
      <c r="B115" s="18">
        <f t="array" aca="1" ref="B115:H115" ca="1">日+1+DATE(Calendar9Year,Calendar9MonthOption,1)-WEEKDAY(DATE(Calendar9Year,Calendar9MonthOption,1),WeekdayOption)</f>
        <v>43765</v>
      </c>
      <c r="C115" s="18">
        <f ca="1"/>
        <v>43766</v>
      </c>
      <c r="D115" s="18">
        <f ca="1"/>
        <v>43767</v>
      </c>
      <c r="E115" s="18">
        <f ca="1"/>
        <v>43768</v>
      </c>
      <c r="F115" s="18">
        <f ca="1"/>
        <v>43769</v>
      </c>
      <c r="G115" s="18">
        <f ca="1"/>
        <v>43770</v>
      </c>
      <c r="H115" s="19">
        <f ca="1"/>
        <v>43771</v>
      </c>
    </row>
    <row r="116" spans="1:8" ht="56.25" customHeight="1" x14ac:dyDescent="0.3">
      <c r="B116" s="20"/>
      <c r="C116" s="20"/>
      <c r="D116" s="20"/>
      <c r="E116" s="20"/>
      <c r="F116" s="20"/>
      <c r="G116" s="20"/>
      <c r="H116" s="21"/>
    </row>
    <row r="117" spans="1:8" ht="16.5" customHeight="1" x14ac:dyDescent="0.3">
      <c r="B117" s="18">
        <f t="array" aca="1" ref="B117:H117" ca="1">日+8+DATE(Calendar9Year,Calendar9MonthOption,1)-WEEKDAY(DATE(Calendar9Year,Calendar9MonthOption,1),WeekdayOption)</f>
        <v>43772</v>
      </c>
      <c r="C117" s="18">
        <f ca="1"/>
        <v>43773</v>
      </c>
      <c r="D117" s="18">
        <f ca="1"/>
        <v>43774</v>
      </c>
      <c r="E117" s="18">
        <f ca="1"/>
        <v>43775</v>
      </c>
      <c r="F117" s="18">
        <f ca="1"/>
        <v>43776</v>
      </c>
      <c r="G117" s="18">
        <f ca="1"/>
        <v>43777</v>
      </c>
      <c r="H117" s="19">
        <f ca="1"/>
        <v>43778</v>
      </c>
    </row>
    <row r="118" spans="1:8" ht="56.25" customHeight="1" x14ac:dyDescent="0.3">
      <c r="B118" s="20"/>
      <c r="C118" s="20"/>
      <c r="D118" s="20"/>
      <c r="E118" s="20"/>
      <c r="F118" s="20"/>
      <c r="G118" s="20"/>
      <c r="H118" s="21"/>
    </row>
    <row r="119" spans="1:8" ht="16.5" customHeight="1" x14ac:dyDescent="0.3">
      <c r="B119" s="18">
        <f t="array" aca="1" ref="B119:H119" ca="1">日+15+DATE(Calendar9Year,Calendar9MonthOption,1)-WEEKDAY(DATE(Calendar9Year,Calendar9MonthOption,1),WeekdayOption)</f>
        <v>43779</v>
      </c>
      <c r="C119" s="18">
        <f ca="1"/>
        <v>43780</v>
      </c>
      <c r="D119" s="18">
        <f ca="1"/>
        <v>43781</v>
      </c>
      <c r="E119" s="18">
        <f ca="1"/>
        <v>43782</v>
      </c>
      <c r="F119" s="18">
        <f ca="1"/>
        <v>43783</v>
      </c>
      <c r="G119" s="18">
        <f ca="1"/>
        <v>43784</v>
      </c>
      <c r="H119" s="19">
        <f ca="1"/>
        <v>43785</v>
      </c>
    </row>
    <row r="120" spans="1:8" ht="56.25" customHeight="1" x14ac:dyDescent="0.3">
      <c r="B120" s="20"/>
      <c r="C120" s="20"/>
      <c r="D120" s="20"/>
      <c r="E120" s="20"/>
      <c r="F120" s="20"/>
      <c r="G120" s="20"/>
      <c r="H120" s="21"/>
    </row>
    <row r="121" spans="1:8" ht="16.5" customHeight="1" x14ac:dyDescent="0.3">
      <c r="B121" s="18">
        <f t="array" aca="1" ref="B121:H121" ca="1">日+22+DATE(Calendar9Year,Calendar9MonthOption,1)-WEEKDAY(DATE(Calendar9Year,Calendar9MonthOption,1),WeekdayOption)</f>
        <v>43786</v>
      </c>
      <c r="C121" s="18">
        <f ca="1"/>
        <v>43787</v>
      </c>
      <c r="D121" s="18">
        <f ca="1"/>
        <v>43788</v>
      </c>
      <c r="E121" s="18">
        <f ca="1"/>
        <v>43789</v>
      </c>
      <c r="F121" s="18">
        <f ca="1"/>
        <v>43790</v>
      </c>
      <c r="G121" s="18">
        <f ca="1"/>
        <v>43791</v>
      </c>
      <c r="H121" s="19">
        <f ca="1"/>
        <v>43792</v>
      </c>
    </row>
    <row r="122" spans="1:8" ht="56.25" customHeight="1" x14ac:dyDescent="0.3">
      <c r="B122" s="20"/>
      <c r="C122" s="20"/>
      <c r="D122" s="20"/>
      <c r="E122" s="20"/>
      <c r="F122" s="20"/>
      <c r="G122" s="20"/>
      <c r="H122" s="21"/>
    </row>
    <row r="123" spans="1:8" ht="16.5" customHeight="1" x14ac:dyDescent="0.3">
      <c r="B123" s="18">
        <f t="array" aca="1" ref="B123:H123" ca="1">日+29+DATE(Calendar9Year,Calendar9MonthOption,1)-WEEKDAY(DATE(Calendar9Year,Calendar9MonthOption,1),WeekdayOption)</f>
        <v>43793</v>
      </c>
      <c r="C123" s="18">
        <f ca="1"/>
        <v>43794</v>
      </c>
      <c r="D123" s="18">
        <f ca="1"/>
        <v>43795</v>
      </c>
      <c r="E123" s="18">
        <f ca="1"/>
        <v>43796</v>
      </c>
      <c r="F123" s="18">
        <f ca="1"/>
        <v>43797</v>
      </c>
      <c r="G123" s="18">
        <f ca="1"/>
        <v>43798</v>
      </c>
      <c r="H123" s="19">
        <f ca="1"/>
        <v>43799</v>
      </c>
    </row>
    <row r="124" spans="1:8" ht="57" customHeight="1" x14ac:dyDescent="0.3">
      <c r="B124" s="20"/>
      <c r="C124" s="20"/>
      <c r="D124" s="20"/>
      <c r="E124" s="20"/>
      <c r="F124" s="20"/>
      <c r="G124" s="20"/>
      <c r="H124" s="25"/>
    </row>
    <row r="125" spans="1:8" ht="16.5" customHeight="1" x14ac:dyDescent="0.3">
      <c r="B125" s="18">
        <f t="array" aca="1" ref="B125:C125" ca="1">日+36+DATE(Calendar9Year,Calendar9MonthOption,1)-WEEKDAY(DATE(Calendar9Year,Calendar9MonthOption,1),WeekdayOption)</f>
        <v>43800</v>
      </c>
      <c r="C125" s="18">
        <f ca="1"/>
        <v>43801</v>
      </c>
      <c r="D125" s="30" t="s">
        <v>406</v>
      </c>
      <c r="E125" s="30"/>
      <c r="F125" s="30"/>
      <c r="G125" s="30"/>
      <c r="H125" s="30"/>
    </row>
    <row r="126" spans="1:8" ht="63.75" customHeight="1" x14ac:dyDescent="0.3">
      <c r="B126" s="20"/>
      <c r="C126" s="20"/>
      <c r="D126" s="28"/>
      <c r="E126" s="28"/>
      <c r="F126" s="28"/>
      <c r="G126" s="28"/>
      <c r="H126" s="28"/>
    </row>
    <row r="127" spans="1:8" ht="54" customHeight="1" x14ac:dyDescent="0.75">
      <c r="A127" s="10"/>
      <c r="B127" s="11">
        <f ca="1">YEAR(DATE(Calendar9Year,Calendar9MonthOption+1,1))</f>
        <v>2019</v>
      </c>
      <c r="C127" s="12" t="str">
        <f ca="1">TEXT(DATE(Calendar9Year,Calendar9MonthOption+1,1),"m月")</f>
        <v>12月</v>
      </c>
      <c r="D127" s="10"/>
      <c r="E127" s="10"/>
      <c r="F127" s="10"/>
      <c r="G127" s="10"/>
      <c r="H127" s="10"/>
    </row>
    <row r="128" spans="1:8" ht="14.25" customHeight="1" x14ac:dyDescent="0.35">
      <c r="A128" s="14"/>
      <c r="B128" s="15" t="str">
        <f t="shared" ref="B128:H128" ca="1" si="9">UPPER(TEXT(B129,"aaaa"))</f>
        <v>星期日</v>
      </c>
      <c r="C128" s="17" t="str">
        <f t="shared" ca="1" si="9"/>
        <v>星期一</v>
      </c>
      <c r="D128" s="15" t="str">
        <f t="shared" ca="1" si="9"/>
        <v>星期二</v>
      </c>
      <c r="E128" s="17" t="str">
        <f t="shared" ca="1" si="9"/>
        <v>星期三</v>
      </c>
      <c r="F128" s="15" t="str">
        <f t="shared" ca="1" si="9"/>
        <v>星期四</v>
      </c>
      <c r="G128" s="17" t="str">
        <f t="shared" ca="1" si="9"/>
        <v>星期五</v>
      </c>
      <c r="H128" s="15" t="str">
        <f t="shared" ca="1" si="9"/>
        <v>星期六</v>
      </c>
    </row>
    <row r="129" spans="2:8" ht="16.5" customHeight="1" x14ac:dyDescent="0.3">
      <c r="B129" s="18">
        <f t="array" aca="1" ref="B129:H129" ca="1">日+1+DATE(Calendar10Year,Calendar10MonthOption,1)-WEEKDAY(DATE(Calendar10Year,Calendar10MonthOption,1),WeekdayOption)</f>
        <v>43800</v>
      </c>
      <c r="C129" s="18">
        <f ca="1"/>
        <v>43801</v>
      </c>
      <c r="D129" s="18">
        <f ca="1"/>
        <v>43802</v>
      </c>
      <c r="E129" s="18">
        <f ca="1"/>
        <v>43803</v>
      </c>
      <c r="F129" s="18">
        <f ca="1"/>
        <v>43804</v>
      </c>
      <c r="G129" s="18">
        <f ca="1"/>
        <v>43805</v>
      </c>
      <c r="H129" s="19">
        <f ca="1"/>
        <v>43806</v>
      </c>
    </row>
    <row r="130" spans="2:8" ht="56.25" customHeight="1" x14ac:dyDescent="0.3">
      <c r="B130" s="20"/>
      <c r="C130" s="20"/>
      <c r="D130" s="20"/>
      <c r="E130" s="20"/>
      <c r="F130" s="20"/>
      <c r="G130" s="20"/>
      <c r="H130" s="21"/>
    </row>
    <row r="131" spans="2:8" ht="16.5" customHeight="1" x14ac:dyDescent="0.3">
      <c r="B131" s="18">
        <f t="array" aca="1" ref="B131:H131" ca="1">日+8+DATE(Calendar10Year,Calendar10MonthOption,1)-WEEKDAY(DATE(Calendar10Year,Calendar10MonthOption,1),WeekdayOption)</f>
        <v>43807</v>
      </c>
      <c r="C131" s="18">
        <f ca="1"/>
        <v>43808</v>
      </c>
      <c r="D131" s="18">
        <f ca="1"/>
        <v>43809</v>
      </c>
      <c r="E131" s="18">
        <f ca="1"/>
        <v>43810</v>
      </c>
      <c r="F131" s="18">
        <f ca="1"/>
        <v>43811</v>
      </c>
      <c r="G131" s="18">
        <f ca="1"/>
        <v>43812</v>
      </c>
      <c r="H131" s="19">
        <f ca="1"/>
        <v>43813</v>
      </c>
    </row>
    <row r="132" spans="2:8" ht="56.25" customHeight="1" x14ac:dyDescent="0.3">
      <c r="B132" s="20"/>
      <c r="C132" s="20"/>
      <c r="D132" s="20"/>
      <c r="E132" s="20"/>
      <c r="F132" s="20"/>
      <c r="G132" s="20"/>
      <c r="H132" s="21"/>
    </row>
    <row r="133" spans="2:8" ht="16.5" customHeight="1" x14ac:dyDescent="0.3">
      <c r="B133" s="18">
        <f t="array" aca="1" ref="B133:H133" ca="1">日+15+DATE(Calendar10Year,Calendar10MonthOption,1)-WEEKDAY(DATE(Calendar10Year,Calendar10MonthOption,1),WeekdayOption)</f>
        <v>43814</v>
      </c>
      <c r="C133" s="18">
        <f ca="1"/>
        <v>43815</v>
      </c>
      <c r="D133" s="18">
        <f ca="1"/>
        <v>43816</v>
      </c>
      <c r="E133" s="18">
        <f ca="1"/>
        <v>43817</v>
      </c>
      <c r="F133" s="18">
        <f ca="1"/>
        <v>43818</v>
      </c>
      <c r="G133" s="18">
        <f ca="1"/>
        <v>43819</v>
      </c>
      <c r="H133" s="19">
        <f ca="1"/>
        <v>43820</v>
      </c>
    </row>
    <row r="134" spans="2:8" ht="56.25" customHeight="1" x14ac:dyDescent="0.3">
      <c r="B134" s="20"/>
      <c r="C134" s="20"/>
      <c r="D134" s="20"/>
      <c r="E134" s="20"/>
      <c r="F134" s="20"/>
      <c r="G134" s="20"/>
      <c r="H134" s="21"/>
    </row>
    <row r="135" spans="2:8" ht="16.5" customHeight="1" x14ac:dyDescent="0.3">
      <c r="B135" s="18">
        <f t="array" aca="1" ref="B135:H135" ca="1">日+22+DATE(Calendar10Year,Calendar10MonthOption,1)-WEEKDAY(DATE(Calendar10Year,Calendar10MonthOption,1),WeekdayOption)</f>
        <v>43821</v>
      </c>
      <c r="C135" s="18">
        <f ca="1"/>
        <v>43822</v>
      </c>
      <c r="D135" s="18">
        <f ca="1"/>
        <v>43823</v>
      </c>
      <c r="E135" s="18">
        <f ca="1"/>
        <v>43824</v>
      </c>
      <c r="F135" s="18">
        <f ca="1"/>
        <v>43825</v>
      </c>
      <c r="G135" s="18">
        <f ca="1"/>
        <v>43826</v>
      </c>
      <c r="H135" s="19">
        <f ca="1"/>
        <v>43827</v>
      </c>
    </row>
    <row r="136" spans="2:8" ht="56.25" customHeight="1" x14ac:dyDescent="0.3">
      <c r="B136" s="20"/>
      <c r="C136" s="20"/>
      <c r="D136" s="20"/>
      <c r="E136" s="20"/>
      <c r="F136" s="20"/>
      <c r="G136" s="20"/>
      <c r="H136" s="21"/>
    </row>
    <row r="137" spans="2:8" ht="16.5" customHeight="1" x14ac:dyDescent="0.3">
      <c r="B137" s="18">
        <f t="array" aca="1" ref="B137:H137" ca="1">日+29+DATE(Calendar10Year,Calendar10MonthOption,1)-WEEKDAY(DATE(Calendar10Year,Calendar10MonthOption,1),WeekdayOption)</f>
        <v>43828</v>
      </c>
      <c r="C137" s="18">
        <f ca="1"/>
        <v>43829</v>
      </c>
      <c r="D137" s="18">
        <f ca="1"/>
        <v>43830</v>
      </c>
      <c r="E137" s="18">
        <f ca="1"/>
        <v>43831</v>
      </c>
      <c r="F137" s="18">
        <f ca="1"/>
        <v>43832</v>
      </c>
      <c r="G137" s="18">
        <f ca="1"/>
        <v>43833</v>
      </c>
      <c r="H137" s="19">
        <f ca="1"/>
        <v>43834</v>
      </c>
    </row>
    <row r="138" spans="2:8" ht="57" customHeight="1" x14ac:dyDescent="0.3">
      <c r="B138" s="20"/>
      <c r="C138" s="20"/>
      <c r="D138" s="20"/>
      <c r="E138" s="20"/>
      <c r="F138" s="20"/>
      <c r="G138" s="20"/>
      <c r="H138" s="25"/>
    </row>
    <row r="139" spans="2:8" ht="16.5" customHeight="1" x14ac:dyDescent="0.3">
      <c r="B139" s="18">
        <f t="array" aca="1" ref="B139:C139" ca="1">日+36+DATE(Calendar10Year,Calendar10MonthOption,1)-WEEKDAY(DATE(Calendar10Year,Calendar10MonthOption,1),WeekdayOption)</f>
        <v>43835</v>
      </c>
      <c r="C139" s="18">
        <f ca="1"/>
        <v>43836</v>
      </c>
      <c r="D139" s="30" t="s">
        <v>406</v>
      </c>
      <c r="E139" s="30"/>
      <c r="F139" s="30"/>
      <c r="G139" s="30"/>
      <c r="H139" s="30"/>
    </row>
    <row r="140" spans="2:8" ht="63.75" customHeight="1" x14ac:dyDescent="0.3">
      <c r="B140" s="20"/>
      <c r="C140" s="20"/>
      <c r="D140" s="28"/>
      <c r="E140" s="28"/>
      <c r="F140" s="28"/>
      <c r="G140" s="28"/>
      <c r="H140" s="28"/>
    </row>
    <row r="141" spans="2:8" ht="54" customHeight="1" x14ac:dyDescent="0.75">
      <c r="B141" s="11">
        <f ca="1">YEAR(DATE(Calendar10Year,Calendar10MonthOption+1,1))</f>
        <v>2020</v>
      </c>
      <c r="C141" s="12" t="str">
        <f ca="1">TEXT(DATE(Calendar10Year,Calendar10MonthOption+1,1),"m月")</f>
        <v>1月</v>
      </c>
      <c r="D141" s="10"/>
      <c r="E141" s="10"/>
      <c r="F141" s="10"/>
      <c r="G141" s="10"/>
      <c r="H141" s="10"/>
    </row>
    <row r="142" spans="2:8" ht="14.25" customHeight="1" x14ac:dyDescent="0.3">
      <c r="B142" s="15" t="str">
        <f t="shared" ref="B142:H142" ca="1" si="10">UPPER(TEXT(B143,"aaaa"))</f>
        <v>星期日</v>
      </c>
      <c r="C142" s="17" t="str">
        <f t="shared" ca="1" si="10"/>
        <v>星期一</v>
      </c>
      <c r="D142" s="15" t="str">
        <f t="shared" ca="1" si="10"/>
        <v>星期二</v>
      </c>
      <c r="E142" s="17" t="str">
        <f t="shared" ca="1" si="10"/>
        <v>星期三</v>
      </c>
      <c r="F142" s="15" t="str">
        <f t="shared" ca="1" si="10"/>
        <v>星期四</v>
      </c>
      <c r="G142" s="17" t="str">
        <f t="shared" ca="1" si="10"/>
        <v>星期五</v>
      </c>
      <c r="H142" s="15" t="str">
        <f t="shared" ca="1" si="10"/>
        <v>星期六</v>
      </c>
    </row>
    <row r="143" spans="2:8" ht="16.5" customHeight="1" x14ac:dyDescent="0.3">
      <c r="B143" s="18">
        <f t="array" aca="1" ref="B143:H143" ca="1">日+1+DATE(Calendar11Year,Calendar11MonthOption,1)-WEEKDAY(DATE(Calendar11Year,Calendar11MonthOption,1),WeekdayOption)</f>
        <v>43828</v>
      </c>
      <c r="C143" s="18">
        <f ca="1"/>
        <v>43829</v>
      </c>
      <c r="D143" s="18">
        <f ca="1"/>
        <v>43830</v>
      </c>
      <c r="E143" s="18">
        <f ca="1"/>
        <v>43831</v>
      </c>
      <c r="F143" s="18">
        <f ca="1"/>
        <v>43832</v>
      </c>
      <c r="G143" s="18">
        <f ca="1"/>
        <v>43833</v>
      </c>
      <c r="H143" s="19">
        <f ca="1"/>
        <v>43834</v>
      </c>
    </row>
    <row r="144" spans="2:8" ht="56.25" customHeight="1" x14ac:dyDescent="0.3">
      <c r="B144" s="20"/>
      <c r="C144" s="20"/>
      <c r="D144" s="20"/>
      <c r="E144" s="20"/>
      <c r="F144" s="20"/>
      <c r="G144" s="20"/>
      <c r="H144" s="21"/>
    </row>
    <row r="145" spans="2:8" ht="16.5" customHeight="1" x14ac:dyDescent="0.3">
      <c r="B145" s="18">
        <f t="array" aca="1" ref="B145:H145" ca="1">日+8+DATE(Calendar11Year,Calendar11MonthOption,1)-WEEKDAY(DATE(Calendar11Year,Calendar11MonthOption,1),WeekdayOption)</f>
        <v>43835</v>
      </c>
      <c r="C145" s="18">
        <f ca="1"/>
        <v>43836</v>
      </c>
      <c r="D145" s="18">
        <f ca="1"/>
        <v>43837</v>
      </c>
      <c r="E145" s="18">
        <f ca="1"/>
        <v>43838</v>
      </c>
      <c r="F145" s="18">
        <f ca="1"/>
        <v>43839</v>
      </c>
      <c r="G145" s="18">
        <f ca="1"/>
        <v>43840</v>
      </c>
      <c r="H145" s="19">
        <f ca="1"/>
        <v>43841</v>
      </c>
    </row>
    <row r="146" spans="2:8" ht="56.25" customHeight="1" x14ac:dyDescent="0.3">
      <c r="B146" s="20"/>
      <c r="C146" s="20"/>
      <c r="D146" s="20"/>
      <c r="E146" s="20"/>
      <c r="F146" s="20"/>
      <c r="G146" s="20"/>
      <c r="H146" s="21"/>
    </row>
    <row r="147" spans="2:8" ht="16.5" customHeight="1" x14ac:dyDescent="0.3">
      <c r="B147" s="18">
        <f t="array" aca="1" ref="B147:H147" ca="1">日+15+DATE(Calendar11Year,Calendar11MonthOption,1)-WEEKDAY(DATE(Calendar11Year,Calendar11MonthOption,1),WeekdayOption)</f>
        <v>43842</v>
      </c>
      <c r="C147" s="18">
        <f ca="1"/>
        <v>43843</v>
      </c>
      <c r="D147" s="18">
        <f ca="1"/>
        <v>43844</v>
      </c>
      <c r="E147" s="18">
        <f ca="1"/>
        <v>43845</v>
      </c>
      <c r="F147" s="18">
        <f ca="1"/>
        <v>43846</v>
      </c>
      <c r="G147" s="18">
        <f ca="1"/>
        <v>43847</v>
      </c>
      <c r="H147" s="19">
        <f ca="1"/>
        <v>43848</v>
      </c>
    </row>
    <row r="148" spans="2:8" ht="56.25" customHeight="1" x14ac:dyDescent="0.3">
      <c r="B148" s="20"/>
      <c r="C148" s="20"/>
      <c r="D148" s="20"/>
      <c r="E148" s="20"/>
      <c r="F148" s="20"/>
      <c r="G148" s="20"/>
      <c r="H148" s="21"/>
    </row>
    <row r="149" spans="2:8" ht="16.5" customHeight="1" x14ac:dyDescent="0.3">
      <c r="B149" s="18">
        <f t="array" aca="1" ref="B149:H149" ca="1">日+22+DATE(Calendar11Year,Calendar11MonthOption,1)-WEEKDAY(DATE(Calendar11Year,Calendar11MonthOption,1),WeekdayOption)</f>
        <v>43849</v>
      </c>
      <c r="C149" s="18">
        <f ca="1"/>
        <v>43850</v>
      </c>
      <c r="D149" s="18">
        <f ca="1"/>
        <v>43851</v>
      </c>
      <c r="E149" s="18">
        <f ca="1"/>
        <v>43852</v>
      </c>
      <c r="F149" s="18">
        <f ca="1"/>
        <v>43853</v>
      </c>
      <c r="G149" s="18">
        <f ca="1"/>
        <v>43854</v>
      </c>
      <c r="H149" s="19">
        <f ca="1"/>
        <v>43855</v>
      </c>
    </row>
    <row r="150" spans="2:8" ht="56.25" customHeight="1" x14ac:dyDescent="0.3">
      <c r="B150" s="20"/>
      <c r="C150" s="20"/>
      <c r="D150" s="20"/>
      <c r="E150" s="20"/>
      <c r="F150" s="20"/>
      <c r="G150" s="20"/>
      <c r="H150" s="21"/>
    </row>
    <row r="151" spans="2:8" ht="16.5" customHeight="1" x14ac:dyDescent="0.3">
      <c r="B151" s="18">
        <f t="array" aca="1" ref="B151:H151" ca="1">日+29+DATE(Calendar11Year,Calendar11MonthOption,1)-WEEKDAY(DATE(Calendar11Year,Calendar11MonthOption,1),WeekdayOption)</f>
        <v>43856</v>
      </c>
      <c r="C151" s="18">
        <f ca="1"/>
        <v>43857</v>
      </c>
      <c r="D151" s="18">
        <f ca="1"/>
        <v>43858</v>
      </c>
      <c r="E151" s="18">
        <f ca="1"/>
        <v>43859</v>
      </c>
      <c r="F151" s="18">
        <f ca="1"/>
        <v>43860</v>
      </c>
      <c r="G151" s="18">
        <f ca="1"/>
        <v>43861</v>
      </c>
      <c r="H151" s="19">
        <f ca="1"/>
        <v>43862</v>
      </c>
    </row>
    <row r="152" spans="2:8" ht="57" customHeight="1" x14ac:dyDescent="0.3">
      <c r="B152" s="20"/>
      <c r="C152" s="20"/>
      <c r="D152" s="20"/>
      <c r="E152" s="20"/>
      <c r="F152" s="20"/>
      <c r="G152" s="20"/>
      <c r="H152" s="25"/>
    </row>
    <row r="153" spans="2:8" ht="16.5" customHeight="1" x14ac:dyDescent="0.3">
      <c r="B153" s="18">
        <f t="array" aca="1" ref="B153:C153" ca="1">日+36+DATE(Calendar11Year,Calendar11MonthOption,1)-WEEKDAY(DATE(Calendar11Year,Calendar11MonthOption,1),WeekdayOption)</f>
        <v>43863</v>
      </c>
      <c r="C153" s="18">
        <f ca="1"/>
        <v>43864</v>
      </c>
      <c r="D153" s="30" t="s">
        <v>406</v>
      </c>
      <c r="E153" s="30"/>
      <c r="F153" s="30"/>
      <c r="G153" s="30"/>
      <c r="H153" s="30"/>
    </row>
    <row r="154" spans="2:8" ht="63.75" customHeight="1" x14ac:dyDescent="0.3">
      <c r="B154" s="20"/>
      <c r="C154" s="20"/>
      <c r="D154" s="28"/>
      <c r="E154" s="28"/>
      <c r="F154" s="28"/>
      <c r="G154" s="28"/>
      <c r="H154" s="28"/>
    </row>
    <row r="155" spans="2:8" ht="54" customHeight="1" x14ac:dyDescent="0.75">
      <c r="B155" s="11">
        <f ca="1">YEAR(DATE(Calendar11Year,Calendar11MonthOption+1,1))</f>
        <v>2020</v>
      </c>
      <c r="C155" s="12" t="str">
        <f ca="1">TEXT(DATE(Calendar11Year,Calendar11MonthOption+1,1),"m月")</f>
        <v>2月</v>
      </c>
      <c r="D155" s="10"/>
      <c r="E155" s="10"/>
      <c r="F155" s="10"/>
      <c r="G155" s="10"/>
      <c r="H155" s="10"/>
    </row>
    <row r="156" spans="2:8" ht="14.25" customHeight="1" x14ac:dyDescent="0.3">
      <c r="B156" s="15" t="str">
        <f t="shared" ref="B156:H156" ca="1" si="11">UPPER(TEXT(B157,"aaaa"))</f>
        <v>星期日</v>
      </c>
      <c r="C156" s="17" t="str">
        <f t="shared" ca="1" si="11"/>
        <v>星期一</v>
      </c>
      <c r="D156" s="15" t="str">
        <f t="shared" ca="1" si="11"/>
        <v>星期二</v>
      </c>
      <c r="E156" s="17" t="str">
        <f t="shared" ca="1" si="11"/>
        <v>星期三</v>
      </c>
      <c r="F156" s="15" t="str">
        <f t="shared" ca="1" si="11"/>
        <v>星期四</v>
      </c>
      <c r="G156" s="17" t="str">
        <f t="shared" ca="1" si="11"/>
        <v>星期五</v>
      </c>
      <c r="H156" s="15" t="str">
        <f t="shared" ca="1" si="11"/>
        <v>星期六</v>
      </c>
    </row>
    <row r="157" spans="2:8" ht="16.5" customHeight="1" x14ac:dyDescent="0.3">
      <c r="B157" s="18">
        <f t="array" aca="1" ref="B157:H157" ca="1">日+1+DATE(Calendar12Year,Calendar12MonthOption,1)-WEEKDAY(DATE(Calendar12Year,Calendar12MonthOption,1),WeekdayOption)</f>
        <v>43856</v>
      </c>
      <c r="C157" s="18">
        <f ca="1"/>
        <v>43857</v>
      </c>
      <c r="D157" s="18">
        <f ca="1"/>
        <v>43858</v>
      </c>
      <c r="E157" s="18">
        <f ca="1"/>
        <v>43859</v>
      </c>
      <c r="F157" s="18">
        <f ca="1"/>
        <v>43860</v>
      </c>
      <c r="G157" s="18">
        <f ca="1"/>
        <v>43861</v>
      </c>
      <c r="H157" s="19">
        <f ca="1"/>
        <v>43862</v>
      </c>
    </row>
    <row r="158" spans="2:8" ht="56.25" customHeight="1" x14ac:dyDescent="0.3">
      <c r="B158" s="20"/>
      <c r="C158" s="20"/>
      <c r="D158" s="20"/>
      <c r="E158" s="20"/>
      <c r="F158" s="20"/>
      <c r="G158" s="20"/>
      <c r="H158" s="21"/>
    </row>
    <row r="159" spans="2:8" ht="16.5" customHeight="1" x14ac:dyDescent="0.3">
      <c r="B159" s="18">
        <f t="array" aca="1" ref="B159:H159" ca="1">日+8+DATE(Calendar12Year,Calendar12MonthOption,1)-WEEKDAY(DATE(Calendar12Year,Calendar12MonthOption,1),WeekdayOption)</f>
        <v>43863</v>
      </c>
      <c r="C159" s="18">
        <f ca="1"/>
        <v>43864</v>
      </c>
      <c r="D159" s="18">
        <f ca="1"/>
        <v>43865</v>
      </c>
      <c r="E159" s="18">
        <f ca="1"/>
        <v>43866</v>
      </c>
      <c r="F159" s="18">
        <f ca="1"/>
        <v>43867</v>
      </c>
      <c r="G159" s="18">
        <f ca="1"/>
        <v>43868</v>
      </c>
      <c r="H159" s="19">
        <f ca="1"/>
        <v>43869</v>
      </c>
    </row>
    <row r="160" spans="2:8" ht="56.25" customHeight="1" x14ac:dyDescent="0.3">
      <c r="B160" s="20"/>
      <c r="C160" s="20"/>
      <c r="D160" s="20"/>
      <c r="E160" s="20"/>
      <c r="F160" s="20"/>
      <c r="G160" s="20"/>
      <c r="H160" s="21"/>
    </row>
    <row r="161" spans="2:8" ht="16.5" customHeight="1" x14ac:dyDescent="0.3">
      <c r="B161" s="18">
        <f t="array" aca="1" ref="B161:H161" ca="1">日+15+DATE(Calendar12Year,Calendar12MonthOption,1)-WEEKDAY(DATE(Calendar12Year,Calendar12MonthOption,1),WeekdayOption)</f>
        <v>43870</v>
      </c>
      <c r="C161" s="18">
        <f ca="1"/>
        <v>43871</v>
      </c>
      <c r="D161" s="18">
        <f ca="1"/>
        <v>43872</v>
      </c>
      <c r="E161" s="18">
        <f ca="1"/>
        <v>43873</v>
      </c>
      <c r="F161" s="18">
        <f ca="1"/>
        <v>43874</v>
      </c>
      <c r="G161" s="18">
        <f ca="1"/>
        <v>43875</v>
      </c>
      <c r="H161" s="19">
        <f ca="1"/>
        <v>43876</v>
      </c>
    </row>
    <row r="162" spans="2:8" ht="56.25" customHeight="1" x14ac:dyDescent="0.3">
      <c r="B162" s="20"/>
      <c r="C162" s="20"/>
      <c r="D162" s="20"/>
      <c r="E162" s="20"/>
      <c r="F162" s="20"/>
      <c r="G162" s="20"/>
      <c r="H162" s="21"/>
    </row>
    <row r="163" spans="2:8" ht="16.5" customHeight="1" x14ac:dyDescent="0.3">
      <c r="B163" s="18">
        <f t="array" aca="1" ref="B163:H163" ca="1">日+22+DATE(Calendar12Year,Calendar12MonthOption,1)-WEEKDAY(DATE(Calendar12Year,Calendar12MonthOption,1),WeekdayOption)</f>
        <v>43877</v>
      </c>
      <c r="C163" s="18">
        <f ca="1"/>
        <v>43878</v>
      </c>
      <c r="D163" s="18">
        <f ca="1"/>
        <v>43879</v>
      </c>
      <c r="E163" s="18">
        <f ca="1"/>
        <v>43880</v>
      </c>
      <c r="F163" s="18">
        <f ca="1"/>
        <v>43881</v>
      </c>
      <c r="G163" s="18">
        <f ca="1"/>
        <v>43882</v>
      </c>
      <c r="H163" s="19">
        <f ca="1"/>
        <v>43883</v>
      </c>
    </row>
    <row r="164" spans="2:8" ht="56.25" customHeight="1" x14ac:dyDescent="0.3">
      <c r="B164" s="20"/>
      <c r="C164" s="20"/>
      <c r="D164" s="20"/>
      <c r="E164" s="20"/>
      <c r="F164" s="20"/>
      <c r="G164" s="20"/>
      <c r="H164" s="21"/>
    </row>
    <row r="165" spans="2:8" ht="16.5" customHeight="1" x14ac:dyDescent="0.3">
      <c r="B165" s="18">
        <f t="array" aca="1" ref="B165:H165" ca="1">日+29+DATE(Calendar12Year,Calendar12MonthOption,1)-WEEKDAY(DATE(Calendar12Year,Calendar12MonthOption,1),WeekdayOption)</f>
        <v>43884</v>
      </c>
      <c r="C165" s="18">
        <f ca="1"/>
        <v>43885</v>
      </c>
      <c r="D165" s="18">
        <f ca="1"/>
        <v>43886</v>
      </c>
      <c r="E165" s="18">
        <f ca="1"/>
        <v>43887</v>
      </c>
      <c r="F165" s="18">
        <f ca="1"/>
        <v>43888</v>
      </c>
      <c r="G165" s="18">
        <f ca="1"/>
        <v>43889</v>
      </c>
      <c r="H165" s="19">
        <f ca="1"/>
        <v>43890</v>
      </c>
    </row>
    <row r="166" spans="2:8" ht="57" customHeight="1" x14ac:dyDescent="0.3">
      <c r="B166" s="20"/>
      <c r="C166" s="20"/>
      <c r="D166" s="20"/>
      <c r="E166" s="20"/>
      <c r="F166" s="20"/>
      <c r="G166" s="20"/>
      <c r="H166" s="25"/>
    </row>
    <row r="167" spans="2:8" ht="16.5" customHeight="1" x14ac:dyDescent="0.3">
      <c r="B167" s="18">
        <f t="array" aca="1" ref="B167:C167" ca="1">日+36+DATE(Calendar12Year,Calendar12MonthOption,1)-WEEKDAY(DATE(Calendar12Year,Calendar12MonthOption,1),WeekdayOption)</f>
        <v>43891</v>
      </c>
      <c r="C167" s="18">
        <f ca="1"/>
        <v>43892</v>
      </c>
      <c r="D167" s="30" t="s">
        <v>406</v>
      </c>
      <c r="E167" s="30"/>
      <c r="F167" s="30"/>
      <c r="G167" s="30"/>
      <c r="H167" s="30"/>
    </row>
    <row r="168" spans="2:8" ht="63.75" customHeight="1" x14ac:dyDescent="0.3">
      <c r="B168" s="20"/>
      <c r="C168" s="20"/>
      <c r="D168" s="28"/>
      <c r="E168" s="28"/>
      <c r="F168" s="28"/>
      <c r="G168" s="28"/>
      <c r="H168" s="28"/>
    </row>
  </sheetData>
  <mergeCells count="24">
    <mergeCell ref="D168:H168"/>
    <mergeCell ref="D97:H97"/>
    <mergeCell ref="D98:H98"/>
    <mergeCell ref="D111:H111"/>
    <mergeCell ref="D112:H112"/>
    <mergeCell ref="D125:H125"/>
    <mergeCell ref="D126:H126"/>
    <mergeCell ref="D139:H139"/>
    <mergeCell ref="D140:H140"/>
    <mergeCell ref="D153:H153"/>
    <mergeCell ref="D154:H154"/>
    <mergeCell ref="D167:H167"/>
    <mergeCell ref="D84:H84"/>
    <mergeCell ref="D13:H13"/>
    <mergeCell ref="D14:H14"/>
    <mergeCell ref="D27:H27"/>
    <mergeCell ref="D28:H28"/>
    <mergeCell ref="D41:H41"/>
    <mergeCell ref="D42:H42"/>
    <mergeCell ref="D55:H55"/>
    <mergeCell ref="D56:H56"/>
    <mergeCell ref="D69:H69"/>
    <mergeCell ref="D70:H70"/>
    <mergeCell ref="D83:H83"/>
  </mergeCells>
  <phoneticPr fontId="2" type="noConversion"/>
  <conditionalFormatting sqref="B3:H3 B5:H5 B7:H7 B9:H9 B11:H11 B13:C13">
    <cfRule type="expression" dxfId="54" priority="12">
      <formula>MONTH(B3)&lt;&gt;Calendar1MonthOption</formula>
    </cfRule>
  </conditionalFormatting>
  <conditionalFormatting sqref="B17:H17 B19:H19 B21:H21 B23:H23 B25:H25 B27:C27">
    <cfRule type="expression" dxfId="53" priority="11">
      <formula>MONTH(B17)&lt;&gt;Calendar2MonthOption</formula>
    </cfRule>
  </conditionalFormatting>
  <conditionalFormatting sqref="B31:H31 B33:H33 B35:H35 B37:H37 B39:H39 B41:C41">
    <cfRule type="expression" dxfId="52" priority="10">
      <formula>MONTH(B31)&lt;&gt;Calendar3MonthOption</formula>
    </cfRule>
  </conditionalFormatting>
  <conditionalFormatting sqref="B45:H45 B47:H47 B49:H49 B51:H51 B53:H53 B55:C55">
    <cfRule type="expression" dxfId="51" priority="9">
      <formula>MONTH(B45)&lt;&gt;Calendar4MonthOption</formula>
    </cfRule>
  </conditionalFormatting>
  <conditionalFormatting sqref="B59:H59 B61:H61 B63:H63 B65:H65 B67:H67 B69:C69">
    <cfRule type="expression" dxfId="50" priority="8">
      <formula>MONTH(B59)&lt;&gt;Calendar5MonthOption</formula>
    </cfRule>
  </conditionalFormatting>
  <conditionalFormatting sqref="B73:H73 B75:H75 B77:H77 B79:H79 B81:H81 B83:C83">
    <cfRule type="expression" dxfId="49" priority="7">
      <formula>MONTH(B73)&lt;&gt;Calendar6MonthOption</formula>
    </cfRule>
  </conditionalFormatting>
  <conditionalFormatting sqref="B87:H87 B89:H89 B91:H91 B93:H93 B95:H95 B97:C97">
    <cfRule type="expression" dxfId="48" priority="6">
      <formula>MONTH(B87)&lt;&gt;Calendar7MonthOption</formula>
    </cfRule>
  </conditionalFormatting>
  <conditionalFormatting sqref="B101:H101 B103:H103 B105:H105 B107:H107 B109:H109 B111:C111">
    <cfRule type="expression" dxfId="47" priority="5">
      <formula>MONTH(B101)&lt;&gt;Calendar8MonthOption</formula>
    </cfRule>
  </conditionalFormatting>
  <conditionalFormatting sqref="B115:H115 B117:H117 B119:H119 B121:H121 B123:H123 B125:C125">
    <cfRule type="expression" dxfId="46" priority="4">
      <formula>MONTH(B115)&lt;&gt;Calendar9MonthOption</formula>
    </cfRule>
  </conditionalFormatting>
  <conditionalFormatting sqref="B129:H129 B131:H131 B133:H133 B135:H135 B137:H137 B139:C139">
    <cfRule type="expression" dxfId="45" priority="3">
      <formula>MONTH(B129)&lt;&gt;Calendar10MonthOption</formula>
    </cfRule>
  </conditionalFormatting>
  <conditionalFormatting sqref="B143:H143 B145:H145 B147:H147 B149:H149 B151:H151 B153:C153">
    <cfRule type="expression" dxfId="44" priority="2">
      <formula>MONTH(B143)&lt;&gt;Calendar11MonthOption</formula>
    </cfRule>
  </conditionalFormatting>
  <conditionalFormatting sqref="B157:H157 B159:H159 B161:H161 B163:H163 B165:H165 B167:C167">
    <cfRule type="expression" dxfId="43" priority="1">
      <formula>MONTH(B157)&lt;&gt;Calendar12MonthOption</formula>
    </cfRule>
  </conditionalFormatting>
  <dataValidations count="11">
    <dataValidation allowBlank="1" showInputMessage="1" prompt="日期" sqref="B3" xr:uid="{FA67FFB1-A90C-4FF6-BD31-F72CF6BC2027}"/>
    <dataValidation allowBlank="1" showInputMessage="1" prompt="日历月由在 C1 中选择的月份抵消" sqref="C15" xr:uid="{0E1E2C40-A7CA-4CEA-81B3-AB5DB9938323}"/>
    <dataValidation allowBlank="1" showInputMessage="1" prompt="日历年由在 B1 中输入的年份自动确定" sqref="B15" xr:uid="{8D38858E-696C-4A2C-8EB4-18E0B9A7F1FE}"/>
    <dataValidation allowBlank="1" showInputMessage="1" prompt="在此处输入每日备注" sqref="B4" xr:uid="{24056FC0-6B46-4500-B841-D44A13B526EF}"/>
    <dataValidation allowBlank="1" showInputMessage="1" prompt="每月备注标题" sqref="D13" xr:uid="{A3322DAD-B356-4C08-B43F-FE7D63A6D697}"/>
    <dataValidation allowBlank="1" showInputMessage="1" prompt="在此处输入每月备注" sqref="D14" xr:uid="{3A1F432E-C38D-4761-8877-48447EFB5DBB}"/>
    <dataValidation allowBlank="1" showInputMessage="1" prompt="自动确定工作日。若要更改工作日，请在 B2 中选择一周的新起始日期" sqref="C2:H2 B16" xr:uid="{6592A90F-7BEE-471F-AC4A-185A8DECB321}"/>
    <dataValidation allowBlank="1" showInputMessage="1" showErrorMessage="1" prompt="为此日历输入年份" sqref="B1" xr:uid="{1A6A1C32-59E8-4F02-8250-729BE66FDEC1}"/>
    <dataValidation allowBlank="1" showInputMessage="1" prompt="此工作簿是一个包含 12 个月的日历。在单元格 B1 中键入起始年份，然后在单元格 C1 中选择起始月份。该日历将自动更新后续月份" sqref="A1" xr:uid="{CB980524-664E-4013-8FEE-DD5B0DD55A4D}"/>
    <dataValidation type="list" allowBlank="1" showInputMessage="1" showErrorMessage="1" error="从列表的条目中选择一个月。选择“取消”，然后按 ALT + 向下箭头从下拉列表中选择" sqref="C1" xr:uid="{5549542B-B21D-446D-AA35-38A87B044835}">
      <formula1>"1月,2月,3月,4月,5月,6月,7月,8月,9月,10月,11月,12月"</formula1>
    </dataValidation>
    <dataValidation type="list" allowBlank="1" showInputMessage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B2" xr:uid="{FC815E28-E032-40F8-A4EE-E835E6F06FC9}">
      <formula1>"星期日,星期一,星期二,星期三,星期四,星期五,星期六"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63FB-A4D5-4965-9CE8-2F2E423FA298}">
  <dimension ref="A1:F37"/>
  <sheetViews>
    <sheetView tabSelected="1" workbookViewId="0">
      <selection activeCell="D8" sqref="D8"/>
    </sheetView>
  </sheetViews>
  <sheetFormatPr defaultRowHeight="14.25" x14ac:dyDescent="0.2"/>
  <cols>
    <col min="1" max="1" width="9" style="31"/>
    <col min="2" max="2" width="16.75" bestFit="1" customWidth="1"/>
    <col min="3" max="3" width="4.375" bestFit="1" customWidth="1"/>
    <col min="4" max="4" width="19.125" bestFit="1" customWidth="1"/>
    <col min="5" max="6" width="48.625" bestFit="1" customWidth="1"/>
  </cols>
  <sheetData>
    <row r="1" spans="1:6" x14ac:dyDescent="0.2">
      <c r="A1" s="31">
        <v>43499</v>
      </c>
      <c r="B1" s="27" t="s">
        <v>415</v>
      </c>
      <c r="C1" t="s">
        <v>437</v>
      </c>
      <c r="D1" t="s">
        <v>438</v>
      </c>
      <c r="E1" t="str">
        <f>TEXT(A1,"mmdd")&amp;" "&amp;D1&amp;" "&amp;B1&amp;" 预录单"</f>
        <v>0203 DJSCSHBEAE90644H YJCSHAN1901878 预录单</v>
      </c>
      <c r="F1" t="str">
        <f>TEXT(A1,"mmdd")&amp;" "&amp;D1&amp;" "&amp;B1&amp;" 放行单"</f>
        <v>0203 DJSCSHBEAE90644H YJCSHAN1901878 放行单</v>
      </c>
    </row>
    <row r="2" spans="1:6" x14ac:dyDescent="0.2">
      <c r="A2" s="31">
        <v>43499</v>
      </c>
      <c r="B2" s="27" t="s">
        <v>415</v>
      </c>
      <c r="D2" t="s">
        <v>439</v>
      </c>
      <c r="E2" t="str">
        <f t="shared" ref="E2:E4" si="0">TEXT(A2,"mmdd")&amp;" "&amp;D2&amp;" "&amp;B2&amp;" 预录单"</f>
        <v>0203 DJSCSHBEAE90644J YJCSHAN1901878 预录单</v>
      </c>
      <c r="F2" t="str">
        <f t="shared" ref="F2:F4" si="1">TEXT(A2,"mmdd")&amp;" "&amp;D2&amp;" "&amp;B2&amp;" 放行单"</f>
        <v>0203 DJSCSHBEAE90644J YJCSHAN1901878 放行单</v>
      </c>
    </row>
    <row r="3" spans="1:6" x14ac:dyDescent="0.2">
      <c r="A3" s="31">
        <v>43499</v>
      </c>
      <c r="B3" s="27" t="s">
        <v>415</v>
      </c>
      <c r="D3" t="s">
        <v>440</v>
      </c>
      <c r="E3" t="str">
        <f t="shared" si="0"/>
        <v>0203 DJSCSHBEAE90644K YJCSHAN1901878 预录单</v>
      </c>
      <c r="F3" t="str">
        <f t="shared" si="1"/>
        <v>0203 DJSCSHBEAE90644K YJCSHAN1901878 放行单</v>
      </c>
    </row>
    <row r="4" spans="1:6" x14ac:dyDescent="0.2">
      <c r="A4" s="31">
        <v>43499</v>
      </c>
      <c r="B4" s="27" t="s">
        <v>416</v>
      </c>
      <c r="D4" t="s">
        <v>461</v>
      </c>
      <c r="E4" t="str">
        <f t="shared" si="0"/>
        <v>0203 DJSCSHBEAE90644M YJCSHAN1901921 预录单</v>
      </c>
      <c r="F4" t="str">
        <f t="shared" si="1"/>
        <v>0203 DJSCSHBEAE90644M YJCSHAN1901921 放行单</v>
      </c>
    </row>
    <row r="5" spans="1:6" x14ac:dyDescent="0.2">
      <c r="B5" s="27"/>
    </row>
    <row r="6" spans="1:6" x14ac:dyDescent="0.2">
      <c r="A6" s="31">
        <v>43517</v>
      </c>
      <c r="B6" s="27" t="s">
        <v>417</v>
      </c>
      <c r="D6" t="s">
        <v>457</v>
      </c>
      <c r="E6" t="str">
        <f t="shared" ref="E6:E9" si="2">TEXT(A6,"mmdd")&amp;" "&amp;D6&amp;" "&amp;B6&amp;" 预录单"</f>
        <v>0221 DJSCSHBMVE90444D YJCSHAN1902182 预录单</v>
      </c>
      <c r="F6" t="str">
        <f t="shared" ref="F6:F9" si="3">TEXT(A6,"mmdd")&amp;" "&amp;D6&amp;" "&amp;B6&amp;" 放行单"</f>
        <v>0221 DJSCSHBMVE90444D YJCSHAN1902182 放行单</v>
      </c>
    </row>
    <row r="7" spans="1:6" x14ac:dyDescent="0.2">
      <c r="A7" s="31">
        <v>43517</v>
      </c>
      <c r="B7" s="27" t="s">
        <v>418</v>
      </c>
      <c r="D7" t="s">
        <v>458</v>
      </c>
      <c r="E7" t="str">
        <f t="shared" si="2"/>
        <v>0221 DJSCSHBMVE90444J YJCSHAN1902334 预录单</v>
      </c>
      <c r="F7" t="str">
        <f t="shared" si="3"/>
        <v>0221 DJSCSHBMVE90444J YJCSHAN1902334 放行单</v>
      </c>
    </row>
    <row r="8" spans="1:6" x14ac:dyDescent="0.2">
      <c r="A8" s="31">
        <v>43517</v>
      </c>
      <c r="B8" s="27" t="s">
        <v>419</v>
      </c>
      <c r="C8" t="s">
        <v>436</v>
      </c>
      <c r="D8" t="s">
        <v>459</v>
      </c>
      <c r="E8" t="str">
        <f t="shared" si="2"/>
        <v>0221 DJSCSHBMVE90444L YJCSHAN1902380 预录单</v>
      </c>
      <c r="F8" t="str">
        <f t="shared" si="3"/>
        <v>0221 DJSCSHBMVE90444L YJCSHAN1902380 放行单</v>
      </c>
    </row>
    <row r="9" spans="1:6" x14ac:dyDescent="0.2">
      <c r="A9" s="31">
        <v>43517</v>
      </c>
      <c r="B9" s="27" t="s">
        <v>419</v>
      </c>
      <c r="D9" t="s">
        <v>460</v>
      </c>
      <c r="E9" t="str">
        <f t="shared" si="2"/>
        <v>0221 DJSCSHBMVE90444M YJCSHAN1902380 预录单</v>
      </c>
      <c r="F9" t="str">
        <f t="shared" si="3"/>
        <v>0221 DJSCSHBMVE90444M YJCSHAN1902380 放行单</v>
      </c>
    </row>
    <row r="10" spans="1:6" x14ac:dyDescent="0.2">
      <c r="B10" s="27"/>
    </row>
    <row r="11" spans="1:6" x14ac:dyDescent="0.2">
      <c r="A11" s="31">
        <v>43524</v>
      </c>
      <c r="B11" s="27" t="s">
        <v>420</v>
      </c>
      <c r="D11" t="s">
        <v>441</v>
      </c>
      <c r="E11" t="str">
        <f t="shared" ref="E11:E15" si="4">TEXT(A11,"mmdd")&amp;" "&amp;D11&amp;" "&amp;B11&amp;" 预录单"</f>
        <v>0228 DJSCSHBMSE90544J YJCSHAN1902683 预录单</v>
      </c>
      <c r="F11" t="str">
        <f t="shared" ref="F11:F15" si="5">TEXT(A11,"mmdd")&amp;" "&amp;D11&amp;" "&amp;B11&amp;" 放行单"</f>
        <v>0228 DJSCSHBMSE90544J YJCSHAN1902683 放行单</v>
      </c>
    </row>
    <row r="12" spans="1:6" x14ac:dyDescent="0.2">
      <c r="A12" s="31">
        <v>43524</v>
      </c>
      <c r="B12" s="27" t="s">
        <v>421</v>
      </c>
      <c r="D12" t="s">
        <v>455</v>
      </c>
      <c r="E12" t="str">
        <f t="shared" si="4"/>
        <v>0228 DJSCSHBMSE90544T YJCSHAN1902750 预录单</v>
      </c>
      <c r="F12" t="str">
        <f t="shared" si="5"/>
        <v>0228 DJSCSHBMSE90544T YJCSHAN1902750 放行单</v>
      </c>
    </row>
    <row r="13" spans="1:6" x14ac:dyDescent="0.2">
      <c r="A13" s="31">
        <v>43524</v>
      </c>
      <c r="B13" s="27" t="s">
        <v>422</v>
      </c>
      <c r="C13" t="s">
        <v>436</v>
      </c>
      <c r="D13" t="s">
        <v>453</v>
      </c>
      <c r="E13" t="str">
        <f t="shared" si="4"/>
        <v>0228 DJSCSHBMSE90544D YJCSHAN1900668 预录单</v>
      </c>
      <c r="F13" t="str">
        <f t="shared" si="5"/>
        <v>0228 DJSCSHBMSE90544D YJCSHAN1900668 放行单</v>
      </c>
    </row>
    <row r="14" spans="1:6" x14ac:dyDescent="0.2">
      <c r="A14" s="31">
        <v>43524</v>
      </c>
      <c r="B14" s="27" t="s">
        <v>422</v>
      </c>
      <c r="D14" t="s">
        <v>454</v>
      </c>
      <c r="E14" t="str">
        <f t="shared" si="4"/>
        <v>0228 DJSCSHBMSE90544A YJCSHAN1900668 预录单</v>
      </c>
      <c r="F14" t="str">
        <f t="shared" si="5"/>
        <v>0228 DJSCSHBMSE90544A YJCSHAN1900668 放行单</v>
      </c>
    </row>
    <row r="15" spans="1:6" x14ac:dyDescent="0.2">
      <c r="A15" s="31">
        <v>43524</v>
      </c>
      <c r="B15" s="27" t="s">
        <v>423</v>
      </c>
      <c r="D15" t="s">
        <v>456</v>
      </c>
      <c r="E15" t="str">
        <f t="shared" si="4"/>
        <v>0228 DJSCSHBMSE90544U YJCSHAN1902771 预录单</v>
      </c>
      <c r="F15" t="str">
        <f t="shared" si="5"/>
        <v>0228 DJSCSHBMSE90544U YJCSHAN1902771 放行单</v>
      </c>
    </row>
    <row r="16" spans="1:6" x14ac:dyDescent="0.2">
      <c r="B16" s="27"/>
    </row>
    <row r="17" spans="1:6" x14ac:dyDescent="0.2">
      <c r="A17" s="31">
        <v>43531</v>
      </c>
      <c r="B17" s="27" t="s">
        <v>424</v>
      </c>
      <c r="D17" s="5" t="s">
        <v>442</v>
      </c>
      <c r="E17" t="str">
        <f t="shared" ref="E17:E22" si="6">TEXT(A17,"mmdd")&amp;" "&amp;D17&amp;" "&amp;B17&amp;" 预录单"</f>
        <v>0307 DJSCSHBMVE90544C YJCSHAN1902950 预录单</v>
      </c>
      <c r="F17" t="str">
        <f t="shared" ref="F17:F22" si="7">TEXT(A17,"mmdd")&amp;" "&amp;D17&amp;" "&amp;B17&amp;" 放行单"</f>
        <v>0307 DJSCSHBMVE90544C YJCSHAN1902950 放行单</v>
      </c>
    </row>
    <row r="18" spans="1:6" x14ac:dyDescent="0.2">
      <c r="A18" s="31">
        <v>43531</v>
      </c>
      <c r="B18" s="27" t="s">
        <v>425</v>
      </c>
      <c r="D18" t="s">
        <v>472</v>
      </c>
      <c r="E18" t="str">
        <f t="shared" si="6"/>
        <v>0307 DJSCSHBMVE90544B YJCSHAN1902949 预录单</v>
      </c>
      <c r="F18" t="str">
        <f t="shared" si="7"/>
        <v>0307 DJSCSHBMVE90544B YJCSHAN1902949 放行单</v>
      </c>
    </row>
    <row r="19" spans="1:6" x14ac:dyDescent="0.2">
      <c r="A19" s="31">
        <v>43531</v>
      </c>
      <c r="B19" s="27" t="s">
        <v>426</v>
      </c>
      <c r="D19" t="s">
        <v>473</v>
      </c>
      <c r="E19" t="str">
        <f t="shared" si="6"/>
        <v>0307 DJSCSHBMVE90544G YJCSHAN1903139 预录单</v>
      </c>
      <c r="F19" t="str">
        <f t="shared" si="7"/>
        <v>0307 DJSCSHBMVE90544G YJCSHAN1903139 放行单</v>
      </c>
    </row>
    <row r="20" spans="1:6" x14ac:dyDescent="0.2">
      <c r="A20" s="31">
        <v>43531</v>
      </c>
      <c r="B20" s="27" t="s">
        <v>427</v>
      </c>
      <c r="C20" t="s">
        <v>437</v>
      </c>
      <c r="D20" t="s">
        <v>474</v>
      </c>
      <c r="E20" t="str">
        <f t="shared" si="6"/>
        <v>0307 DJSCSHBMVE90544P YJCSHAN1903266 预录单</v>
      </c>
      <c r="F20" t="str">
        <f t="shared" si="7"/>
        <v>0307 DJSCSHBMVE90544P YJCSHAN1903266 放行单</v>
      </c>
    </row>
    <row r="21" spans="1:6" x14ac:dyDescent="0.2">
      <c r="A21" s="31">
        <v>43531</v>
      </c>
      <c r="B21" s="27" t="s">
        <v>427</v>
      </c>
      <c r="D21" t="s">
        <v>475</v>
      </c>
      <c r="E21" t="str">
        <f t="shared" si="6"/>
        <v>0307 DJSCSHBMVE90544D YJCSHAN1903266 预录单</v>
      </c>
      <c r="F21" t="str">
        <f t="shared" si="7"/>
        <v>0307 DJSCSHBMVE90544D YJCSHAN1903266 放行单</v>
      </c>
    </row>
    <row r="22" spans="1:6" x14ac:dyDescent="0.2">
      <c r="A22" s="31">
        <v>43531</v>
      </c>
      <c r="B22" s="27" t="s">
        <v>427</v>
      </c>
      <c r="D22" t="s">
        <v>476</v>
      </c>
      <c r="E22" t="str">
        <f t="shared" si="6"/>
        <v>0307 DJSCSHBMVE90544Q YJCSHAN1903266 预录单</v>
      </c>
      <c r="F22" t="str">
        <f t="shared" si="7"/>
        <v>0307 DJSCSHBMVE90544Q YJCSHAN1903266 放行单</v>
      </c>
    </row>
    <row r="23" spans="1:6" x14ac:dyDescent="0.2">
      <c r="B23" s="27"/>
    </row>
    <row r="24" spans="1:6" x14ac:dyDescent="0.2">
      <c r="A24" s="31">
        <v>43538</v>
      </c>
      <c r="B24" s="27" t="s">
        <v>428</v>
      </c>
      <c r="D24" t="s">
        <v>443</v>
      </c>
      <c r="E24" t="str">
        <f t="shared" ref="E24:E29" si="8">TEXT(A24,"mmdd")&amp;" "&amp;D24&amp;" "&amp;B24&amp;" 预录单"</f>
        <v>0314 DJSCSHBMSE90644D YJCSHAN1903375 预录单</v>
      </c>
      <c r="F24" t="str">
        <f t="shared" ref="F24:F29" si="9">TEXT(A24,"mmdd")&amp;" "&amp;D24&amp;" "&amp;B24&amp;" 放行单"</f>
        <v>0314 DJSCSHBMSE90644D YJCSHAN1903375 放行单</v>
      </c>
    </row>
    <row r="25" spans="1:6" x14ac:dyDescent="0.2">
      <c r="A25" s="31">
        <v>43538</v>
      </c>
      <c r="B25" s="27" t="s">
        <v>429</v>
      </c>
      <c r="D25" t="s">
        <v>445</v>
      </c>
      <c r="E25" t="str">
        <f t="shared" si="8"/>
        <v>0314 DJSCSHBMSE90644L YJCSHAN1903541 预录单</v>
      </c>
      <c r="F25" t="str">
        <f t="shared" si="9"/>
        <v>0314 DJSCSHBMSE90644L YJCSHAN1903541 放行单</v>
      </c>
    </row>
    <row r="26" spans="1:6" x14ac:dyDescent="0.2">
      <c r="A26" s="31">
        <v>43538</v>
      </c>
      <c r="B26" s="27" t="s">
        <v>430</v>
      </c>
      <c r="C26" t="s">
        <v>436</v>
      </c>
      <c r="D26" t="s">
        <v>446</v>
      </c>
      <c r="E26" t="str">
        <f t="shared" si="8"/>
        <v>0314 DJSCSHBMSE90644J YJCSHAN1903672 预录单</v>
      </c>
      <c r="F26" t="str">
        <f t="shared" si="9"/>
        <v>0314 DJSCSHBMSE90644J YJCSHAN1903672 放行单</v>
      </c>
    </row>
    <row r="27" spans="1:6" x14ac:dyDescent="0.2">
      <c r="A27" s="31">
        <v>43538</v>
      </c>
      <c r="B27" s="27" t="s">
        <v>430</v>
      </c>
      <c r="D27" t="s">
        <v>447</v>
      </c>
      <c r="E27" t="str">
        <f t="shared" si="8"/>
        <v>0314 DJSCSHBMSE90644S YJCSHAN1903672 预录单</v>
      </c>
      <c r="F27" t="str">
        <f t="shared" si="9"/>
        <v>0314 DJSCSHBMSE90644S YJCSHAN1903672 放行单</v>
      </c>
    </row>
    <row r="28" spans="1:6" x14ac:dyDescent="0.2">
      <c r="A28" s="31">
        <v>43538</v>
      </c>
      <c r="B28" s="27" t="s">
        <v>431</v>
      </c>
      <c r="D28" t="s">
        <v>448</v>
      </c>
      <c r="E28" t="str">
        <f t="shared" si="8"/>
        <v>0314 DJSCSHBMSE90644A YJCSHAN1903770 预录单</v>
      </c>
      <c r="F28" t="str">
        <f t="shared" si="9"/>
        <v>0314 DJSCSHBMSE90644A YJCSHAN1903770 放行单</v>
      </c>
    </row>
    <row r="29" spans="1:6" x14ac:dyDescent="0.2">
      <c r="A29" s="31">
        <v>43538</v>
      </c>
      <c r="B29" s="27" t="s">
        <v>432</v>
      </c>
      <c r="D29" t="s">
        <v>449</v>
      </c>
      <c r="E29" t="str">
        <f t="shared" si="8"/>
        <v>0314 DJSCSHBMSE90644E YJCSHAN1903818 预录单</v>
      </c>
      <c r="F29" t="str">
        <f t="shared" si="9"/>
        <v>0314 DJSCSHBMSE90644E YJCSHAN1903818 放行单</v>
      </c>
    </row>
    <row r="30" spans="1:6" x14ac:dyDescent="0.2">
      <c r="B30" s="27"/>
    </row>
    <row r="31" spans="1:6" x14ac:dyDescent="0.2">
      <c r="A31" s="31">
        <v>43545</v>
      </c>
      <c r="B31" s="27" t="s">
        <v>433</v>
      </c>
      <c r="D31" s="5" t="s">
        <v>444</v>
      </c>
      <c r="E31" t="str">
        <f t="shared" ref="E31:E34" si="10">TEXT(A31,"mmdd")&amp;" "&amp;D31&amp;" "&amp;B31&amp;" 预录单"</f>
        <v>0321 DJSCSHBMVE90644B YJCSHAN1903881 预录单</v>
      </c>
      <c r="F31" t="str">
        <f t="shared" ref="F31:F34" si="11">TEXT(A31,"mmdd")&amp;" "&amp;D31&amp;" "&amp;B31&amp;" 放行单"</f>
        <v>0321 DJSCSHBMVE90644B YJCSHAN1903881 放行单</v>
      </c>
    </row>
    <row r="32" spans="1:6" x14ac:dyDescent="0.2">
      <c r="A32" s="31">
        <v>43545</v>
      </c>
      <c r="B32" s="27" t="s">
        <v>434</v>
      </c>
      <c r="D32" s="5" t="s">
        <v>450</v>
      </c>
      <c r="E32" t="str">
        <f t="shared" si="10"/>
        <v>0321 DJSCSHBMVE90644D YJCSHAN1903996 预录单</v>
      </c>
      <c r="F32" t="str">
        <f t="shared" si="11"/>
        <v>0321 DJSCSHBMVE90644D YJCSHAN1903996 放行单</v>
      </c>
    </row>
    <row r="33" spans="1:6" x14ac:dyDescent="0.2">
      <c r="A33" s="31">
        <v>43545</v>
      </c>
      <c r="B33" s="27" t="s">
        <v>435</v>
      </c>
      <c r="C33" t="s">
        <v>437</v>
      </c>
      <c r="D33" s="5" t="s">
        <v>451</v>
      </c>
      <c r="E33" t="str">
        <f t="shared" si="10"/>
        <v>0321 DJSCSHBMVE90644G YJCSHAN1904144 预录单</v>
      </c>
      <c r="F33" t="str">
        <f t="shared" si="11"/>
        <v>0321 DJSCSHBMVE90644G YJCSHAN1904144 放行单</v>
      </c>
    </row>
    <row r="34" spans="1:6" x14ac:dyDescent="0.2">
      <c r="A34" s="31">
        <v>43545</v>
      </c>
      <c r="B34" s="27" t="s">
        <v>435</v>
      </c>
      <c r="D34" s="5" t="s">
        <v>452</v>
      </c>
      <c r="E34" t="str">
        <f t="shared" si="10"/>
        <v>0321 DJSCSHBMVE90644H YJCSHAN1904144 预录单</v>
      </c>
      <c r="F34" t="str">
        <f t="shared" si="11"/>
        <v>0321 DJSCSHBMVE90644H YJCSHAN1904144 放行单</v>
      </c>
    </row>
    <row r="35" spans="1:6" x14ac:dyDescent="0.2">
      <c r="B35" s="27"/>
    </row>
    <row r="36" spans="1:6" x14ac:dyDescent="0.2">
      <c r="B36" s="27"/>
    </row>
    <row r="37" spans="1:6" x14ac:dyDescent="0.2">
      <c r="B37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26</vt:i4>
      </vt:variant>
    </vt:vector>
  </HeadingPairs>
  <TitlesOfParts>
    <vt:vector size="33" baseType="lpstr">
      <vt:lpstr>客户整理</vt:lpstr>
      <vt:lpstr>单航次流程</vt:lpstr>
      <vt:lpstr>周工作表</vt:lpstr>
      <vt:lpstr>流水帐</vt:lpstr>
      <vt:lpstr>品名</vt:lpstr>
      <vt:lpstr>工作历</vt:lpstr>
      <vt:lpstr>Draft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工作历!Print_Area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2019-03-15T04:35:39Z</dcterms:created>
  <dcterms:modified xsi:type="dcterms:W3CDTF">2019-03-20T12:13:16Z</dcterms:modified>
</cp:coreProperties>
</file>