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drawings/drawing1.xml" ContentType="application/vnd.openxmlformats-officedocument.drawing+xml"/>
  <Override PartName="/xl/comments2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8" ContentType="application/binary"/>
  <Override PartName="/xl/commentsmeta9" ContentType="application/binary"/>
  <Override PartName="/xl/commentsmeta10" ContentType="application/binary"/>
  <Override PartName="/xl/commentsmeta11" ContentType="application/binary"/>
  <Override PartName="/xl/commentsmeta12" ContentType="application/binary"/>
  <Override PartName="/xl/commentsmeta13" ContentType="application/binary"/>
  <Override PartName="/xl/commentsmeta14" ContentType="application/binary"/>
  <Override PartName="/xl/commentsmeta15" ContentType="application/binary"/>
  <Override PartName="/xl/commentsmeta16" ContentType="application/binary"/>
  <Override PartName="/xl/commentsmeta17" ContentType="application/binary"/>
  <Override PartName="/xl/commentsmeta18" ContentType="application/binary"/>
  <Override PartName="/xl/commentsmeta19" ContentType="application/binary"/>
  <Override PartName="/xl/commentsmeta20" ContentType="application/binary"/>
  <Override PartName="/xl/commentsmeta2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d2dd71d79f43c4e/Documents/GitHub/Winter-Grab-Thesis-project/10- Fellowships^J Grants^J Awards/MISG-Fellowship/"/>
    </mc:Choice>
  </mc:AlternateContent>
  <xr:revisionPtr revIDLastSave="0" documentId="8_{648DD6C9-97E5-458F-A6FD-D3967078E8D6}" xr6:coauthVersionLast="47" xr6:coauthVersionMax="47" xr10:uidLastSave="{00000000-0000-0000-0000-000000000000}"/>
  <bookViews>
    <workbookView xWindow="-120" yWindow="-120" windowWidth="29040" windowHeight="15720" firstSheet="8" activeTab="19" xr2:uid="{00000000-000D-0000-FFFF-FFFF00000000}"/>
  </bookViews>
  <sheets>
    <sheet name="U17" sheetId="1" r:id="rId1"/>
    <sheet name="SB14" sheetId="2" r:id="rId2"/>
    <sheet name="BQI" sheetId="3" r:id="rId3"/>
    <sheet name="KW" sheetId="4" r:id="rId4"/>
    <sheet name="SBI" sheetId="5" r:id="rId5"/>
    <sheet name="LSC" sheetId="6" r:id="rId6"/>
    <sheet name="CCIW" sheetId="7" r:id="rId7"/>
    <sheet name="WE6" sheetId="8" r:id="rId8"/>
    <sheet name="GB" sheetId="9" r:id="rId9"/>
    <sheet name="BI" sheetId="10" r:id="rId10"/>
    <sheet name="ALS" sheetId="11" r:id="rId11"/>
    <sheet name="GB I" sheetId="12" r:id="rId12"/>
    <sheet name="KB" sheetId="13" r:id="rId13"/>
    <sheet name="SB" sheetId="14" r:id="rId14"/>
    <sheet name="ER 78M" sheetId="15" r:id="rId15"/>
    <sheet name="EC I" sheetId="16" r:id="rId16"/>
    <sheet name="EC 84" sheetId="17" r:id="rId17"/>
    <sheet name="GB 2" sheetId="18" r:id="rId18"/>
    <sheet name="SM-LH" sheetId="19" r:id="rId19"/>
    <sheet name="Growth Rates" sheetId="23" r:id="rId20"/>
    <sheet name="WB-LS" sheetId="20" r:id="rId21"/>
    <sheet name="BT" sheetId="21" r:id="rId22"/>
    <sheet name="carbon conversions" sheetId="22" r:id="rId23"/>
  </sheets>
  <externalReferences>
    <externalReference r:id="rId2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6" roundtripDataChecksum="SBloKjobEaGsaIL3hUZftAZpNpX4PjMYkkOKbC0J3FY="/>
    </ext>
  </extLst>
</workbook>
</file>

<file path=xl/calcChain.xml><?xml version="1.0" encoding="utf-8"?>
<calcChain xmlns="http://schemas.openxmlformats.org/spreadsheetml/2006/main">
  <c r="C75" i="23" l="1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74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53" i="23"/>
  <c r="B75" i="23"/>
  <c r="D75" i="23" s="1"/>
  <c r="E75" i="23" s="1"/>
  <c r="B76" i="23"/>
  <c r="B77" i="23"/>
  <c r="B78" i="23"/>
  <c r="D78" i="23" s="1"/>
  <c r="E78" i="23" s="1"/>
  <c r="B79" i="23"/>
  <c r="B80" i="23"/>
  <c r="B81" i="23"/>
  <c r="D81" i="23" s="1"/>
  <c r="E81" i="23" s="1"/>
  <c r="B82" i="23"/>
  <c r="D82" i="23" s="1"/>
  <c r="E82" i="23" s="1"/>
  <c r="B83" i="23"/>
  <c r="D83" i="23" s="1"/>
  <c r="E83" i="23" s="1"/>
  <c r="B84" i="23"/>
  <c r="D84" i="23" s="1"/>
  <c r="E84" i="23" s="1"/>
  <c r="B85" i="23"/>
  <c r="B86" i="23"/>
  <c r="D86" i="23" s="1"/>
  <c r="E86" i="23" s="1"/>
  <c r="B87" i="23"/>
  <c r="B88" i="23"/>
  <c r="B89" i="23"/>
  <c r="D89" i="23" s="1"/>
  <c r="E89" i="23" s="1"/>
  <c r="B90" i="23"/>
  <c r="D90" i="23" s="1"/>
  <c r="E90" i="23" s="1"/>
  <c r="B91" i="23"/>
  <c r="D91" i="23" s="1"/>
  <c r="E91" i="23" s="1"/>
  <c r="B92" i="23"/>
  <c r="D92" i="23" s="1"/>
  <c r="E92" i="23" s="1"/>
  <c r="B74" i="23"/>
  <c r="B54" i="23"/>
  <c r="D54" i="23" s="1"/>
  <c r="E54" i="23" s="1"/>
  <c r="B55" i="23"/>
  <c r="B56" i="23"/>
  <c r="B57" i="23"/>
  <c r="D57" i="23" s="1"/>
  <c r="E57" i="23" s="1"/>
  <c r="B58" i="23"/>
  <c r="D58" i="23" s="1"/>
  <c r="E58" i="23" s="1"/>
  <c r="B59" i="23"/>
  <c r="D59" i="23" s="1"/>
  <c r="E59" i="23" s="1"/>
  <c r="B60" i="23"/>
  <c r="D60" i="23" s="1"/>
  <c r="E60" i="23" s="1"/>
  <c r="B61" i="23"/>
  <c r="B62" i="23"/>
  <c r="D62" i="23" s="1"/>
  <c r="E62" i="23" s="1"/>
  <c r="B63" i="23"/>
  <c r="B64" i="23"/>
  <c r="B65" i="23"/>
  <c r="D65" i="23" s="1"/>
  <c r="E65" i="23" s="1"/>
  <c r="B66" i="23"/>
  <c r="D66" i="23" s="1"/>
  <c r="E66" i="23" s="1"/>
  <c r="B67" i="23"/>
  <c r="D67" i="23" s="1"/>
  <c r="E67" i="23" s="1"/>
  <c r="B68" i="23"/>
  <c r="D68" i="23" s="1"/>
  <c r="E68" i="23" s="1"/>
  <c r="B69" i="23"/>
  <c r="B70" i="23"/>
  <c r="D70" i="23" s="1"/>
  <c r="E70" i="23" s="1"/>
  <c r="B71" i="23"/>
  <c r="B53" i="23"/>
  <c r="O15" i="23"/>
  <c r="P15" i="23" s="1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26" i="23"/>
  <c r="N44" i="23"/>
  <c r="O44" i="23" s="1"/>
  <c r="N43" i="23"/>
  <c r="O43" i="23" s="1"/>
  <c r="P43" i="23" s="1"/>
  <c r="N42" i="23"/>
  <c r="O42" i="23" s="1"/>
  <c r="N41" i="23"/>
  <c r="O41" i="23" s="1"/>
  <c r="P41" i="23" s="1"/>
  <c r="N40" i="23"/>
  <c r="O40" i="23" s="1"/>
  <c r="P40" i="23" s="1"/>
  <c r="N39" i="23"/>
  <c r="O39" i="23" s="1"/>
  <c r="N38" i="23"/>
  <c r="O38" i="23" s="1"/>
  <c r="N37" i="23"/>
  <c r="O37" i="23" s="1"/>
  <c r="P37" i="23" s="1"/>
  <c r="N36" i="23"/>
  <c r="O36" i="23" s="1"/>
  <c r="P36" i="23" s="1"/>
  <c r="N35" i="23"/>
  <c r="O35" i="23" s="1"/>
  <c r="P35" i="23" s="1"/>
  <c r="N34" i="23"/>
  <c r="O34" i="23" s="1"/>
  <c r="N33" i="23"/>
  <c r="O33" i="23" s="1"/>
  <c r="P33" i="23" s="1"/>
  <c r="N32" i="23"/>
  <c r="O32" i="23" s="1"/>
  <c r="P32" i="23" s="1"/>
  <c r="N31" i="23"/>
  <c r="O31" i="23" s="1"/>
  <c r="P31" i="23" s="1"/>
  <c r="N30" i="23"/>
  <c r="O30" i="23" s="1"/>
  <c r="N29" i="23"/>
  <c r="O29" i="23" s="1"/>
  <c r="P29" i="23" s="1"/>
  <c r="N28" i="23"/>
  <c r="O28" i="23" s="1"/>
  <c r="P28" i="23" s="1"/>
  <c r="N27" i="23"/>
  <c r="O27" i="23" s="1"/>
  <c r="P27" i="23" s="1"/>
  <c r="N26" i="23"/>
  <c r="O26" i="23" s="1"/>
  <c r="N4" i="23"/>
  <c r="O4" i="23" s="1"/>
  <c r="N5" i="23"/>
  <c r="O5" i="23" s="1"/>
  <c r="P5" i="23" s="1"/>
  <c r="N6" i="23"/>
  <c r="O6" i="23" s="1"/>
  <c r="N7" i="23"/>
  <c r="O7" i="23" s="1"/>
  <c r="N8" i="23"/>
  <c r="O8" i="23" s="1"/>
  <c r="N9" i="23"/>
  <c r="O9" i="23" s="1"/>
  <c r="N10" i="23"/>
  <c r="O10" i="23" s="1"/>
  <c r="N11" i="23"/>
  <c r="O11" i="23" s="1"/>
  <c r="N12" i="23"/>
  <c r="O12" i="23" s="1"/>
  <c r="N13" i="23"/>
  <c r="O13" i="23" s="1"/>
  <c r="P13" i="23" s="1"/>
  <c r="N14" i="23"/>
  <c r="O14" i="23" s="1"/>
  <c r="N15" i="23"/>
  <c r="N16" i="23"/>
  <c r="O16" i="23" s="1"/>
  <c r="N17" i="23"/>
  <c r="O17" i="23" s="1"/>
  <c r="N18" i="23"/>
  <c r="O18" i="23" s="1"/>
  <c r="N19" i="23"/>
  <c r="O19" i="23" s="1"/>
  <c r="P19" i="23" s="1"/>
  <c r="N20" i="23"/>
  <c r="O20" i="23" s="1"/>
  <c r="N21" i="23"/>
  <c r="O21" i="23" s="1"/>
  <c r="P21" i="23" s="1"/>
  <c r="N3" i="23"/>
  <c r="O3" i="23" s="1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3" i="23"/>
  <c r="B27" i="23"/>
  <c r="B28" i="23"/>
  <c r="B29" i="23"/>
  <c r="D29" i="23" s="1"/>
  <c r="H29" i="23" s="1"/>
  <c r="B30" i="23"/>
  <c r="B31" i="23"/>
  <c r="D31" i="23" s="1"/>
  <c r="H31" i="23" s="1"/>
  <c r="B32" i="23"/>
  <c r="B33" i="23"/>
  <c r="D33" i="23" s="1"/>
  <c r="H33" i="23" s="1"/>
  <c r="B34" i="23"/>
  <c r="B35" i="23"/>
  <c r="B36" i="23"/>
  <c r="B37" i="23"/>
  <c r="D37" i="23" s="1"/>
  <c r="H37" i="23" s="1"/>
  <c r="B38" i="23"/>
  <c r="B39" i="23"/>
  <c r="D39" i="23" s="1"/>
  <c r="H39" i="23" s="1"/>
  <c r="B40" i="23"/>
  <c r="B41" i="23"/>
  <c r="D41" i="23" s="1"/>
  <c r="H41" i="23" s="1"/>
  <c r="B42" i="23"/>
  <c r="B43" i="23"/>
  <c r="B44" i="23"/>
  <c r="B26" i="23"/>
  <c r="B4" i="23"/>
  <c r="B5" i="23"/>
  <c r="B6" i="23"/>
  <c r="D6" i="23" s="1"/>
  <c r="H6" i="23" s="1"/>
  <c r="B7" i="23"/>
  <c r="D7" i="23" s="1"/>
  <c r="H7" i="23" s="1"/>
  <c r="B8" i="23"/>
  <c r="D8" i="23" s="1"/>
  <c r="H8" i="23" s="1"/>
  <c r="B9" i="23"/>
  <c r="B10" i="23"/>
  <c r="B11" i="23"/>
  <c r="B12" i="23"/>
  <c r="B13" i="23"/>
  <c r="B14" i="23"/>
  <c r="D14" i="23" s="1"/>
  <c r="H14" i="23" s="1"/>
  <c r="B15" i="23"/>
  <c r="D15" i="23" s="1"/>
  <c r="H15" i="23" s="1"/>
  <c r="B16" i="23"/>
  <c r="D16" i="23" s="1"/>
  <c r="H16" i="23" s="1"/>
  <c r="B17" i="23"/>
  <c r="B18" i="23"/>
  <c r="B19" i="23"/>
  <c r="B20" i="23"/>
  <c r="B21" i="23"/>
  <c r="B3" i="23"/>
  <c r="M2" i="23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G31" i="21"/>
  <c r="C31" i="21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C55" i="22"/>
  <c r="B55" i="22"/>
  <c r="R24" i="22"/>
  <c r="R23" i="22"/>
  <c r="R22" i="22"/>
  <c r="R21" i="22"/>
  <c r="R20" i="22"/>
  <c r="R19" i="22"/>
  <c r="R18" i="22"/>
  <c r="R17" i="22"/>
  <c r="R16" i="22"/>
  <c r="R15" i="22"/>
  <c r="R14" i="22"/>
  <c r="R13" i="22"/>
  <c r="R12" i="22"/>
  <c r="R11" i="22"/>
  <c r="R10" i="22"/>
  <c r="R9" i="22"/>
  <c r="R8" i="22"/>
  <c r="R7" i="22"/>
  <c r="R6" i="22"/>
  <c r="R5" i="22"/>
  <c r="R4" i="22"/>
  <c r="J33" i="21"/>
  <c r="K33" i="21" s="1"/>
  <c r="K32" i="21"/>
  <c r="M31" i="21" s="1"/>
  <c r="J32" i="21"/>
  <c r="C32" i="21"/>
  <c r="J31" i="21"/>
  <c r="K31" i="21" s="1"/>
  <c r="B24" i="21"/>
  <c r="C33" i="21" s="1"/>
  <c r="J16" i="21"/>
  <c r="J15" i="21"/>
  <c r="C15" i="21"/>
  <c r="J14" i="21"/>
  <c r="K14" i="21" s="1"/>
  <c r="B7" i="21"/>
  <c r="J33" i="20"/>
  <c r="K33" i="20" s="1"/>
  <c r="J32" i="20"/>
  <c r="K32" i="20" s="1"/>
  <c r="J31" i="20"/>
  <c r="B24" i="20"/>
  <c r="C33" i="20" s="1"/>
  <c r="J16" i="20"/>
  <c r="J15" i="20"/>
  <c r="J14" i="20"/>
  <c r="B7" i="20"/>
  <c r="C15" i="20" s="1"/>
  <c r="J33" i="19"/>
  <c r="K33" i="19" s="1"/>
  <c r="C33" i="19"/>
  <c r="J32" i="19"/>
  <c r="K32" i="19" s="1"/>
  <c r="C32" i="19"/>
  <c r="J31" i="19"/>
  <c r="K31" i="19" s="1"/>
  <c r="B24" i="19"/>
  <c r="C31" i="19" s="1"/>
  <c r="J16" i="19"/>
  <c r="J15" i="19"/>
  <c r="J14" i="19"/>
  <c r="B7" i="19"/>
  <c r="C14" i="19" s="1"/>
  <c r="J33" i="18"/>
  <c r="K33" i="18" s="1"/>
  <c r="J32" i="18"/>
  <c r="K32" i="18" s="1"/>
  <c r="J31" i="18"/>
  <c r="C31" i="18"/>
  <c r="B24" i="18"/>
  <c r="C33" i="18" s="1"/>
  <c r="J16" i="18"/>
  <c r="C16" i="18"/>
  <c r="J15" i="18"/>
  <c r="K15" i="18" s="1"/>
  <c r="C15" i="18"/>
  <c r="J14" i="18"/>
  <c r="B7" i="18"/>
  <c r="K14" i="18" s="1"/>
  <c r="J33" i="17"/>
  <c r="J32" i="17"/>
  <c r="K32" i="17" s="1"/>
  <c r="J31" i="17"/>
  <c r="C31" i="17"/>
  <c r="B24" i="17"/>
  <c r="C33" i="17" s="1"/>
  <c r="K16" i="17"/>
  <c r="J16" i="17"/>
  <c r="J15" i="17"/>
  <c r="K15" i="17" s="1"/>
  <c r="J14" i="17"/>
  <c r="K14" i="17" s="1"/>
  <c r="L14" i="17" s="1"/>
  <c r="O47" i="22" s="1"/>
  <c r="B7" i="17"/>
  <c r="C14" i="17" s="1"/>
  <c r="J33" i="16"/>
  <c r="K33" i="16" s="1"/>
  <c r="J32" i="16"/>
  <c r="C32" i="16"/>
  <c r="J31" i="16"/>
  <c r="B24" i="16"/>
  <c r="C31" i="16" s="1"/>
  <c r="J16" i="16"/>
  <c r="K16" i="16" s="1"/>
  <c r="J15" i="16"/>
  <c r="J14" i="16"/>
  <c r="K14" i="16" s="1"/>
  <c r="B7" i="16"/>
  <c r="C15" i="16" s="1"/>
  <c r="J33" i="15"/>
  <c r="K33" i="15" s="1"/>
  <c r="C33" i="15"/>
  <c r="J32" i="15"/>
  <c r="K32" i="15" s="1"/>
  <c r="C32" i="15"/>
  <c r="J31" i="15"/>
  <c r="B24" i="15"/>
  <c r="C31" i="15" s="1"/>
  <c r="J16" i="15"/>
  <c r="K16" i="15" s="1"/>
  <c r="J15" i="15"/>
  <c r="J14" i="15"/>
  <c r="B7" i="15"/>
  <c r="C16" i="15" s="1"/>
  <c r="J33" i="14"/>
  <c r="J32" i="14"/>
  <c r="J31" i="14"/>
  <c r="B24" i="14"/>
  <c r="C33" i="14" s="1"/>
  <c r="J16" i="14"/>
  <c r="J15" i="14"/>
  <c r="J14" i="14"/>
  <c r="B7" i="14"/>
  <c r="C15" i="14" s="1"/>
  <c r="J33" i="13"/>
  <c r="J32" i="13"/>
  <c r="J31" i="13"/>
  <c r="B24" i="13"/>
  <c r="C33" i="13" s="1"/>
  <c r="K16" i="13"/>
  <c r="J16" i="13"/>
  <c r="J15" i="13"/>
  <c r="J14" i="13"/>
  <c r="B7" i="13"/>
  <c r="C14" i="13" s="1"/>
  <c r="K33" i="12"/>
  <c r="J33" i="12"/>
  <c r="J32" i="12"/>
  <c r="J31" i="12"/>
  <c r="B24" i="12"/>
  <c r="C33" i="12" s="1"/>
  <c r="J16" i="12"/>
  <c r="K16" i="12" s="1"/>
  <c r="C16" i="12"/>
  <c r="J15" i="12"/>
  <c r="K15" i="12" s="1"/>
  <c r="J14" i="12"/>
  <c r="K14" i="12" s="1"/>
  <c r="B7" i="12"/>
  <c r="C15" i="12" s="1"/>
  <c r="J33" i="11"/>
  <c r="K33" i="11" s="1"/>
  <c r="J32" i="11"/>
  <c r="K32" i="11" s="1"/>
  <c r="J31" i="11"/>
  <c r="K31" i="11" s="1"/>
  <c r="M31" i="11" s="1"/>
  <c r="B24" i="11"/>
  <c r="C32" i="11" s="1"/>
  <c r="J16" i="11"/>
  <c r="J15" i="11"/>
  <c r="K15" i="11" s="1"/>
  <c r="C15" i="11"/>
  <c r="J14" i="11"/>
  <c r="B7" i="11"/>
  <c r="C14" i="11" s="1"/>
  <c r="J33" i="10"/>
  <c r="K33" i="10" s="1"/>
  <c r="J32" i="10"/>
  <c r="J31" i="10"/>
  <c r="B24" i="10"/>
  <c r="C33" i="10" s="1"/>
  <c r="J16" i="10"/>
  <c r="K16" i="10" s="1"/>
  <c r="C16" i="10"/>
  <c r="J15" i="10"/>
  <c r="C15" i="10"/>
  <c r="K14" i="10"/>
  <c r="J14" i="10"/>
  <c r="B7" i="10"/>
  <c r="C14" i="10" s="1"/>
  <c r="J33" i="9"/>
  <c r="J32" i="9"/>
  <c r="J31" i="9"/>
  <c r="B24" i="9"/>
  <c r="C33" i="9" s="1"/>
  <c r="J16" i="9"/>
  <c r="J15" i="9"/>
  <c r="J14" i="9"/>
  <c r="K14" i="9" s="1"/>
  <c r="B7" i="9"/>
  <c r="C14" i="9" s="1"/>
  <c r="J33" i="8"/>
  <c r="K33" i="8" s="1"/>
  <c r="J32" i="8"/>
  <c r="K32" i="8" s="1"/>
  <c r="J31" i="8"/>
  <c r="B24" i="8"/>
  <c r="C33" i="8" s="1"/>
  <c r="J16" i="8"/>
  <c r="J15" i="8"/>
  <c r="K15" i="8" s="1"/>
  <c r="J14" i="8"/>
  <c r="B7" i="8"/>
  <c r="C15" i="8" s="1"/>
  <c r="J33" i="7"/>
  <c r="K33" i="7" s="1"/>
  <c r="C33" i="7"/>
  <c r="J32" i="7"/>
  <c r="K32" i="7" s="1"/>
  <c r="J31" i="7"/>
  <c r="B24" i="7"/>
  <c r="C32" i="7" s="1"/>
  <c r="K16" i="7"/>
  <c r="J16" i="7"/>
  <c r="J15" i="7"/>
  <c r="J14" i="7"/>
  <c r="B7" i="7"/>
  <c r="C14" i="7" s="1"/>
  <c r="J33" i="6"/>
  <c r="K33" i="6" s="1"/>
  <c r="J32" i="6"/>
  <c r="K32" i="6" s="1"/>
  <c r="C32" i="6"/>
  <c r="J31" i="6"/>
  <c r="K31" i="6" s="1"/>
  <c r="B24" i="6"/>
  <c r="C33" i="6" s="1"/>
  <c r="J16" i="6"/>
  <c r="K16" i="6" s="1"/>
  <c r="J15" i="6"/>
  <c r="J14" i="6"/>
  <c r="K14" i="6" s="1"/>
  <c r="B7" i="6"/>
  <c r="C15" i="6" s="1"/>
  <c r="J33" i="5"/>
  <c r="K33" i="5" s="1"/>
  <c r="C33" i="5"/>
  <c r="J32" i="5"/>
  <c r="K32" i="5" s="1"/>
  <c r="M31" i="5" s="1"/>
  <c r="C32" i="5"/>
  <c r="J31" i="5"/>
  <c r="K31" i="5" s="1"/>
  <c r="B24" i="5"/>
  <c r="C31" i="5" s="1"/>
  <c r="E31" i="5" s="1"/>
  <c r="J16" i="5"/>
  <c r="J15" i="5"/>
  <c r="J14" i="5"/>
  <c r="K14" i="5" s="1"/>
  <c r="B7" i="5"/>
  <c r="C14" i="5" s="1"/>
  <c r="J33" i="4"/>
  <c r="K33" i="4" s="1"/>
  <c r="J32" i="4"/>
  <c r="K32" i="4" s="1"/>
  <c r="C32" i="4"/>
  <c r="J31" i="4"/>
  <c r="K31" i="4" s="1"/>
  <c r="B24" i="4"/>
  <c r="C33" i="4" s="1"/>
  <c r="J16" i="4"/>
  <c r="K16" i="4" s="1"/>
  <c r="J15" i="4"/>
  <c r="J14" i="4"/>
  <c r="K14" i="4" s="1"/>
  <c r="C14" i="4"/>
  <c r="E14" i="4" s="1"/>
  <c r="B7" i="4"/>
  <c r="C15" i="4" s="1"/>
  <c r="B36" i="3"/>
  <c r="J33" i="3"/>
  <c r="J32" i="3"/>
  <c r="J31" i="3"/>
  <c r="B24" i="3"/>
  <c r="C31" i="3" s="1"/>
  <c r="B19" i="3"/>
  <c r="J16" i="3"/>
  <c r="J15" i="3"/>
  <c r="J14" i="3"/>
  <c r="K14" i="3" s="1"/>
  <c r="B7" i="3"/>
  <c r="K16" i="3" s="1"/>
  <c r="B36" i="2"/>
  <c r="J33" i="2"/>
  <c r="K33" i="2" s="1"/>
  <c r="C33" i="2"/>
  <c r="J32" i="2"/>
  <c r="K32" i="2" s="1"/>
  <c r="C32" i="2"/>
  <c r="K31" i="2"/>
  <c r="J31" i="2"/>
  <c r="B24" i="2"/>
  <c r="C31" i="2" s="1"/>
  <c r="E31" i="2" s="1"/>
  <c r="B19" i="2"/>
  <c r="J16" i="2"/>
  <c r="J15" i="2"/>
  <c r="K14" i="2"/>
  <c r="J14" i="2"/>
  <c r="B7" i="2"/>
  <c r="C15" i="2" s="1"/>
  <c r="J33" i="1"/>
  <c r="K33" i="1" s="1"/>
  <c r="K32" i="1"/>
  <c r="J32" i="1"/>
  <c r="J31" i="1"/>
  <c r="B24" i="1"/>
  <c r="C31" i="1" s="1"/>
  <c r="J16" i="1"/>
  <c r="C16" i="1"/>
  <c r="J15" i="1"/>
  <c r="C15" i="1"/>
  <c r="J14" i="1"/>
  <c r="K14" i="1" s="1"/>
  <c r="B7" i="1"/>
  <c r="C14" i="1" s="1"/>
  <c r="D88" i="23" l="1"/>
  <c r="E88" i="23" s="1"/>
  <c r="D80" i="23"/>
  <c r="E80" i="23" s="1"/>
  <c r="P11" i="23"/>
  <c r="D71" i="23"/>
  <c r="E71" i="23" s="1"/>
  <c r="D63" i="23"/>
  <c r="E63" i="23" s="1"/>
  <c r="D55" i="23"/>
  <c r="E55" i="23" s="1"/>
  <c r="D87" i="23"/>
  <c r="E87" i="23" s="1"/>
  <c r="D79" i="23"/>
  <c r="E79" i="23" s="1"/>
  <c r="P44" i="23"/>
  <c r="P7" i="23"/>
  <c r="P39" i="23"/>
  <c r="P20" i="23"/>
  <c r="Q20" i="23" s="1"/>
  <c r="P12" i="23"/>
  <c r="Q12" i="23" s="1"/>
  <c r="P4" i="23"/>
  <c r="D69" i="23"/>
  <c r="E69" i="23" s="1"/>
  <c r="D61" i="23"/>
  <c r="E61" i="23" s="1"/>
  <c r="D74" i="23"/>
  <c r="E74" i="23" s="1"/>
  <c r="D85" i="23"/>
  <c r="E85" i="23" s="1"/>
  <c r="D77" i="23"/>
  <c r="E77" i="23" s="1"/>
  <c r="P34" i="23"/>
  <c r="P42" i="23"/>
  <c r="D76" i="23"/>
  <c r="E76" i="23" s="1"/>
  <c r="P18" i="23"/>
  <c r="Q18" i="23" s="1"/>
  <c r="P10" i="23"/>
  <c r="Q10" i="23" s="1"/>
  <c r="P17" i="23"/>
  <c r="P9" i="23"/>
  <c r="Q9" i="23" s="1"/>
  <c r="P26" i="23"/>
  <c r="Q26" i="23" s="1"/>
  <c r="P16" i="23"/>
  <c r="P8" i="23"/>
  <c r="R8" i="23" s="1"/>
  <c r="U8" i="23" s="1"/>
  <c r="P30" i="23"/>
  <c r="Q30" i="23" s="1"/>
  <c r="P38" i="23"/>
  <c r="R38" i="23" s="1"/>
  <c r="D53" i="23"/>
  <c r="E53" i="23" s="1"/>
  <c r="D64" i="23"/>
  <c r="E64" i="23" s="1"/>
  <c r="D56" i="23"/>
  <c r="E56" i="23" s="1"/>
  <c r="P3" i="23"/>
  <c r="R3" i="23" s="1"/>
  <c r="P14" i="23"/>
  <c r="P6" i="23"/>
  <c r="R6" i="23" s="1"/>
  <c r="U6" i="23" s="1"/>
  <c r="R5" i="23"/>
  <c r="U5" i="23" s="1"/>
  <c r="Q5" i="23"/>
  <c r="Q19" i="23"/>
  <c r="R19" i="23"/>
  <c r="U19" i="23" s="1"/>
  <c r="R20" i="23"/>
  <c r="U20" i="23" s="1"/>
  <c r="R12" i="23"/>
  <c r="U12" i="23" s="1"/>
  <c r="Q4" i="23"/>
  <c r="R4" i="23"/>
  <c r="U4" i="23" s="1"/>
  <c r="R15" i="23"/>
  <c r="U15" i="23" s="1"/>
  <c r="Q15" i="23"/>
  <c r="Q40" i="23"/>
  <c r="R40" i="23"/>
  <c r="R34" i="23"/>
  <c r="Q34" i="23"/>
  <c r="Q42" i="23"/>
  <c r="R42" i="23"/>
  <c r="Q11" i="23"/>
  <c r="R11" i="23"/>
  <c r="U11" i="23" s="1"/>
  <c r="R21" i="23"/>
  <c r="U21" i="23" s="1"/>
  <c r="Q21" i="23"/>
  <c r="Q27" i="23"/>
  <c r="R27" i="23"/>
  <c r="Q35" i="23"/>
  <c r="R35" i="23"/>
  <c r="Q43" i="23"/>
  <c r="R43" i="23"/>
  <c r="R7" i="23"/>
  <c r="U7" i="23" s="1"/>
  <c r="Q7" i="23"/>
  <c r="R32" i="23"/>
  <c r="Q32" i="23"/>
  <c r="R17" i="23"/>
  <c r="U17" i="23" s="1"/>
  <c r="Q17" i="23"/>
  <c r="Q28" i="23"/>
  <c r="R28" i="23"/>
  <c r="Q36" i="23"/>
  <c r="R36" i="23"/>
  <c r="Q44" i="23"/>
  <c r="R44" i="23"/>
  <c r="Q29" i="23"/>
  <c r="R29" i="23"/>
  <c r="Q8" i="23"/>
  <c r="R41" i="23"/>
  <c r="Q41" i="23"/>
  <c r="R16" i="23"/>
  <c r="U16" i="23" s="1"/>
  <c r="Q16" i="23"/>
  <c r="R30" i="23"/>
  <c r="Q38" i="23"/>
  <c r="Q37" i="23"/>
  <c r="R37" i="23"/>
  <c r="Q13" i="23"/>
  <c r="R13" i="23"/>
  <c r="U13" i="23" s="1"/>
  <c r="R14" i="23"/>
  <c r="U14" i="23" s="1"/>
  <c r="Q14" i="23"/>
  <c r="Q6" i="23"/>
  <c r="R31" i="23"/>
  <c r="Q31" i="23"/>
  <c r="R39" i="23"/>
  <c r="Q39" i="23"/>
  <c r="Q33" i="23"/>
  <c r="R33" i="23"/>
  <c r="D3" i="23"/>
  <c r="D35" i="23"/>
  <c r="H35" i="23" s="1"/>
  <c r="D27" i="23"/>
  <c r="H27" i="23" s="1"/>
  <c r="D43" i="23"/>
  <c r="H43" i="23" s="1"/>
  <c r="D26" i="23"/>
  <c r="H26" i="23" s="1"/>
  <c r="D28" i="23"/>
  <c r="H28" i="23" s="1"/>
  <c r="D30" i="23"/>
  <c r="H30" i="23" s="1"/>
  <c r="D32" i="23"/>
  <c r="H32" i="23" s="1"/>
  <c r="D34" i="23"/>
  <c r="H34" i="23" s="1"/>
  <c r="D36" i="23"/>
  <c r="H36" i="23" s="1"/>
  <c r="D38" i="23"/>
  <c r="H38" i="23" s="1"/>
  <c r="D40" i="23"/>
  <c r="H40" i="23" s="1"/>
  <c r="D42" i="23"/>
  <c r="H42" i="23" s="1"/>
  <c r="D44" i="23"/>
  <c r="H44" i="23" s="1"/>
  <c r="D21" i="23"/>
  <c r="H21" i="23" s="1"/>
  <c r="D13" i="23"/>
  <c r="H13" i="23" s="1"/>
  <c r="D5" i="23"/>
  <c r="H5" i="23" s="1"/>
  <c r="D20" i="23"/>
  <c r="H20" i="23" s="1"/>
  <c r="D12" i="23"/>
  <c r="H12" i="23" s="1"/>
  <c r="D4" i="23"/>
  <c r="H4" i="23" s="1"/>
  <c r="D19" i="23"/>
  <c r="H19" i="23" s="1"/>
  <c r="D11" i="23"/>
  <c r="H11" i="23" s="1"/>
  <c r="D18" i="23"/>
  <c r="H18" i="23" s="1"/>
  <c r="D10" i="23"/>
  <c r="H10" i="23" s="1"/>
  <c r="D17" i="23"/>
  <c r="H17" i="23" s="1"/>
  <c r="D9" i="23"/>
  <c r="H9" i="23" s="1"/>
  <c r="L31" i="6"/>
  <c r="O10" i="22" s="1"/>
  <c r="E31" i="19"/>
  <c r="D31" i="19"/>
  <c r="G31" i="19" s="1"/>
  <c r="D31" i="21"/>
  <c r="K15" i="2"/>
  <c r="L31" i="5"/>
  <c r="O9" i="22" s="1"/>
  <c r="K33" i="9"/>
  <c r="C33" i="11"/>
  <c r="K33" i="13"/>
  <c r="E14" i="11"/>
  <c r="C14" i="2"/>
  <c r="M31" i="2"/>
  <c r="K14" i="11"/>
  <c r="K14" i="13"/>
  <c r="C14" i="14"/>
  <c r="K31" i="15"/>
  <c r="M31" i="15" s="1"/>
  <c r="K31" i="16"/>
  <c r="C16" i="13"/>
  <c r="E14" i="13" s="1"/>
  <c r="K15" i="14"/>
  <c r="K32" i="16"/>
  <c r="K31" i="17"/>
  <c r="K15" i="10"/>
  <c r="C16" i="11"/>
  <c r="C33" i="16"/>
  <c r="C32" i="17"/>
  <c r="D31" i="17" s="1"/>
  <c r="G31" i="17" s="1"/>
  <c r="C31" i="14"/>
  <c r="C31" i="11"/>
  <c r="C31" i="13"/>
  <c r="E31" i="13" s="1"/>
  <c r="K31" i="14"/>
  <c r="K15" i="21"/>
  <c r="L14" i="21" s="1"/>
  <c r="O51" i="22" s="1"/>
  <c r="K16" i="9"/>
  <c r="C16" i="2"/>
  <c r="K31" i="1"/>
  <c r="K16" i="2"/>
  <c r="K15" i="5"/>
  <c r="C15" i="7"/>
  <c r="C16" i="8"/>
  <c r="C31" i="9"/>
  <c r="K31" i="13"/>
  <c r="K32" i="14"/>
  <c r="C16" i="21"/>
  <c r="C32" i="1"/>
  <c r="C15" i="3"/>
  <c r="K15" i="4"/>
  <c r="L14" i="4" s="1"/>
  <c r="O34" i="22" s="1"/>
  <c r="C16" i="5"/>
  <c r="K15" i="6"/>
  <c r="M14" i="6" s="1"/>
  <c r="K16" i="8"/>
  <c r="K31" i="9"/>
  <c r="K31" i="12"/>
  <c r="C32" i="13"/>
  <c r="K33" i="14"/>
  <c r="C15" i="17"/>
  <c r="E14" i="17" s="1"/>
  <c r="K33" i="17"/>
  <c r="C14" i="20"/>
  <c r="K16" i="21"/>
  <c r="C14" i="21"/>
  <c r="E14" i="21" s="1"/>
  <c r="K15" i="1"/>
  <c r="K16" i="1"/>
  <c r="C15" i="5"/>
  <c r="E14" i="5" s="1"/>
  <c r="F14" i="5" s="1"/>
  <c r="H14" i="5" s="1"/>
  <c r="K14" i="7"/>
  <c r="L14" i="7" s="1"/>
  <c r="O37" i="22" s="1"/>
  <c r="K15" i="3"/>
  <c r="L14" i="3" s="1"/>
  <c r="O33" i="22" s="1"/>
  <c r="C16" i="4"/>
  <c r="K16" i="5"/>
  <c r="L14" i="5" s="1"/>
  <c r="O35" i="22" s="1"/>
  <c r="C16" i="6"/>
  <c r="C32" i="9"/>
  <c r="D31" i="9" s="1"/>
  <c r="G31" i="9" s="1"/>
  <c r="K31" i="10"/>
  <c r="M31" i="10" s="1"/>
  <c r="C32" i="12"/>
  <c r="K14" i="19"/>
  <c r="K14" i="20"/>
  <c r="K15" i="9"/>
  <c r="K16" i="11"/>
  <c r="C14" i="3"/>
  <c r="E14" i="3" s="1"/>
  <c r="C31" i="8"/>
  <c r="C32" i="10"/>
  <c r="K32" i="13"/>
  <c r="K15" i="16"/>
  <c r="M14" i="16" s="1"/>
  <c r="C14" i="18"/>
  <c r="D14" i="18" s="1"/>
  <c r="G14" i="18" s="1"/>
  <c r="C48" i="22" s="1"/>
  <c r="D48" i="22" s="1"/>
  <c r="E48" i="22" s="1"/>
  <c r="F48" i="22" s="1"/>
  <c r="E31" i="21"/>
  <c r="M14" i="10"/>
  <c r="D14" i="11"/>
  <c r="G14" i="11" s="1"/>
  <c r="C41" i="22" s="1"/>
  <c r="D41" i="22" s="1"/>
  <c r="E41" i="22" s="1"/>
  <c r="F41" i="22" s="1"/>
  <c r="K33" i="3"/>
  <c r="C16" i="3"/>
  <c r="K32" i="9"/>
  <c r="M31" i="9" s="1"/>
  <c r="C33" i="1"/>
  <c r="K31" i="8"/>
  <c r="K32" i="10"/>
  <c r="C16" i="16"/>
  <c r="C16" i="17"/>
  <c r="K16" i="19"/>
  <c r="L31" i="21"/>
  <c r="O25" i="22" s="1"/>
  <c r="L14" i="12"/>
  <c r="O42" i="22" s="1"/>
  <c r="M14" i="12"/>
  <c r="K41" i="22"/>
  <c r="L41" i="22" s="1"/>
  <c r="L31" i="19"/>
  <c r="O23" i="22" s="1"/>
  <c r="M31" i="19"/>
  <c r="K48" i="22"/>
  <c r="L48" i="22" s="1"/>
  <c r="T21" i="22"/>
  <c r="D31" i="16"/>
  <c r="G31" i="16" s="1"/>
  <c r="E31" i="16"/>
  <c r="F31" i="16" s="1"/>
  <c r="H31" i="16" s="1"/>
  <c r="E31" i="18"/>
  <c r="M14" i="7"/>
  <c r="E14" i="10"/>
  <c r="D14" i="10"/>
  <c r="G14" i="10" s="1"/>
  <c r="D14" i="1"/>
  <c r="G14" i="1" s="1"/>
  <c r="E14" i="1"/>
  <c r="M31" i="16"/>
  <c r="L31" i="16"/>
  <c r="O20" i="22" s="1"/>
  <c r="D31" i="15"/>
  <c r="G31" i="15" s="1"/>
  <c r="E31" i="15"/>
  <c r="C23" i="22"/>
  <c r="D23" i="22" s="1"/>
  <c r="E23" i="22" s="1"/>
  <c r="F23" i="22" s="1"/>
  <c r="S22" i="22"/>
  <c r="M23" i="22"/>
  <c r="N23" i="22" s="1"/>
  <c r="K23" i="22"/>
  <c r="L23" i="22" s="1"/>
  <c r="M31" i="8"/>
  <c r="L31" i="8"/>
  <c r="O12" i="22" s="1"/>
  <c r="M14" i="11"/>
  <c r="L14" i="11"/>
  <c r="O41" i="22" s="1"/>
  <c r="M14" i="21"/>
  <c r="L14" i="1"/>
  <c r="O31" i="22" s="1"/>
  <c r="M14" i="1"/>
  <c r="D31" i="1"/>
  <c r="G31" i="1" s="1"/>
  <c r="E31" i="1"/>
  <c r="F31" i="1" s="1"/>
  <c r="H31" i="1" s="1"/>
  <c r="M31" i="14"/>
  <c r="L31" i="14"/>
  <c r="O18" i="22" s="1"/>
  <c r="M31" i="4"/>
  <c r="L31" i="4"/>
  <c r="O8" i="22" s="1"/>
  <c r="D14" i="7"/>
  <c r="G14" i="7" s="1"/>
  <c r="M31" i="1"/>
  <c r="L31" i="9"/>
  <c r="O13" i="22" s="1"/>
  <c r="M14" i="13"/>
  <c r="D31" i="2"/>
  <c r="G31" i="2" s="1"/>
  <c r="D14" i="3"/>
  <c r="G14" i="3" s="1"/>
  <c r="D14" i="4"/>
  <c r="G14" i="4" s="1"/>
  <c r="K15" i="7"/>
  <c r="L31" i="11"/>
  <c r="O15" i="22" s="1"/>
  <c r="K16" i="14"/>
  <c r="C14" i="15"/>
  <c r="M14" i="17"/>
  <c r="C31" i="20"/>
  <c r="C16" i="7"/>
  <c r="K32" i="12"/>
  <c r="L31" i="12" s="1"/>
  <c r="O16" i="22" s="1"/>
  <c r="C14" i="8"/>
  <c r="L14" i="10"/>
  <c r="O40" i="22" s="1"/>
  <c r="D31" i="13"/>
  <c r="G31" i="13" s="1"/>
  <c r="L31" i="15"/>
  <c r="O19" i="22" s="1"/>
  <c r="L14" i="16"/>
  <c r="O46" i="22" s="1"/>
  <c r="K16" i="18"/>
  <c r="M14" i="18" s="1"/>
  <c r="L31" i="1"/>
  <c r="O5" i="22" s="1"/>
  <c r="L31" i="2"/>
  <c r="O6" i="22" s="1"/>
  <c r="K31" i="3"/>
  <c r="C31" i="7"/>
  <c r="C32" i="3"/>
  <c r="D31" i="3" s="1"/>
  <c r="G31" i="3" s="1"/>
  <c r="C15" i="15"/>
  <c r="C32" i="20"/>
  <c r="M14" i="5"/>
  <c r="K14" i="15"/>
  <c r="D31" i="18"/>
  <c r="G31" i="18" s="1"/>
  <c r="M31" i="6"/>
  <c r="C31" i="6"/>
  <c r="K31" i="7"/>
  <c r="K14" i="8"/>
  <c r="C32" i="8"/>
  <c r="E31" i="8" s="1"/>
  <c r="D31" i="11"/>
  <c r="G31" i="11" s="1"/>
  <c r="L31" i="13"/>
  <c r="O17" i="22" s="1"/>
  <c r="C32" i="14"/>
  <c r="E31" i="17"/>
  <c r="L14" i="9"/>
  <c r="O39" i="22" s="1"/>
  <c r="K31" i="20"/>
  <c r="C31" i="12"/>
  <c r="C14" i="12"/>
  <c r="E14" i="7"/>
  <c r="D31" i="5"/>
  <c r="G31" i="5" s="1"/>
  <c r="K31" i="18"/>
  <c r="K15" i="20"/>
  <c r="C16" i="9"/>
  <c r="D14" i="5"/>
  <c r="G14" i="5" s="1"/>
  <c r="C15" i="19"/>
  <c r="D14" i="19" s="1"/>
  <c r="G14" i="19" s="1"/>
  <c r="C16" i="20"/>
  <c r="D14" i="20" s="1"/>
  <c r="G14" i="20" s="1"/>
  <c r="C15" i="9"/>
  <c r="K15" i="15"/>
  <c r="C33" i="3"/>
  <c r="C31" i="10"/>
  <c r="C15" i="13"/>
  <c r="C14" i="16"/>
  <c r="K15" i="19"/>
  <c r="M14" i="19" s="1"/>
  <c r="C25" i="22"/>
  <c r="D25" i="22" s="1"/>
  <c r="E25" i="22" s="1"/>
  <c r="F25" i="22" s="1"/>
  <c r="M14" i="9"/>
  <c r="K32" i="3"/>
  <c r="C14" i="6"/>
  <c r="K14" i="14"/>
  <c r="C31" i="4"/>
  <c r="K15" i="13"/>
  <c r="L14" i="13" s="1"/>
  <c r="O43" i="22" s="1"/>
  <c r="C16" i="14"/>
  <c r="D14" i="14" s="1"/>
  <c r="G14" i="14" s="1"/>
  <c r="C32" i="18"/>
  <c r="C16" i="19"/>
  <c r="K16" i="20"/>
  <c r="R10" i="23" l="1"/>
  <c r="U10" i="23" s="1"/>
  <c r="Q3" i="23"/>
  <c r="R26" i="23"/>
  <c r="R9" i="23"/>
  <c r="U9" i="23" s="1"/>
  <c r="R18" i="23"/>
  <c r="U18" i="23" s="1"/>
  <c r="E22" i="23"/>
  <c r="H3" i="23"/>
  <c r="S21" i="23"/>
  <c r="U3" i="23"/>
  <c r="J44" i="23"/>
  <c r="I44" i="23"/>
  <c r="E45" i="23"/>
  <c r="F45" i="23"/>
  <c r="F22" i="23"/>
  <c r="M21" i="22"/>
  <c r="N21" i="22" s="1"/>
  <c r="C21" i="22"/>
  <c r="D21" i="22" s="1"/>
  <c r="E21" i="22" s="1"/>
  <c r="F21" i="22" s="1"/>
  <c r="S20" i="22"/>
  <c r="K21" i="22"/>
  <c r="L21" i="22" s="1"/>
  <c r="D14" i="21"/>
  <c r="F14" i="11"/>
  <c r="H14" i="11" s="1"/>
  <c r="F31" i="8"/>
  <c r="H31" i="8" s="1"/>
  <c r="D31" i="8"/>
  <c r="G31" i="8" s="1"/>
  <c r="D64" i="22" s="1"/>
  <c r="L31" i="17"/>
  <c r="O21" i="22" s="1"/>
  <c r="M31" i="17"/>
  <c r="M48" i="22"/>
  <c r="N48" i="22" s="1"/>
  <c r="M31" i="12"/>
  <c r="L31" i="10"/>
  <c r="O14" i="22" s="1"/>
  <c r="M14" i="20"/>
  <c r="E14" i="18"/>
  <c r="F14" i="18" s="1"/>
  <c r="H14" i="18" s="1"/>
  <c r="L14" i="19"/>
  <c r="O49" i="22" s="1"/>
  <c r="L14" i="18"/>
  <c r="O48" i="22" s="1"/>
  <c r="F14" i="4"/>
  <c r="H14" i="4" s="1"/>
  <c r="E14" i="20"/>
  <c r="F14" i="20" s="1"/>
  <c r="H14" i="20" s="1"/>
  <c r="L14" i="2"/>
  <c r="O32" i="22" s="1"/>
  <c r="O52" i="22" s="1"/>
  <c r="M14" i="2"/>
  <c r="E14" i="9"/>
  <c r="F31" i="17"/>
  <c r="H31" i="17" s="1"/>
  <c r="D14" i="17"/>
  <c r="G14" i="17" s="1"/>
  <c r="D73" i="22" s="1"/>
  <c r="M41" i="22"/>
  <c r="N41" i="22" s="1"/>
  <c r="E31" i="11"/>
  <c r="F31" i="11" s="1"/>
  <c r="H31" i="11" s="1"/>
  <c r="D31" i="14"/>
  <c r="G31" i="14" s="1"/>
  <c r="F31" i="15"/>
  <c r="H31" i="15" s="1"/>
  <c r="T14" i="22"/>
  <c r="F31" i="19"/>
  <c r="H31" i="19" s="1"/>
  <c r="M31" i="13"/>
  <c r="M14" i="3"/>
  <c r="E31" i="9"/>
  <c r="F31" i="9" s="1"/>
  <c r="H31" i="9" s="1"/>
  <c r="M14" i="4"/>
  <c r="F14" i="1"/>
  <c r="H14" i="1" s="1"/>
  <c r="E14" i="2"/>
  <c r="D14" i="2"/>
  <c r="G14" i="2" s="1"/>
  <c r="D14" i="13"/>
  <c r="G14" i="13" s="1"/>
  <c r="L14" i="6"/>
  <c r="O36" i="22" s="1"/>
  <c r="H25" i="22"/>
  <c r="G25" i="22"/>
  <c r="D59" i="22"/>
  <c r="M7" i="22"/>
  <c r="N7" i="22" s="1"/>
  <c r="K7" i="22"/>
  <c r="L7" i="22" s="1"/>
  <c r="C7" i="22"/>
  <c r="D7" i="22" s="1"/>
  <c r="E7" i="22" s="1"/>
  <c r="F7" i="22" s="1"/>
  <c r="S6" i="22"/>
  <c r="C49" i="22"/>
  <c r="D49" i="22" s="1"/>
  <c r="E49" i="22" s="1"/>
  <c r="F49" i="22" s="1"/>
  <c r="T22" i="22"/>
  <c r="U22" i="22" s="1"/>
  <c r="K49" i="22"/>
  <c r="L49" i="22" s="1"/>
  <c r="M49" i="22"/>
  <c r="N49" i="22" s="1"/>
  <c r="D75" i="22"/>
  <c r="C6" i="22"/>
  <c r="D6" i="22" s="1"/>
  <c r="E6" i="22" s="1"/>
  <c r="F6" i="22" s="1"/>
  <c r="K6" i="22"/>
  <c r="L6" i="22" s="1"/>
  <c r="D58" i="22"/>
  <c r="S5" i="22"/>
  <c r="M6" i="22"/>
  <c r="N6" i="22" s="1"/>
  <c r="E31" i="6"/>
  <c r="D31" i="6"/>
  <c r="G31" i="6" s="1"/>
  <c r="C40" i="22"/>
  <c r="D40" i="22" s="1"/>
  <c r="E40" i="22" s="1"/>
  <c r="F40" i="22" s="1"/>
  <c r="M40" i="22"/>
  <c r="N40" i="22" s="1"/>
  <c r="K40" i="22"/>
  <c r="L40" i="22" s="1"/>
  <c r="T13" i="22"/>
  <c r="C33" i="22"/>
  <c r="D33" i="22" s="1"/>
  <c r="E33" i="22" s="1"/>
  <c r="F33" i="22" s="1"/>
  <c r="K33" i="22"/>
  <c r="L33" i="22" s="1"/>
  <c r="M33" i="22"/>
  <c r="N33" i="22" s="1"/>
  <c r="T6" i="22"/>
  <c r="J23" i="22"/>
  <c r="H23" i="22"/>
  <c r="I23" i="22" s="1"/>
  <c r="B75" i="22" s="1"/>
  <c r="G23" i="22"/>
  <c r="E31" i="3"/>
  <c r="F31" i="3" s="1"/>
  <c r="H31" i="3" s="1"/>
  <c r="L14" i="20"/>
  <c r="O50" i="22" s="1"/>
  <c r="J21" i="22"/>
  <c r="H21" i="22"/>
  <c r="I21" i="22" s="1"/>
  <c r="B73" i="22" s="1"/>
  <c r="G21" i="22"/>
  <c r="C22" i="22"/>
  <c r="D22" i="22" s="1"/>
  <c r="E22" i="22" s="1"/>
  <c r="F22" i="22" s="1"/>
  <c r="K22" i="22"/>
  <c r="L22" i="22" s="1"/>
  <c r="D74" i="22"/>
  <c r="M22" i="22"/>
  <c r="N22" i="22" s="1"/>
  <c r="S21" i="22"/>
  <c r="U21" i="22" s="1"/>
  <c r="H48" i="22"/>
  <c r="I48" i="22" s="1"/>
  <c r="C74" i="22" s="1"/>
  <c r="G48" i="22"/>
  <c r="J48" i="22"/>
  <c r="M19" i="22"/>
  <c r="N19" i="22" s="1"/>
  <c r="K19" i="22"/>
  <c r="L19" i="22" s="1"/>
  <c r="C19" i="22"/>
  <c r="D19" i="22" s="1"/>
  <c r="E19" i="22" s="1"/>
  <c r="F19" i="22" s="1"/>
  <c r="S18" i="22"/>
  <c r="F14" i="10"/>
  <c r="H14" i="10" s="1"/>
  <c r="E14" i="12"/>
  <c r="D14" i="12"/>
  <c r="G14" i="12" s="1"/>
  <c r="D31" i="10"/>
  <c r="G31" i="10" s="1"/>
  <c r="E31" i="10"/>
  <c r="F31" i="10" s="1"/>
  <c r="H31" i="10" s="1"/>
  <c r="K18" i="22"/>
  <c r="L18" i="22" s="1"/>
  <c r="C18" i="22"/>
  <c r="D18" i="22" s="1"/>
  <c r="E18" i="22" s="1"/>
  <c r="F18" i="22" s="1"/>
  <c r="D70" i="22"/>
  <c r="S17" i="22"/>
  <c r="M18" i="22"/>
  <c r="N18" i="22" s="1"/>
  <c r="M31" i="3"/>
  <c r="L31" i="3"/>
  <c r="O7" i="22" s="1"/>
  <c r="F31" i="5"/>
  <c r="H31" i="5" s="1"/>
  <c r="J41" i="22"/>
  <c r="G41" i="22"/>
  <c r="H41" i="22"/>
  <c r="I41" i="22" s="1"/>
  <c r="C67" i="22" s="1"/>
  <c r="M31" i="18"/>
  <c r="L31" i="18"/>
  <c r="O22" i="22" s="1"/>
  <c r="D61" i="22"/>
  <c r="M9" i="22"/>
  <c r="N9" i="22" s="1"/>
  <c r="S8" i="22"/>
  <c r="K9" i="22"/>
  <c r="L9" i="22" s="1"/>
  <c r="C9" i="22"/>
  <c r="D9" i="22" s="1"/>
  <c r="E9" i="22" s="1"/>
  <c r="F9" i="22" s="1"/>
  <c r="C12" i="22"/>
  <c r="D12" i="22" s="1"/>
  <c r="E12" i="22" s="1"/>
  <c r="F12" i="22" s="1"/>
  <c r="L14" i="15"/>
  <c r="O45" i="22" s="1"/>
  <c r="M14" i="15"/>
  <c r="E14" i="16"/>
  <c r="F14" i="16" s="1"/>
  <c r="H14" i="16" s="1"/>
  <c r="D14" i="16"/>
  <c r="G14" i="16" s="1"/>
  <c r="D31" i="20"/>
  <c r="G31" i="20" s="1"/>
  <c r="E31" i="20"/>
  <c r="D67" i="22"/>
  <c r="K15" i="22"/>
  <c r="L15" i="22" s="1"/>
  <c r="C15" i="22"/>
  <c r="D15" i="22" s="1"/>
  <c r="E15" i="22" s="1"/>
  <c r="F15" i="22" s="1"/>
  <c r="S14" i="22"/>
  <c r="U14" i="22" s="1"/>
  <c r="M15" i="22"/>
  <c r="N15" i="22" s="1"/>
  <c r="M17" i="22"/>
  <c r="N17" i="22" s="1"/>
  <c r="S16" i="22"/>
  <c r="K17" i="22"/>
  <c r="L17" i="22" s="1"/>
  <c r="C17" i="22"/>
  <c r="D17" i="22" s="1"/>
  <c r="E17" i="22" s="1"/>
  <c r="F17" i="22" s="1"/>
  <c r="M25" i="22"/>
  <c r="N25" i="22" s="1"/>
  <c r="S24" i="22"/>
  <c r="K25" i="22"/>
  <c r="L25" i="22" s="1"/>
  <c r="F31" i="18"/>
  <c r="H31" i="18" s="1"/>
  <c r="F14" i="9"/>
  <c r="H14" i="9" s="1"/>
  <c r="M44" i="22"/>
  <c r="N44" i="22" s="1"/>
  <c r="T17" i="22"/>
  <c r="K44" i="22"/>
  <c r="L44" i="22" s="1"/>
  <c r="C44" i="22"/>
  <c r="D44" i="22" s="1"/>
  <c r="E44" i="22" s="1"/>
  <c r="F44" i="22" s="1"/>
  <c r="M13" i="22"/>
  <c r="N13" i="22" s="1"/>
  <c r="K13" i="22"/>
  <c r="L13" i="22" s="1"/>
  <c r="C13" i="22"/>
  <c r="D13" i="22" s="1"/>
  <c r="E13" i="22" s="1"/>
  <c r="F13" i="22" s="1"/>
  <c r="S12" i="22"/>
  <c r="E14" i="19"/>
  <c r="F14" i="19" s="1"/>
  <c r="H14" i="19" s="1"/>
  <c r="D31" i="4"/>
  <c r="G31" i="4" s="1"/>
  <c r="E31" i="4"/>
  <c r="M35" i="22"/>
  <c r="N35" i="22" s="1"/>
  <c r="K35" i="22"/>
  <c r="L35" i="22" s="1"/>
  <c r="C35" i="22"/>
  <c r="D35" i="22" s="1"/>
  <c r="E35" i="22" s="1"/>
  <c r="F35" i="22" s="1"/>
  <c r="T8" i="22"/>
  <c r="E14" i="14"/>
  <c r="F14" i="14" s="1"/>
  <c r="H14" i="14" s="1"/>
  <c r="D72" i="22"/>
  <c r="S19" i="22"/>
  <c r="K20" i="22"/>
  <c r="L20" i="22" s="1"/>
  <c r="M20" i="22"/>
  <c r="N20" i="22" s="1"/>
  <c r="C20" i="22"/>
  <c r="D20" i="22" s="1"/>
  <c r="E20" i="22" s="1"/>
  <c r="F20" i="22" s="1"/>
  <c r="K37" i="22"/>
  <c r="L37" i="22" s="1"/>
  <c r="C37" i="22"/>
  <c r="D37" i="22" s="1"/>
  <c r="E37" i="22" s="1"/>
  <c r="F37" i="22" s="1"/>
  <c r="T10" i="22"/>
  <c r="M37" i="22"/>
  <c r="N37" i="22" s="1"/>
  <c r="F14" i="7"/>
  <c r="H14" i="7" s="1"/>
  <c r="D31" i="12"/>
  <c r="G31" i="12" s="1"/>
  <c r="E31" i="12"/>
  <c r="E14" i="15"/>
  <c r="F14" i="15" s="1"/>
  <c r="H14" i="15" s="1"/>
  <c r="D14" i="15"/>
  <c r="G14" i="15" s="1"/>
  <c r="D71" i="22" s="1"/>
  <c r="T7" i="22"/>
  <c r="C34" i="22"/>
  <c r="D34" i="22" s="1"/>
  <c r="E34" i="22" s="1"/>
  <c r="F34" i="22" s="1"/>
  <c r="M34" i="22"/>
  <c r="N34" i="22" s="1"/>
  <c r="K34" i="22"/>
  <c r="L34" i="22" s="1"/>
  <c r="D14" i="9"/>
  <c r="G14" i="9" s="1"/>
  <c r="E14" i="8"/>
  <c r="D14" i="8"/>
  <c r="G14" i="8" s="1"/>
  <c r="F31" i="21"/>
  <c r="H31" i="21" s="1"/>
  <c r="M31" i="20"/>
  <c r="L31" i="20"/>
  <c r="O24" i="22" s="1"/>
  <c r="F31" i="2"/>
  <c r="H31" i="2" s="1"/>
  <c r="E31" i="7"/>
  <c r="D31" i="7"/>
  <c r="G31" i="7" s="1"/>
  <c r="F31" i="13"/>
  <c r="H31" i="13" s="1"/>
  <c r="T23" i="22"/>
  <c r="C50" i="22"/>
  <c r="D50" i="22" s="1"/>
  <c r="E50" i="22" s="1"/>
  <c r="F50" i="22" s="1"/>
  <c r="M50" i="22"/>
  <c r="N50" i="22" s="1"/>
  <c r="K50" i="22"/>
  <c r="L50" i="22" s="1"/>
  <c r="M14" i="14"/>
  <c r="L14" i="14"/>
  <c r="O44" i="22" s="1"/>
  <c r="M14" i="8"/>
  <c r="L14" i="8"/>
  <c r="O38" i="22" s="1"/>
  <c r="E14" i="6"/>
  <c r="D14" i="6"/>
  <c r="G14" i="6" s="1"/>
  <c r="L31" i="7"/>
  <c r="O11" i="22" s="1"/>
  <c r="M31" i="7"/>
  <c r="D57" i="22"/>
  <c r="M5" i="22"/>
  <c r="N5" i="22" s="1"/>
  <c r="C5" i="22"/>
  <c r="D5" i="22" s="1"/>
  <c r="E5" i="22" s="1"/>
  <c r="F5" i="22" s="1"/>
  <c r="S4" i="22"/>
  <c r="K5" i="22"/>
  <c r="L5" i="22" s="1"/>
  <c r="M31" i="22"/>
  <c r="N31" i="22" s="1"/>
  <c r="C31" i="22"/>
  <c r="D31" i="22" s="1"/>
  <c r="E31" i="22" s="1"/>
  <c r="F31" i="22" s="1"/>
  <c r="T4" i="22"/>
  <c r="K31" i="22"/>
  <c r="L31" i="22" s="1"/>
  <c r="F14" i="3"/>
  <c r="H14" i="3" s="1"/>
  <c r="E31" i="14"/>
  <c r="F31" i="14" s="1"/>
  <c r="H31" i="14" s="1"/>
  <c r="T21" i="23" l="1"/>
  <c r="W21" i="23"/>
  <c r="V21" i="23"/>
  <c r="J21" i="23"/>
  <c r="I21" i="23"/>
  <c r="F31" i="7"/>
  <c r="H31" i="7" s="1"/>
  <c r="K43" i="22"/>
  <c r="L43" i="22" s="1"/>
  <c r="M43" i="22"/>
  <c r="N43" i="22" s="1"/>
  <c r="T16" i="22"/>
  <c r="C43" i="22"/>
  <c r="D43" i="22" s="1"/>
  <c r="E43" i="22" s="1"/>
  <c r="F43" i="22" s="1"/>
  <c r="C32" i="22"/>
  <c r="D32" i="22" s="1"/>
  <c r="E32" i="22" s="1"/>
  <c r="F32" i="22" s="1"/>
  <c r="K32" i="22"/>
  <c r="L32" i="22" s="1"/>
  <c r="T5" i="22"/>
  <c r="U5" i="22" s="1"/>
  <c r="M32" i="22"/>
  <c r="N32" i="22" s="1"/>
  <c r="D69" i="22"/>
  <c r="F31" i="4"/>
  <c r="H31" i="4" s="1"/>
  <c r="K12" i="22"/>
  <c r="L12" i="22" s="1"/>
  <c r="O26" i="22"/>
  <c r="F14" i="13"/>
  <c r="H14" i="13" s="1"/>
  <c r="G14" i="21"/>
  <c r="F14" i="21"/>
  <c r="H14" i="21" s="1"/>
  <c r="F14" i="17"/>
  <c r="H14" i="17" s="1"/>
  <c r="F14" i="2"/>
  <c r="H14" i="2" s="1"/>
  <c r="F31" i="12"/>
  <c r="H31" i="12" s="1"/>
  <c r="C47" i="22"/>
  <c r="D47" i="22" s="1"/>
  <c r="E47" i="22" s="1"/>
  <c r="F47" i="22" s="1"/>
  <c r="J47" i="22" s="1"/>
  <c r="F31" i="6"/>
  <c r="H31" i="6" s="1"/>
  <c r="M12" i="22"/>
  <c r="N12" i="22" s="1"/>
  <c r="S11" i="22"/>
  <c r="K47" i="22"/>
  <c r="L47" i="22" s="1"/>
  <c r="T20" i="22"/>
  <c r="U20" i="22" s="1"/>
  <c r="U4" i="22"/>
  <c r="U16" i="22"/>
  <c r="M47" i="22"/>
  <c r="N47" i="22" s="1"/>
  <c r="F31" i="20"/>
  <c r="H31" i="20" s="1"/>
  <c r="J6" i="22"/>
  <c r="G6" i="22"/>
  <c r="H6" i="22"/>
  <c r="I6" i="22" s="1"/>
  <c r="B58" i="22" s="1"/>
  <c r="G18" i="22"/>
  <c r="J18" i="22"/>
  <c r="H18" i="22"/>
  <c r="I18" i="22" s="1"/>
  <c r="B70" i="22" s="1"/>
  <c r="J22" i="22"/>
  <c r="H22" i="22"/>
  <c r="I22" i="22" s="1"/>
  <c r="B74" i="22" s="1"/>
  <c r="G22" i="22"/>
  <c r="D63" i="22"/>
  <c r="M11" i="22"/>
  <c r="N11" i="22" s="1"/>
  <c r="K11" i="22"/>
  <c r="L11" i="22" s="1"/>
  <c r="C11" i="22"/>
  <c r="D11" i="22" s="1"/>
  <c r="E11" i="22" s="1"/>
  <c r="F11" i="22" s="1"/>
  <c r="S10" i="22"/>
  <c r="U10" i="22" s="1"/>
  <c r="U17" i="22"/>
  <c r="H13" i="22"/>
  <c r="I13" i="22" s="1"/>
  <c r="B65" i="22" s="1"/>
  <c r="J13" i="22"/>
  <c r="G13" i="22"/>
  <c r="H20" i="22"/>
  <c r="I20" i="22" s="1"/>
  <c r="B72" i="22" s="1"/>
  <c r="G20" i="22"/>
  <c r="J20" i="22"/>
  <c r="S23" i="22"/>
  <c r="U23" i="22" s="1"/>
  <c r="D76" i="22"/>
  <c r="C24" i="22"/>
  <c r="D24" i="22" s="1"/>
  <c r="E24" i="22" s="1"/>
  <c r="F24" i="22" s="1"/>
  <c r="H24" i="22" s="1"/>
  <c r="M24" i="22"/>
  <c r="N24" i="22" s="1"/>
  <c r="K24" i="22"/>
  <c r="L24" i="22" s="1"/>
  <c r="F14" i="12"/>
  <c r="H14" i="12" s="1"/>
  <c r="U6" i="22"/>
  <c r="F14" i="6"/>
  <c r="H14" i="6" s="1"/>
  <c r="J37" i="22"/>
  <c r="H37" i="22"/>
  <c r="I37" i="22" s="1"/>
  <c r="C63" i="22" s="1"/>
  <c r="G37" i="22"/>
  <c r="M39" i="22"/>
  <c r="N39" i="22" s="1"/>
  <c r="C39" i="22"/>
  <c r="D39" i="22" s="1"/>
  <c r="E39" i="22" s="1"/>
  <c r="F39" i="22" s="1"/>
  <c r="K39" i="22"/>
  <c r="L39" i="22" s="1"/>
  <c r="T12" i="22"/>
  <c r="U12" i="22" s="1"/>
  <c r="J49" i="22"/>
  <c r="G49" i="22"/>
  <c r="H49" i="22"/>
  <c r="I49" i="22" s="1"/>
  <c r="C75" i="22" s="1"/>
  <c r="D65" i="22"/>
  <c r="M46" i="22"/>
  <c r="N46" i="22" s="1"/>
  <c r="K46" i="22"/>
  <c r="L46" i="22" s="1"/>
  <c r="T19" i="22"/>
  <c r="U19" i="22" s="1"/>
  <c r="C46" i="22"/>
  <c r="D46" i="22" s="1"/>
  <c r="E46" i="22" s="1"/>
  <c r="F46" i="22" s="1"/>
  <c r="H7" i="22"/>
  <c r="I7" i="22" s="1"/>
  <c r="B59" i="22" s="1"/>
  <c r="J7" i="22"/>
  <c r="G7" i="22"/>
  <c r="H12" i="22"/>
  <c r="I12" i="22" s="1"/>
  <c r="B64" i="22" s="1"/>
  <c r="G12" i="22"/>
  <c r="J12" i="22"/>
  <c r="J9" i="22"/>
  <c r="H9" i="22"/>
  <c r="I9" i="22" s="1"/>
  <c r="B61" i="22" s="1"/>
  <c r="G9" i="22"/>
  <c r="M36" i="22"/>
  <c r="N36" i="22" s="1"/>
  <c r="K36" i="22"/>
  <c r="L36" i="22" s="1"/>
  <c r="T9" i="22"/>
  <c r="C36" i="22"/>
  <c r="D36" i="22" s="1"/>
  <c r="E36" i="22" s="1"/>
  <c r="F36" i="22" s="1"/>
  <c r="U8" i="22"/>
  <c r="J17" i="22"/>
  <c r="H17" i="22"/>
  <c r="I17" i="22" s="1"/>
  <c r="B69" i="22" s="1"/>
  <c r="G17" i="22"/>
  <c r="J33" i="22"/>
  <c r="G33" i="22"/>
  <c r="H33" i="22"/>
  <c r="I33" i="22" s="1"/>
  <c r="C59" i="22" s="1"/>
  <c r="H34" i="22"/>
  <c r="I34" i="22" s="1"/>
  <c r="C60" i="22" s="1"/>
  <c r="G34" i="22"/>
  <c r="J34" i="22"/>
  <c r="G35" i="22"/>
  <c r="J35" i="22"/>
  <c r="H35" i="22"/>
  <c r="I35" i="22" s="1"/>
  <c r="C61" i="22" s="1"/>
  <c r="S15" i="22"/>
  <c r="D68" i="22"/>
  <c r="C16" i="22"/>
  <c r="D16" i="22" s="1"/>
  <c r="E16" i="22" s="1"/>
  <c r="F16" i="22" s="1"/>
  <c r="M16" i="22"/>
  <c r="N16" i="22" s="1"/>
  <c r="K16" i="22"/>
  <c r="L16" i="22" s="1"/>
  <c r="S7" i="22"/>
  <c r="U7" i="22" s="1"/>
  <c r="D60" i="22"/>
  <c r="C8" i="22"/>
  <c r="D8" i="22" s="1"/>
  <c r="E8" i="22" s="1"/>
  <c r="F8" i="22" s="1"/>
  <c r="M8" i="22"/>
  <c r="N8" i="22" s="1"/>
  <c r="K8" i="22"/>
  <c r="L8" i="22" s="1"/>
  <c r="G31" i="22"/>
  <c r="J31" i="22"/>
  <c r="H31" i="22"/>
  <c r="I31" i="22" s="1"/>
  <c r="C57" i="22" s="1"/>
  <c r="H44" i="22"/>
  <c r="I44" i="22" s="1"/>
  <c r="C70" i="22" s="1"/>
  <c r="G44" i="22"/>
  <c r="J44" i="22"/>
  <c r="J19" i="22"/>
  <c r="H19" i="22"/>
  <c r="I19" i="22" s="1"/>
  <c r="B71" i="22" s="1"/>
  <c r="G19" i="22"/>
  <c r="H40" i="22"/>
  <c r="I40" i="22" s="1"/>
  <c r="C66" i="22" s="1"/>
  <c r="G40" i="22"/>
  <c r="J40" i="22"/>
  <c r="J5" i="22"/>
  <c r="H5" i="22"/>
  <c r="I5" i="22" s="1"/>
  <c r="B57" i="22" s="1"/>
  <c r="G5" i="22"/>
  <c r="H15" i="22"/>
  <c r="I15" i="22" s="1"/>
  <c r="B67" i="22" s="1"/>
  <c r="J15" i="22"/>
  <c r="G15" i="22"/>
  <c r="J25" i="22"/>
  <c r="I25" i="22"/>
  <c r="B77" i="22" s="1"/>
  <c r="M38" i="22"/>
  <c r="N38" i="22" s="1"/>
  <c r="K38" i="22"/>
  <c r="L38" i="22" s="1"/>
  <c r="C38" i="22"/>
  <c r="D38" i="22" s="1"/>
  <c r="E38" i="22" s="1"/>
  <c r="F38" i="22" s="1"/>
  <c r="T11" i="22"/>
  <c r="F14" i="8"/>
  <c r="H14" i="8" s="1"/>
  <c r="C14" i="22"/>
  <c r="D14" i="22" s="1"/>
  <c r="E14" i="22" s="1"/>
  <c r="F14" i="22" s="1"/>
  <c r="K14" i="22"/>
  <c r="L14" i="22" s="1"/>
  <c r="D66" i="22"/>
  <c r="S13" i="22"/>
  <c r="U13" i="22" s="1"/>
  <c r="M14" i="22"/>
  <c r="N14" i="22" s="1"/>
  <c r="T15" i="22"/>
  <c r="C42" i="22"/>
  <c r="D42" i="22" s="1"/>
  <c r="E42" i="22" s="1"/>
  <c r="F42" i="22" s="1"/>
  <c r="M42" i="22"/>
  <c r="N42" i="22" s="1"/>
  <c r="K42" i="22"/>
  <c r="L42" i="22" s="1"/>
  <c r="H50" i="22"/>
  <c r="I50" i="22" s="1"/>
  <c r="C76" i="22" s="1"/>
  <c r="G50" i="22"/>
  <c r="J50" i="22"/>
  <c r="K45" i="22"/>
  <c r="L45" i="22" s="1"/>
  <c r="C45" i="22"/>
  <c r="D45" i="22" s="1"/>
  <c r="E45" i="22" s="1"/>
  <c r="F45" i="22" s="1"/>
  <c r="T18" i="22"/>
  <c r="U18" i="22" s="1"/>
  <c r="M45" i="22"/>
  <c r="N45" i="22" s="1"/>
  <c r="K10" i="22"/>
  <c r="L10" i="22" s="1"/>
  <c r="C10" i="22"/>
  <c r="D10" i="22" s="1"/>
  <c r="E10" i="22" s="1"/>
  <c r="F10" i="22" s="1"/>
  <c r="D62" i="22"/>
  <c r="S9" i="22"/>
  <c r="M10" i="22"/>
  <c r="N10" i="22" s="1"/>
  <c r="U11" i="22" l="1"/>
  <c r="G47" i="22"/>
  <c r="H47" i="22"/>
  <c r="I47" i="22" s="1"/>
  <c r="C73" i="22" s="1"/>
  <c r="U15" i="22"/>
  <c r="H32" i="22"/>
  <c r="I32" i="22" s="1"/>
  <c r="C58" i="22" s="1"/>
  <c r="G32" i="22"/>
  <c r="J32" i="22"/>
  <c r="J43" i="22"/>
  <c r="H43" i="22"/>
  <c r="I43" i="22" s="1"/>
  <c r="C69" i="22" s="1"/>
  <c r="G43" i="22"/>
  <c r="K51" i="22"/>
  <c r="L51" i="22" s="1"/>
  <c r="M51" i="22"/>
  <c r="N51" i="22" s="1"/>
  <c r="T24" i="22"/>
  <c r="U24" i="22" s="1"/>
  <c r="C51" i="22"/>
  <c r="D51" i="22" s="1"/>
  <c r="E51" i="22" s="1"/>
  <c r="F51" i="22" s="1"/>
  <c r="D77" i="22"/>
  <c r="H46" i="22"/>
  <c r="I46" i="22" s="1"/>
  <c r="C72" i="22" s="1"/>
  <c r="J46" i="22"/>
  <c r="G46" i="22"/>
  <c r="H38" i="22"/>
  <c r="I38" i="22" s="1"/>
  <c r="C64" i="22" s="1"/>
  <c r="J38" i="22"/>
  <c r="G38" i="22"/>
  <c r="J45" i="22"/>
  <c r="H45" i="22"/>
  <c r="I45" i="22" s="1"/>
  <c r="C71" i="22" s="1"/>
  <c r="G45" i="22"/>
  <c r="J39" i="22"/>
  <c r="G39" i="22"/>
  <c r="H39" i="22"/>
  <c r="I39" i="22" s="1"/>
  <c r="C65" i="22" s="1"/>
  <c r="J11" i="22"/>
  <c r="H11" i="22"/>
  <c r="I11" i="22" s="1"/>
  <c r="B63" i="22" s="1"/>
  <c r="G11" i="22"/>
  <c r="H36" i="22"/>
  <c r="I36" i="22" s="1"/>
  <c r="C62" i="22" s="1"/>
  <c r="G36" i="22"/>
  <c r="J36" i="22"/>
  <c r="U9" i="22"/>
  <c r="G8" i="22"/>
  <c r="J8" i="22"/>
  <c r="H8" i="22"/>
  <c r="I8" i="22" s="1"/>
  <c r="B60" i="22" s="1"/>
  <c r="G16" i="22"/>
  <c r="J16" i="22"/>
  <c r="H16" i="22"/>
  <c r="I16" i="22" s="1"/>
  <c r="B68" i="22" s="1"/>
  <c r="I24" i="22"/>
  <c r="B76" i="22" s="1"/>
  <c r="G24" i="22"/>
  <c r="J24" i="22"/>
  <c r="H42" i="22"/>
  <c r="I42" i="22" s="1"/>
  <c r="C68" i="22" s="1"/>
  <c r="G42" i="22"/>
  <c r="J42" i="22"/>
  <c r="G10" i="22"/>
  <c r="J10" i="22"/>
  <c r="H10" i="22"/>
  <c r="I10" i="22" s="1"/>
  <c r="B62" i="22" s="1"/>
  <c r="J14" i="22"/>
  <c r="G14" i="22"/>
  <c r="H14" i="22"/>
  <c r="I14" i="22" s="1"/>
  <c r="B66" i="22" s="1"/>
  <c r="J51" i="22" l="1"/>
  <c r="G51" i="22"/>
  <c r="H51" i="22"/>
  <c r="I51" i="22" s="1"/>
  <c r="C77" i="2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000-000001000000}">
      <text>
        <r>
          <rPr>
            <sz val="12"/>
            <color theme="1"/>
            <rFont val="Calibri"/>
            <family val="2"/>
            <scheme val="minor"/>
          </rPr>
          <t>======
ID#AAAAgOuX9ig
fieldcamp    (2022-10-04 17:26:55)
.0006 mCi (.0006ml) 3H Thymidine added to each tube:
(1000µCi/ml)*.0006ml = .6µCi * 2.2E6dpm/µCi = 1.32E6</t>
        </r>
      </text>
    </comment>
    <comment ref="B24" authorId="0" shapeId="0" xr:uid="{00000000-0006-0000-0000-000002000000}">
      <text>
        <r>
          <rPr>
            <sz val="12"/>
            <color theme="1"/>
            <rFont val="Calibri"/>
            <family val="2"/>
            <scheme val="minor"/>
          </rPr>
          <t>======
ID#AAAAhVtLbaA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gIVPTUbhoAhK6mbG+4QmPZU7qK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100-000001000000}">
      <text>
        <r>
          <rPr>
            <sz val="12"/>
            <color theme="1"/>
            <rFont val="Calibri"/>
            <family val="2"/>
            <scheme val="minor"/>
          </rPr>
          <t>======
ID#AAAAgOuX9i4
fieldcamp    (2022-10-04 17:39:12)
.0006 mCi (.0006ml) 3H Thymidine added to each tube:
(1000µCi/ml)*.0006ml = .6µCi * 2.2E6dpm/µCi = 1.32E6</t>
        </r>
      </text>
    </comment>
    <comment ref="B24" authorId="0" shapeId="0" xr:uid="{00000000-0006-0000-0100-000002000000}">
      <text>
        <r>
          <rPr>
            <sz val="12"/>
            <color theme="1"/>
            <rFont val="Calibri"/>
            <family val="2"/>
            <scheme val="minor"/>
          </rPr>
          <t>======
ID#AAAAgOuX9iQ
fieldcamp    (2022-10-04 17:26:55)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QzJC9tHjqEvI9j0Asb6vcj8UBU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200-000001000000}">
      <text>
        <r>
          <rPr>
            <sz val="12"/>
            <color theme="1"/>
            <rFont val="Calibri"/>
            <family val="2"/>
            <scheme val="minor"/>
          </rPr>
          <t>======
ID#AAAAgOuX9iY
fieldcamp    (2022-10-04 17:26:55)
.0006 mCi (.0006ml) 3H Thymidine added to each tube:
(1000µCi/ml)*.0006ml = .6µCi * 2.2E6dpm/µCi = 1.32E6</t>
        </r>
      </text>
    </comment>
    <comment ref="B24" authorId="0" shapeId="0" xr:uid="{00000000-0006-0000-0200-000002000000}">
      <text>
        <r>
          <rPr>
            <sz val="12"/>
            <color theme="1"/>
            <rFont val="Calibri"/>
            <family val="2"/>
            <scheme val="minor"/>
          </rPr>
          <t>======
ID#AAAAgOuX9iI
fieldcamp    (2022-10-04 17:16:36)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fI9sZKUAmrMbWeOrUN7Qg8rkts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300-000001000000}">
      <text>
        <r>
          <rPr>
            <sz val="12"/>
            <color theme="1"/>
            <rFont val="Calibri"/>
            <family val="2"/>
            <scheme val="minor"/>
          </rPr>
          <t>======
ID#AAAAhVtLbZw
fieldcamp    (2022-10-03 20:31:24)
.0006 mCi (.0006ml) 3H Thymidine added to each tube:
(1000µCi/ml)*.0006ml = .6µCi * 2.2E6dpm/µCi = 1.32E6</t>
        </r>
      </text>
    </comment>
    <comment ref="B24" authorId="0" shapeId="0" xr:uid="{00000000-0006-0000-0300-000002000000}">
      <text>
        <r>
          <rPr>
            <sz val="12"/>
            <color theme="1"/>
            <rFont val="Calibri"/>
            <family val="2"/>
            <scheme val="minor"/>
          </rPr>
          <t>======
ID#AAAAfzkllW0
fieldcamp    (2022-09-13 00:42:00)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4EEXgIAeLCrgE24CD4xsPhahAW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400-000002000000}">
      <text>
        <r>
          <rPr>
            <sz val="12"/>
            <color theme="1"/>
            <rFont val="Calibri"/>
            <family val="2"/>
            <scheme val="minor"/>
          </rPr>
          <t>======
ID#AAAAfzkllXQ
fieldcamp    (2022-09-13 00:42:00)
.0006 mCi (.0006ml) 3H Thymidine added to each tube:
(1000µCi/ml)*.0006ml = .6µCi * 2.2E6dpm/µCi = 1.32E6</t>
        </r>
      </text>
    </comment>
    <comment ref="B24" authorId="0" shapeId="0" xr:uid="{00000000-0006-0000-0400-000001000000}">
      <text>
        <r>
          <rPr>
            <sz val="12"/>
            <color theme="1"/>
            <rFont val="Calibri"/>
            <family val="2"/>
            <scheme val="minor"/>
          </rPr>
          <t>======
ID#AAAAhVtLbaI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EJZeN+QHnU1h+PK3O/EsQymUYAw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500-000001000000}">
      <text>
        <r>
          <rPr>
            <sz val="12"/>
            <color theme="1"/>
            <rFont val="Calibri"/>
            <family val="2"/>
            <scheme val="minor"/>
          </rPr>
          <t>======
ID#AAAAgOuX9iM
fieldcamp    (2022-10-04 17:16:36)
.0006 mCi (.0006ml) 3H Thymidine added to each tube:
(1000µCi/ml)*.0006ml = .6µCi * 2.2E6dpm/µCi = 1.32E6</t>
        </r>
      </text>
    </comment>
    <comment ref="B24" authorId="0" shapeId="0" xr:uid="{00000000-0006-0000-0500-000002000000}">
      <text>
        <r>
          <rPr>
            <sz val="12"/>
            <color theme="1"/>
            <rFont val="Calibri"/>
            <family val="2"/>
            <scheme val="minor"/>
          </rPr>
          <t>======
ID#AAAAfzkllXU
fieldcamp    (2022-09-13 00:42:00)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MWGDjE0OuA6KFC3oebWnkhHtBX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600-000002000000}">
      <text>
        <r>
          <rPr>
            <sz val="12"/>
            <color theme="1"/>
            <rFont val="Calibri"/>
            <family val="2"/>
            <scheme val="minor"/>
          </rPr>
          <t>======
ID#AAAAhVtLbZ4
fieldcamp    (2022-10-03 20:31:24)
.0006 mCi (.0006ml) 3H Thymidine added to each tube:
(1000µCi/ml)*.0006ml = .6µCi * 2.2E6dpm/µCi = 1.32E6</t>
        </r>
      </text>
    </comment>
    <comment ref="B24" authorId="0" shapeId="0" xr:uid="{00000000-0006-0000-0600-000001000000}">
      <text>
        <r>
          <rPr>
            <sz val="12"/>
            <color theme="1"/>
            <rFont val="Calibri"/>
            <family val="2"/>
            <scheme val="minor"/>
          </rPr>
          <t>======
ID#AAAAgOuX9iA
fieldcamp    (2022-10-04 17:12:23)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sGxDoJpF9CWXfVmYIEpvcxYK6CA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700-000001000000}">
      <text>
        <r>
          <rPr>
            <sz val="12"/>
            <color theme="1"/>
            <rFont val="Calibri"/>
            <family val="2"/>
            <scheme val="minor"/>
          </rPr>
          <t>======
ID#AAAAgOuX9iw
fieldcamp    (2022-10-04 17:39:12)
.0006 mCi (.0006ml) 3H Thymidine added to each tube:
(1000µCi/ml)*.0006ml = .6µCi * 2.2E6dpm/µCi = 1.32E6</t>
        </r>
      </text>
    </comment>
    <comment ref="B24" authorId="0" shapeId="0" xr:uid="{00000000-0006-0000-0700-000002000000}">
      <text>
        <r>
          <rPr>
            <sz val="12"/>
            <color theme="1"/>
            <rFont val="Calibri"/>
            <family val="2"/>
            <scheme val="minor"/>
          </rPr>
          <t>======
ID#AAAAgOuX9h8
fieldcamp    (2022-10-04 17:10:06)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ueZMaakk50MG42en2N0yQH0nCQQ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800-000001000000}">
      <text>
        <r>
          <rPr>
            <sz val="12"/>
            <color theme="1"/>
            <rFont val="Calibri"/>
            <family val="2"/>
            <scheme val="minor"/>
          </rPr>
          <t>======
ID#AAAAhVtLbZs
fieldcamp    (2022-10-03 20:31:24)
.0006 mCi (.0006ml) 3H Thymidine added to each tube:
(1000µCi/ml)*.0006ml = .6µCi * 2.2E6dpm/µCi = 1.32E6</t>
        </r>
      </text>
    </comment>
    <comment ref="B24" authorId="0" shapeId="0" xr:uid="{00000000-0006-0000-0800-000002000000}">
      <text>
        <r>
          <rPr>
            <sz val="12"/>
            <color theme="1"/>
            <rFont val="Calibri"/>
            <family val="2"/>
            <scheme val="minor"/>
          </rPr>
          <t>======
ID#AAAAfzkllWc
fieldcamp    (2022-09-13 00:42:00)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n3+9/8aHSp4dEyOU7cOzugdX1GQ=="/>
    </ext>
  </extL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900-000001000000}">
      <text>
        <r>
          <rPr>
            <sz val="12"/>
            <color theme="1"/>
            <rFont val="Calibri"/>
            <family val="2"/>
            <scheme val="minor"/>
          </rPr>
          <t>======
ID#AAAAgOuX9ik
fieldcamp    (2022-10-04 17:26:55)
.0006 mCi (.0006ml) 3H Thymidine added to each tube:
(1000µCi/ml)*.0006ml = .6µCi * 2.2E6dpm/µCi = 1.32E6</t>
        </r>
      </text>
    </comment>
    <comment ref="B24" authorId="0" shapeId="0" xr:uid="{00000000-0006-0000-0900-000002000000}">
      <text>
        <r>
          <rPr>
            <sz val="12"/>
            <color theme="1"/>
            <rFont val="Calibri"/>
            <family val="2"/>
            <scheme val="minor"/>
          </rPr>
          <t>======
ID#AAAAhVtLbaU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ZpRBC3kYp7tEEeSECIkdgfAmq0g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A00-000001000000}">
      <text>
        <r>
          <rPr>
            <sz val="12"/>
            <color theme="1"/>
            <rFont val="Calibri"/>
            <family val="2"/>
            <scheme val="minor"/>
          </rPr>
          <t>======
ID#AAAAgOuX9hw
fieldcamp    (2022-10-04 17:10:06)
.0006 mCi (.0006ml) 3H Thymidine added to each tube:
(1000µCi/ml)*.0006ml = .6µCi * 2.2E6dpm/µCi = 1.32E6</t>
        </r>
      </text>
    </comment>
    <comment ref="B24" authorId="0" shapeId="0" xr:uid="{00000000-0006-0000-0A00-000002000000}">
      <text>
        <r>
          <rPr>
            <sz val="12"/>
            <color theme="1"/>
            <rFont val="Calibri"/>
            <family val="2"/>
            <scheme val="minor"/>
          </rPr>
          <t>======
ID#AAAAhVtLbZ8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PF8ZzWZs6HXRVBkzxJbZCuHKxzg=="/>
    </ext>
  </extL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B00-000002000000}">
      <text>
        <r>
          <rPr>
            <sz val="12"/>
            <color theme="1"/>
            <rFont val="Calibri"/>
            <family val="2"/>
            <scheme val="minor"/>
          </rPr>
          <t>======
ID#AAAAgOuX9iE
fieldcamp    (2022-10-04 17:12:23)
.0006 mCi (.0006ml) 3H Thymidine added to each tube:
(1000µCi/ml)*.0006ml = .6µCi * 2.2E6dpm/µCi = 1.32E6</t>
        </r>
      </text>
    </comment>
    <comment ref="B24" authorId="0" shapeId="0" xr:uid="{00000000-0006-0000-0B00-000001000000}">
      <text>
        <r>
          <rPr>
            <sz val="12"/>
            <color theme="1"/>
            <rFont val="Calibri"/>
            <family val="2"/>
            <scheme val="minor"/>
          </rPr>
          <t>======
ID#AAAAgOuX9i8
fieldcamp    (2022-10-04 17:39:12)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JFNxbQvr5AJCutu7Pg2GB9Akofg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C00-000002000000}">
      <text>
        <r>
          <rPr>
            <sz val="12"/>
            <color theme="1"/>
            <rFont val="Calibri"/>
            <family val="2"/>
            <scheme val="minor"/>
          </rPr>
          <t>======
ID#AAAAhVtLbZo
fieldcamp    (2022-10-03 20:31:24)
.0006 mCi (.0006ml) 3H Thymidine added to each tube:
(1000µCi/ml)*.0006ml = .6µCi * 2.2E6dpm/µCi = 1.32E6</t>
        </r>
      </text>
    </comment>
    <comment ref="B24" authorId="0" shapeId="0" xr:uid="{00000000-0006-0000-0C00-000001000000}">
      <text>
        <r>
          <rPr>
            <sz val="12"/>
            <color theme="1"/>
            <rFont val="Calibri"/>
            <family val="2"/>
            <scheme val="minor"/>
          </rPr>
          <t>======
ID#AAAAhVtLbaY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l8gKn+aYY/Ach6MqeCKjkpSPlBA=="/>
    </ext>
  </extL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D00-000002000000}">
      <text>
        <r>
          <rPr>
            <sz val="12"/>
            <color theme="1"/>
            <rFont val="Calibri"/>
            <family val="2"/>
            <scheme val="minor"/>
          </rPr>
          <t>======
ID#AAAAhVtLbaM
fieldcamp    (2022-10-03 20:31:24)
.0006 mCi (.0006ml) 3H Thymidine added to each tube:
(1000µCi/ml)*.0006ml = .6µCi * 2.2E6dpm/µCi = 1.32E6</t>
        </r>
      </text>
    </comment>
    <comment ref="B24" authorId="0" shapeId="0" xr:uid="{00000000-0006-0000-0D00-000001000000}">
      <text>
        <r>
          <rPr>
            <sz val="12"/>
            <color theme="1"/>
            <rFont val="Calibri"/>
            <family val="2"/>
            <scheme val="minor"/>
          </rPr>
          <t>======
ID#AAAAhVtLbaQ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5TR4XFV92RbjuTzOdgqFLMkBsNA=="/>
    </ext>
  </extL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E00-000002000000}">
      <text>
        <r>
          <rPr>
            <sz val="12"/>
            <color theme="1"/>
            <rFont val="Calibri"/>
            <family val="2"/>
            <scheme val="minor"/>
          </rPr>
          <t>======
ID#AAAAgOuX9h0
fieldcamp    (2022-10-04 17:10:06)
.0006 mCi (.0006ml) 3H Thymidine added to each tube:
(1000µCi/ml)*.0006ml = .6µCi * 2.2E6dpm/µCi = 1.32E6</t>
        </r>
      </text>
    </comment>
    <comment ref="B24" authorId="0" shapeId="0" xr:uid="{00000000-0006-0000-0E00-000001000000}">
      <text>
        <r>
          <rPr>
            <sz val="12"/>
            <color theme="1"/>
            <rFont val="Calibri"/>
            <family val="2"/>
            <scheme val="minor"/>
          </rPr>
          <t>======
ID#AAAAgOuX9i0
fieldcamp    (2022-10-04 17:39:12)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rXp5Eg6B8506r+GYt2DPlmHCpkg=="/>
    </ext>
  </extL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F00-000002000000}">
      <text>
        <r>
          <rPr>
            <sz val="12"/>
            <color theme="1"/>
            <rFont val="Calibri"/>
            <family val="2"/>
            <scheme val="minor"/>
          </rPr>
          <t>======
ID#AAAAgl1QjQQ
fieldcamp    (2022-09-27 22:47:18)
.0006 mCi (.0006ml) 3H Thymidine added to each tube:
(1000µCi/ml)*.0006ml = .6µCi * 2.2E6dpm/µCi = 1.32E6</t>
        </r>
      </text>
    </comment>
    <comment ref="B24" authorId="0" shapeId="0" xr:uid="{00000000-0006-0000-0F00-000001000000}">
      <text>
        <r>
          <rPr>
            <sz val="12"/>
            <color theme="1"/>
            <rFont val="Calibri"/>
            <family val="2"/>
            <scheme val="minor"/>
          </rPr>
          <t>======
ID#AAAAhVtLbZ0
fieldcamp    (2022-10-03 20:31:24)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YGWFiAuTb3Avi4vNkUO1uO8JZ1Q=="/>
    </ext>
  </extL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1000-000002000000}">
      <text>
        <r>
          <rPr>
            <sz val="12"/>
            <color theme="1"/>
            <rFont val="Calibri"/>
            <family val="2"/>
            <scheme val="minor"/>
          </rPr>
          <t>======
ID#AAAAhVtLbaE
fieldcamp    (2022-10-03 20:31:24)
.0006 mCi (.0006ml) 3H Thymidine added to each tube:
(1000µCi/ml)*.0006ml = .6µCi * 2.2E6dpm/µCi = 1.32E6</t>
        </r>
      </text>
    </comment>
    <comment ref="B24" authorId="0" shapeId="0" xr:uid="{00000000-0006-0000-1000-000001000000}">
      <text>
        <r>
          <rPr>
            <sz val="12"/>
            <color theme="1"/>
            <rFont val="Calibri"/>
            <family val="2"/>
            <scheme val="minor"/>
          </rPr>
          <t>======
ID#AAAAgOuX9is
fieldcamp    (2022-10-04 17:39:12)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xgE/gZMx2eyPf8t/FRA6klHgEGg=="/>
    </ext>
  </extL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1100-000002000000}">
      <text>
        <r>
          <rPr>
            <sz val="12"/>
            <color theme="1"/>
            <rFont val="Calibri"/>
            <family val="2"/>
            <scheme val="minor"/>
          </rPr>
          <t>======
ID#AAAAfzkllW4
fieldcamp    (2022-09-13 00:42:00)
.0006 mCi (.0006ml) 3H Thymidine added to each tube:
(1000µCi/ml)*.0006ml = .6µCi * 2.2E6dpm/µCi = 1.32E6</t>
        </r>
      </text>
    </comment>
    <comment ref="B24" authorId="0" shapeId="0" xr:uid="{00000000-0006-0000-1100-000001000000}">
      <text>
        <r>
          <rPr>
            <sz val="12"/>
            <color theme="1"/>
            <rFont val="Calibri"/>
            <family val="2"/>
            <scheme val="minor"/>
          </rPr>
          <t>======
ID#AAAAgl1QjQc
fieldcamp    (2022-09-27 22:47:18)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Xi8QDhDC4JkfBmkyC/YOw62TaBg=="/>
    </ext>
  </extL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1200-000002000000}">
      <text>
        <r>
          <rPr>
            <sz val="12"/>
            <color theme="1"/>
            <rFont val="Calibri"/>
            <family val="2"/>
            <scheme val="minor"/>
          </rPr>
          <t>======
ID#AAAAfzkllWo
fieldcamp    (2022-09-13 00:42:00)
.0006 mCi (.0006ml) 3H Thymidine added to each tube:
(1000µCi/ml)*.0006ml = .6µCi * 2.2E6dpm/µCi = 1.32E6</t>
        </r>
      </text>
    </comment>
    <comment ref="B24" authorId="0" shapeId="0" xr:uid="{00000000-0006-0000-1200-000001000000}">
      <text>
        <r>
          <rPr>
            <sz val="12"/>
            <color theme="1"/>
            <rFont val="Calibri"/>
            <family val="2"/>
            <scheme val="minor"/>
          </rPr>
          <t>======
ID#AAAAgOuX9ic
fieldcamp    (2022-10-04 17:26:55)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wtY15ZfXCu7dEeBo7MVsea4gwOQ=="/>
    </ext>
  </extL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Tristy Vick</author>
  </authors>
  <commentList>
    <comment ref="C2" authorId="0" shapeId="0" xr:uid="{8AEE1BA1-CB07-4C34-A0B0-C9B36C6B393F}">
      <text>
        <r>
          <rPr>
            <b/>
            <sz val="9"/>
            <color indexed="81"/>
            <rFont val="Verdana"/>
            <family val="2"/>
          </rPr>
          <t>Tristy Vick:</t>
        </r>
        <r>
          <rPr>
            <sz val="9"/>
            <color indexed="81"/>
            <rFont val="Verdana"/>
            <family val="2"/>
          </rPr>
          <t xml:space="preserve">
Individual cast cell counts</t>
        </r>
      </text>
    </comment>
    <comment ref="D2" authorId="0" shapeId="0" xr:uid="{3AB22A58-B6AF-4BF6-8891-C8E4DF514180}">
      <text>
        <r>
          <rPr>
            <b/>
            <sz val="9"/>
            <color indexed="81"/>
            <rFont val="Verdana"/>
            <family val="2"/>
          </rPr>
          <t>Tristy Vick:</t>
        </r>
        <r>
          <rPr>
            <sz val="9"/>
            <color indexed="81"/>
            <rFont val="Verdana"/>
            <family val="2"/>
          </rPr>
          <t xml:space="preserve">
i.e. growth rate per Straza et al 2010 L&amp;O</t>
        </r>
      </text>
    </comment>
    <comment ref="C25" authorId="0" shapeId="0" xr:uid="{B7ACBD96-7C43-4295-B07B-A3C2C6141215}">
      <text>
        <r>
          <rPr>
            <b/>
            <sz val="9"/>
            <color indexed="81"/>
            <rFont val="Verdana"/>
            <family val="2"/>
          </rPr>
          <t>Tristy Vick:</t>
        </r>
        <r>
          <rPr>
            <sz val="9"/>
            <color indexed="81"/>
            <rFont val="Verdana"/>
            <family val="2"/>
          </rPr>
          <t xml:space="preserve">
Individual cast cell counts</t>
        </r>
      </text>
    </comment>
    <comment ref="D25" authorId="0" shapeId="0" xr:uid="{E87742A4-BC64-458E-B0F8-8EAE6608109F}">
      <text>
        <r>
          <rPr>
            <b/>
            <sz val="9"/>
            <color indexed="81"/>
            <rFont val="Verdana"/>
            <family val="2"/>
          </rPr>
          <t>Tristy Vick:</t>
        </r>
        <r>
          <rPr>
            <sz val="9"/>
            <color indexed="81"/>
            <rFont val="Verdana"/>
            <family val="2"/>
          </rPr>
          <t xml:space="preserve">
i.e. growth rate per Straza et al 2010 L&amp;O</t>
        </r>
      </text>
    </comment>
    <comment ref="C52" authorId="0" shapeId="0" xr:uid="{E74030AB-2217-4712-B6C2-DB0DA6350CA8}">
      <text>
        <r>
          <rPr>
            <b/>
            <sz val="9"/>
            <color indexed="81"/>
            <rFont val="Verdana"/>
            <family val="2"/>
          </rPr>
          <t>Tristy Vick:</t>
        </r>
        <r>
          <rPr>
            <sz val="9"/>
            <color indexed="81"/>
            <rFont val="Verdana"/>
            <family val="2"/>
          </rPr>
          <t xml:space="preserve">
11 fg C/cell and 10^-6 ngC/fgC and 1000 ml per liter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1300-000001000000}">
      <text>
        <r>
          <rPr>
            <sz val="12"/>
            <color theme="1"/>
            <rFont val="Calibri"/>
            <family val="2"/>
            <scheme val="minor"/>
          </rPr>
          <t>======
ID#AAAAgOuX9io
fieldcamp    (2022-10-04 17:39:12)
.0006 mCi (.0006ml) 3H Thymidine added to each tube:
(1000µCi/ml)*.0006ml = .6µCi * 2.2E6dpm/µCi = 1.32E6</t>
        </r>
      </text>
    </comment>
    <comment ref="B24" authorId="0" shapeId="0" xr:uid="{00000000-0006-0000-1300-000002000000}">
      <text>
        <r>
          <rPr>
            <sz val="12"/>
            <color theme="1"/>
            <rFont val="Calibri"/>
            <family val="2"/>
            <scheme val="minor"/>
          </rPr>
          <t>======
ID#AAAAgOuX9iU
fieldcamp    (2022-10-04 17:26:55)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x+WKg0Ciecblf4DF1Rq242UNwYw=="/>
    </ext>
  </extL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1400-000002000000}">
      <text>
        <r>
          <rPr>
            <sz val="12"/>
            <color theme="1"/>
            <rFont val="Calibri"/>
            <family val="2"/>
            <scheme val="minor"/>
          </rPr>
          <t>======
ID#AAAAhVtLbZk
fieldcamp    (2022-10-03 20:31:24)
.0006 mCi (.0006ml) 3H Thymidine added to each tube:
(1000µCi/ml)*.0006ml = .6µCi * 2.2E6dpm/µCi = 1.32E6</t>
        </r>
      </text>
    </comment>
    <comment ref="B24" authorId="0" shapeId="0" xr:uid="{00000000-0006-0000-1400-000001000000}">
      <text>
        <r>
          <rPr>
            <sz val="12"/>
            <color theme="1"/>
            <rFont val="Calibri"/>
            <family val="2"/>
            <scheme val="minor"/>
          </rPr>
          <t>======
ID#AAAAgOuX9h4
fieldcamp    (2022-10-04 17:10:06)
.0015 mCi (.0015ml) 3H Leucine added to each tube:
(1000µCi/ml)*.0015ml = 1.5µCi * 2.2E6dpm/µCi = 3.30E06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YRtFozDjZN8plxcJ3PSai9A7Raw=="/>
    </ext>
  </extL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" authorId="0" shapeId="0" xr:uid="{00000000-0006-0000-1500-000004000000}">
      <text>
        <r>
          <rPr>
            <sz val="12"/>
            <color theme="1"/>
            <rFont val="Calibri"/>
            <family val="2"/>
            <scheme val="minor"/>
          </rPr>
          <t>======
ID#AAAAgl1QjQM
Tristy Vick    (2022-09-27 22:47:18)
nM Leu/d = nm leu/L/d</t>
        </r>
      </text>
    </comment>
    <comment ref="D4" authorId="0" shapeId="0" xr:uid="{00000000-0006-0000-1500-000001000000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ID#AAAAgl1QjQg
</t>
        </r>
        <r>
          <rPr>
            <sz val="12"/>
            <color rgb="FF000000"/>
            <rFont val="Calibri"/>
            <family val="2"/>
          </rPr>
          <t xml:space="preserve">Tristy Vick    (2022-09-27 22:47:18)
</t>
        </r>
        <r>
          <rPr>
            <sz val="12"/>
            <color rgb="FF000000"/>
            <rFont val="Calibri"/>
            <family val="2"/>
          </rPr>
          <t xml:space="preserve">Leu = 1.4*10^17 cells/mol Leu
</t>
        </r>
        <r>
          <rPr>
            <sz val="12"/>
            <color rgb="FF000000"/>
            <rFont val="Calibri"/>
            <family val="2"/>
          </rPr>
          <t>TdR = 2.0 * 10^18 cells/mol TdR</t>
        </r>
      </text>
    </comment>
    <comment ref="E4" authorId="0" shapeId="0" xr:uid="{00000000-0006-0000-1500-000008000000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ID#AAAAgl1QjP8
</t>
        </r>
        <r>
          <rPr>
            <sz val="12"/>
            <color rgb="FF000000"/>
            <rFont val="Calibri"/>
            <family val="2"/>
          </rPr>
          <t xml:space="preserve">Tristy Vick    (2022-09-27 22:47:18)
</t>
        </r>
        <r>
          <rPr>
            <sz val="12"/>
            <color rgb="FF000000"/>
            <rFont val="Calibri"/>
            <family val="2"/>
          </rPr>
          <t>11 fg C/cell</t>
        </r>
      </text>
    </comment>
    <comment ref="H4" authorId="0" shapeId="0" xr:uid="{00000000-0006-0000-1500-000006000000}">
      <text>
        <r>
          <rPr>
            <sz val="12"/>
            <color theme="1"/>
            <rFont val="Calibri"/>
            <family val="2"/>
            <scheme val="minor"/>
          </rPr>
          <t>======
ID#AAAAgl1QjQI
Tristy Vick    (2022-09-27 22:47:18)
Numbers put in SLW Nature draft 2Dec13</t>
        </r>
      </text>
    </comment>
    <comment ref="B30" authorId="0" shapeId="0" xr:uid="{00000000-0006-0000-1500-000005000000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ID#AAAAgl1QjQE
</t>
        </r>
        <r>
          <rPr>
            <sz val="12"/>
            <color rgb="FF000000"/>
            <rFont val="Calibri"/>
            <family val="2"/>
          </rPr>
          <t xml:space="preserve">Tristy Vick    (2022-09-27 22:47:18)
</t>
        </r>
        <r>
          <rPr>
            <sz val="12"/>
            <color rgb="FF000000"/>
            <rFont val="Calibri"/>
            <family val="2"/>
          </rPr>
          <t>nM Leu/d = nm leu/L/d</t>
        </r>
      </text>
    </comment>
    <comment ref="D30" authorId="0" shapeId="0" xr:uid="{00000000-0006-0000-1500-000002000000}">
      <text>
        <r>
          <rPr>
            <sz val="12"/>
            <color theme="1"/>
            <rFont val="Calibri"/>
            <family val="2"/>
            <scheme val="minor"/>
          </rPr>
          <t>======
ID#AAAAgl1QjQY
Tristy Vick    (2022-09-27 22:47:18)
Leu = 1.4*10^17 cells/mol Leu
TdR = 2.0 * 10^18 cells/mol TdR</t>
        </r>
      </text>
    </comment>
    <comment ref="E30" authorId="0" shapeId="0" xr:uid="{00000000-0006-0000-1500-000007000000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ID#AAAAgl1QjQA
</t>
        </r>
        <r>
          <rPr>
            <sz val="12"/>
            <color rgb="FF000000"/>
            <rFont val="Calibri"/>
            <family val="2"/>
          </rPr>
          <t xml:space="preserve">Tristy Vick    (2022-09-27 22:47:18)
</t>
        </r>
        <r>
          <rPr>
            <sz val="12"/>
            <color rgb="FF000000"/>
            <rFont val="Calibri"/>
            <family val="2"/>
          </rPr>
          <t>11 fg C/cell</t>
        </r>
      </text>
    </comment>
    <comment ref="H30" authorId="0" shapeId="0" xr:uid="{00000000-0006-0000-1500-000003000000}">
      <text>
        <r>
          <rPr>
            <sz val="12"/>
            <color theme="1"/>
            <rFont val="Calibri"/>
            <family val="2"/>
            <scheme val="minor"/>
          </rPr>
          <t>======
ID#AAAAgl1QjQU
Tristy Vick    (2022-09-27 22:47:18)
Numbers put in SLW Nature draft 2Dec13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hyqGT3g8fJXX4srbpOem65/Y4xA=="/>
    </ext>
  </extLst>
</comments>
</file>

<file path=xl/sharedStrings.xml><?xml version="1.0" encoding="utf-8"?>
<sst xmlns="http://schemas.openxmlformats.org/spreadsheetml/2006/main" count="2055" uniqueCount="265">
  <si>
    <t xml:space="preserve">Site name/code: </t>
  </si>
  <si>
    <t>U17</t>
  </si>
  <si>
    <t>Collection date:</t>
  </si>
  <si>
    <t>PI:</t>
  </si>
  <si>
    <t>M. Twiss</t>
  </si>
  <si>
    <t xml:space="preserve">Thymidine uptake </t>
  </si>
  <si>
    <t>Analyst:</t>
  </si>
  <si>
    <t>Quintanilla</t>
  </si>
  <si>
    <t>Date in:</t>
  </si>
  <si>
    <t>Time in:</t>
  </si>
  <si>
    <t>21:10</t>
  </si>
  <si>
    <t>Incubation Time (h) :</t>
  </si>
  <si>
    <t>Data entry:</t>
  </si>
  <si>
    <t>Date out:</t>
  </si>
  <si>
    <t>Time out:</t>
  </si>
  <si>
    <t>02:55</t>
  </si>
  <si>
    <t>Incubation Temp (C):</t>
  </si>
  <si>
    <t>Data checked:</t>
  </si>
  <si>
    <t>TVM</t>
  </si>
  <si>
    <t>3H added (dpm):</t>
  </si>
  <si>
    <t>Thymidine (nM):</t>
  </si>
  <si>
    <t>EQ:((DPMT-AVG DPM-K)*nM LEU)/(((uCi/ml)*ml)*2.2E6*TIME)</t>
  </si>
  <si>
    <t>Turnover rate constants:</t>
  </si>
  <si>
    <t>radioactivity per hour/radioactivity added (Straza et al., 2010, L&amp;O)</t>
  </si>
  <si>
    <t>Sample ID</t>
  </si>
  <si>
    <t>DPM</t>
  </si>
  <si>
    <t>nM TdR/h</t>
  </si>
  <si>
    <t>nM TdR/d</t>
  </si>
  <si>
    <t>CV&gt;20% ?</t>
  </si>
  <si>
    <t>EDITED ?</t>
  </si>
  <si>
    <t>DPM hour^-1</t>
  </si>
  <si>
    <t>hour^-1</t>
  </si>
  <si>
    <t>Average</t>
  </si>
  <si>
    <t>SD</t>
  </si>
  <si>
    <t>AVG</t>
  </si>
  <si>
    <t>CV</t>
  </si>
  <si>
    <t>U17L1</t>
  </si>
  <si>
    <t>U17L2</t>
  </si>
  <si>
    <t>U17L3</t>
  </si>
  <si>
    <t>U17K1</t>
  </si>
  <si>
    <t>U17K2</t>
  </si>
  <si>
    <t xml:space="preserve">Leucine uptake </t>
  </si>
  <si>
    <t>Leucine (nM):</t>
  </si>
  <si>
    <t>nM Leu/h</t>
  </si>
  <si>
    <t>nM Leu/d</t>
  </si>
  <si>
    <t>SB14</t>
  </si>
  <si>
    <t>Casey Godwin</t>
  </si>
  <si>
    <t>SB14 L1</t>
  </si>
  <si>
    <t>SB14 L2</t>
  </si>
  <si>
    <t>SB14 L3</t>
  </si>
  <si>
    <t>SB14 K1</t>
  </si>
  <si>
    <t>SB14 K2</t>
  </si>
  <si>
    <t>BQI</t>
  </si>
  <si>
    <t>Max</t>
  </si>
  <si>
    <t>BQI L1 thy</t>
  </si>
  <si>
    <t>removed BQI L3 thy</t>
  </si>
  <si>
    <t>BQI L2 thy</t>
  </si>
  <si>
    <t>BQI L3 thy</t>
  </si>
  <si>
    <t>BQI K1 thy</t>
  </si>
  <si>
    <t>BQI K2 thy</t>
  </si>
  <si>
    <t>BQI L1 leu</t>
  </si>
  <si>
    <t>BQI L2 leu</t>
  </si>
  <si>
    <t>BQI L3 leu</t>
  </si>
  <si>
    <t>BQI K1 leu</t>
  </si>
  <si>
    <t>BQI K2 leu</t>
  </si>
  <si>
    <t>Keweenaw Waterway/KW</t>
  </si>
  <si>
    <t>Vick-Majors</t>
  </si>
  <si>
    <t>18:30</t>
  </si>
  <si>
    <t>22:30</t>
  </si>
  <si>
    <t>KW L1 thy</t>
  </si>
  <si>
    <t>KW L2 thy</t>
  </si>
  <si>
    <t>KW L3 thy</t>
  </si>
  <si>
    <t>KWI K1 thy</t>
  </si>
  <si>
    <t>KW K2 thy</t>
  </si>
  <si>
    <t>KW L1 leu</t>
  </si>
  <si>
    <t>KW L2 leu</t>
  </si>
  <si>
    <t>KW L3 leu</t>
  </si>
  <si>
    <t>KWI K1 leu</t>
  </si>
  <si>
    <t>KW K2 leu</t>
  </si>
  <si>
    <t>SBI</t>
  </si>
  <si>
    <t>Casey Goodwin</t>
  </si>
  <si>
    <t>18:00</t>
  </si>
  <si>
    <t>SBI L1</t>
  </si>
  <si>
    <t>SBI L2</t>
  </si>
  <si>
    <t>SBI L3</t>
  </si>
  <si>
    <t>SBI K1</t>
  </si>
  <si>
    <t>SBI K2</t>
  </si>
  <si>
    <t>LSC-MB</t>
  </si>
  <si>
    <t>McKay</t>
  </si>
  <si>
    <t>LSC L1</t>
  </si>
  <si>
    <t>LSC L2</t>
  </si>
  <si>
    <t>LSC L3</t>
  </si>
  <si>
    <t>LSC K1</t>
  </si>
  <si>
    <t>LSC K2</t>
  </si>
  <si>
    <t>CCIW</t>
  </si>
  <si>
    <t>W. Currie</t>
  </si>
  <si>
    <t>CCIW L1</t>
  </si>
  <si>
    <t>removed CCIW L1</t>
  </si>
  <si>
    <t>CCIW L2</t>
  </si>
  <si>
    <t>CCIW L3</t>
  </si>
  <si>
    <t>CCIW  K1</t>
  </si>
  <si>
    <t>CCIW K2</t>
  </si>
  <si>
    <t>WEOG</t>
  </si>
  <si>
    <t>Hank</t>
  </si>
  <si>
    <t>WEOG L1</t>
  </si>
  <si>
    <t>WEOG L2</t>
  </si>
  <si>
    <t>WEOG L3</t>
  </si>
  <si>
    <t>WEOG  K1</t>
  </si>
  <si>
    <t>WEOG K2</t>
  </si>
  <si>
    <t>GB</t>
  </si>
  <si>
    <t>TO</t>
  </si>
  <si>
    <t>16:37</t>
  </si>
  <si>
    <t>21:25</t>
  </si>
  <si>
    <t>GB L1</t>
  </si>
  <si>
    <t>GB L2</t>
  </si>
  <si>
    <t>GB L3</t>
  </si>
  <si>
    <t>GB  K1</t>
  </si>
  <si>
    <t>GB K2</t>
  </si>
  <si>
    <t>Lake Erie Bass Island/BI</t>
  </si>
  <si>
    <t>OSU Stone Lab</t>
  </si>
  <si>
    <t>BI L1</t>
  </si>
  <si>
    <t>BI L2</t>
  </si>
  <si>
    <t>BI L3</t>
  </si>
  <si>
    <t>BI  K1</t>
  </si>
  <si>
    <t>BI K2</t>
  </si>
  <si>
    <t>Apostles Lake Superior/ALS</t>
  </si>
  <si>
    <t>T. Ozersky</t>
  </si>
  <si>
    <t>17:26</t>
  </si>
  <si>
    <t>21:15</t>
  </si>
  <si>
    <t>ALS L1</t>
  </si>
  <si>
    <t>ALS L2</t>
  </si>
  <si>
    <t>ALS L3</t>
  </si>
  <si>
    <t>ALS  K1</t>
  </si>
  <si>
    <t>ALS K2</t>
  </si>
  <si>
    <t>GB I</t>
  </si>
  <si>
    <t>GBI L1</t>
  </si>
  <si>
    <t>GBI L2</t>
  </si>
  <si>
    <t>GBI L3</t>
  </si>
  <si>
    <t>GBI  K1</t>
  </si>
  <si>
    <t>GBI K2</t>
  </si>
  <si>
    <t>Keweenaw Bay/KB</t>
  </si>
  <si>
    <t>KB L1</t>
  </si>
  <si>
    <t>KB L2</t>
  </si>
  <si>
    <t>removed KB L2</t>
  </si>
  <si>
    <t>KB L3</t>
  </si>
  <si>
    <t>KB K1</t>
  </si>
  <si>
    <t>KB K2</t>
  </si>
  <si>
    <t>Sandusky Bay/ SB</t>
  </si>
  <si>
    <t>18:12</t>
  </si>
  <si>
    <t>22:15</t>
  </si>
  <si>
    <t>SB L1</t>
  </si>
  <si>
    <t>SB L2</t>
  </si>
  <si>
    <t>SB L3</t>
  </si>
  <si>
    <t>SB  K1</t>
  </si>
  <si>
    <t>SB K2</t>
  </si>
  <si>
    <t>EC 78H</t>
  </si>
  <si>
    <t>14:00</t>
  </si>
  <si>
    <t>EC 78H L1</t>
  </si>
  <si>
    <t>EC 78H L2</t>
  </si>
  <si>
    <t>EC 78H L3</t>
  </si>
  <si>
    <t>EC 78H  K1</t>
  </si>
  <si>
    <t>EC 78H K2</t>
  </si>
  <si>
    <t>EC 1</t>
  </si>
  <si>
    <t>EC 1 L1</t>
  </si>
  <si>
    <t>EC 1 L2</t>
  </si>
  <si>
    <t>EC 1 L3</t>
  </si>
  <si>
    <t>EC 1  K1</t>
  </si>
  <si>
    <t>EC 1 K2</t>
  </si>
  <si>
    <t>EC 84</t>
  </si>
  <si>
    <t>EC 84 L1</t>
  </si>
  <si>
    <t>EC 84 L2</t>
  </si>
  <si>
    <t>EC 84 L3</t>
  </si>
  <si>
    <t>EC 84  K1</t>
  </si>
  <si>
    <t>EC 84 K2</t>
  </si>
  <si>
    <t>Green Bay/GB 2</t>
  </si>
  <si>
    <t>GB 2 L1</t>
  </si>
  <si>
    <t>GB 2 L2</t>
  </si>
  <si>
    <t>GB 2 L3</t>
  </si>
  <si>
    <t>GB 2  K1</t>
  </si>
  <si>
    <t>GB 2 K2</t>
  </si>
  <si>
    <t>SM-LH</t>
  </si>
  <si>
    <t>Doubek</t>
  </si>
  <si>
    <t>SMLH L1</t>
  </si>
  <si>
    <t>SMLH L2</t>
  </si>
  <si>
    <t>SMLH L3</t>
  </si>
  <si>
    <t>SMLH  K1</t>
  </si>
  <si>
    <t>SMLH  K2</t>
  </si>
  <si>
    <t>WD-15</t>
  </si>
  <si>
    <t>WD15 L1</t>
  </si>
  <si>
    <t>WD15 L2</t>
  </si>
  <si>
    <t>WD15 L3</t>
  </si>
  <si>
    <t>WD15 K1</t>
  </si>
  <si>
    <t>WD15  K2</t>
  </si>
  <si>
    <t>Bronte/BT</t>
  </si>
  <si>
    <t>Currie</t>
  </si>
  <si>
    <t>17:05</t>
  </si>
  <si>
    <t>21:00</t>
  </si>
  <si>
    <t>BT L1</t>
  </si>
  <si>
    <t>BT L2</t>
  </si>
  <si>
    <t>BT L3</t>
  </si>
  <si>
    <t>BT K1</t>
  </si>
  <si>
    <t>BT  K2</t>
  </si>
  <si>
    <t>gC/mol</t>
  </si>
  <si>
    <t xml:space="preserve">Data checked: </t>
  </si>
  <si>
    <t>nmol leu</t>
  </si>
  <si>
    <t>nmol tdr</t>
  </si>
  <si>
    <t>Leucine uptake carbon conversion</t>
  </si>
  <si>
    <t>leu</t>
  </si>
  <si>
    <t>tdr</t>
  </si>
  <si>
    <t>leu:tdr</t>
  </si>
  <si>
    <t>Sample</t>
  </si>
  <si>
    <t>mol Leu/L*d</t>
  </si>
  <si>
    <t>cells/L*d</t>
  </si>
  <si>
    <t>fg C/L*d</t>
  </si>
  <si>
    <t>mgC/L*d</t>
  </si>
  <si>
    <t>ugC/L*d</t>
  </si>
  <si>
    <t>ngC/L*d</t>
  </si>
  <si>
    <t>nmol C/L/d</t>
  </si>
  <si>
    <t>mgC/m^3*d</t>
  </si>
  <si>
    <t>nmol LeuorTdR/L*h</t>
  </si>
  <si>
    <t>nmol LeuorTdR/m^3*h</t>
  </si>
  <si>
    <t>pmol LeuorTdR/L*d</t>
  </si>
  <si>
    <t>pmol Leu or TdR/L*h</t>
  </si>
  <si>
    <t>Turnover Constant</t>
  </si>
  <si>
    <t>BQ1</t>
  </si>
  <si>
    <t>KW</t>
  </si>
  <si>
    <t>SB1</t>
  </si>
  <si>
    <t>LSC</t>
  </si>
  <si>
    <t>WE6</t>
  </si>
  <si>
    <t>BI</t>
  </si>
  <si>
    <t>ALS</t>
  </si>
  <si>
    <t>KB</t>
  </si>
  <si>
    <t>SB</t>
  </si>
  <si>
    <t>ER 78M</t>
  </si>
  <si>
    <t>EC I</t>
  </si>
  <si>
    <t>GB 2</t>
  </si>
  <si>
    <t>*same as GB, collected on different date. One of the two had shipping issues. Use GB</t>
  </si>
  <si>
    <t>WB-LS</t>
  </si>
  <si>
    <t>BT</t>
  </si>
  <si>
    <t>Averages</t>
  </si>
  <si>
    <t>TdR uptake carbon conversion</t>
  </si>
  <si>
    <t>mol TdR/L*d</t>
  </si>
  <si>
    <t>Leu</t>
  </si>
  <si>
    <t>TdR</t>
  </si>
  <si>
    <t>Leu:TdR</t>
  </si>
  <si>
    <t>cells/ml*d</t>
    <phoneticPr fontId="5" type="noConversion"/>
  </si>
  <si>
    <t>cells/ml</t>
    <phoneticPr fontId="5" type="noConversion"/>
  </si>
  <si>
    <t>Growth rate (day^-1)</t>
    <phoneticPr fontId="5" type="noConversion"/>
  </si>
  <si>
    <t>Average</t>
    <phoneticPr fontId="5" type="noConversion"/>
  </si>
  <si>
    <t>SD</t>
    <phoneticPr fontId="5" type="noConversion"/>
  </si>
  <si>
    <t>Doubling Time</t>
    <phoneticPr fontId="5" type="noConversion"/>
  </si>
  <si>
    <t>cells/L</t>
    <phoneticPr fontId="5" type="noConversion"/>
  </si>
  <si>
    <t>ngC/cell/d</t>
    <phoneticPr fontId="5" type="noConversion"/>
  </si>
  <si>
    <t>mgC/cell/d</t>
    <phoneticPr fontId="5" type="noConversion"/>
  </si>
  <si>
    <t>pgC/cell/day</t>
  </si>
  <si>
    <t>Average (pgram)</t>
    <phoneticPr fontId="5" type="noConversion"/>
  </si>
  <si>
    <t>pmolC/cell/day</t>
  </si>
  <si>
    <t>Avg</t>
  </si>
  <si>
    <t>cells/ml</t>
  </si>
  <si>
    <t>ngC/L*d assimilated</t>
    <phoneticPr fontId="5" type="noConversion"/>
  </si>
  <si>
    <t>cell C biomass (ng cellular C/L)</t>
    <phoneticPr fontId="5" type="noConversion"/>
  </si>
  <si>
    <t>cell specific C turnover (d^-1)</t>
    <phoneticPr fontId="5" type="noConversion"/>
  </si>
  <si>
    <t>Turnover time</t>
    <phoneticPr fontId="5" type="noConversion"/>
  </si>
  <si>
    <t>Avg turnover time</t>
    <phoneticPr fontId="5" type="noConversion"/>
  </si>
  <si>
    <t>SD turnover time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</si>
</sst>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#0.00E+0"/>
    <numFmt numFmtId="165" formatCode="0.00E+00_)"/>
    <numFmt numFmtId="166" formatCode="0.0_)"/>
    <numFmt numFmtId="167" formatCode="0_)"/>
    <numFmt numFmtId="168" formatCode="###0.0E+0"/>
    <numFmt numFmtId="169" formatCode="####0.00E+0"/>
    <numFmt numFmtId="170" formatCode="0.00000"/>
    <numFmt numFmtId="171" formatCode="0.0E+00"/>
    <numFmt numFmtId="172" formatCode="0.000"/>
  </numFmts>
  <fonts count="21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u/>
      <sz val="14"/>
      <color theme="1"/>
      <name val="Arial"/>
      <family val="2"/>
    </font>
    <font>
      <sz val="14"/>
      <color rgb="FFFF0000"/>
      <name val="Arial"/>
      <family val="2"/>
    </font>
    <font>
      <sz val="12"/>
      <color theme="1"/>
      <name val="Calibri"/>
      <family val="2"/>
    </font>
    <font>
      <u/>
      <sz val="14"/>
      <color theme="1"/>
      <name val="Arial"/>
      <family val="2"/>
    </font>
    <font>
      <u/>
      <sz val="14"/>
      <color theme="1"/>
      <name val="Verdana"/>
      <family val="2"/>
    </font>
    <font>
      <sz val="14"/>
      <color rgb="FFFF0000"/>
      <name val="Verdana"/>
      <family val="2"/>
    </font>
    <font>
      <sz val="12"/>
      <color theme="1"/>
      <name val="Calibri"/>
      <family val="2"/>
      <scheme val="minor"/>
    </font>
    <font>
      <sz val="12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000000"/>
      <name val="Calibri"/>
      <family val="2"/>
    </font>
    <font>
      <b/>
      <sz val="9"/>
      <color indexed="81"/>
      <name val="Verdana"/>
      <family val="2"/>
    </font>
    <font>
      <sz val="9"/>
      <color indexed="81"/>
      <name val="Verdana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CC99"/>
        <bgColor rgb="FFFFCC99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15" fontId="2" fillId="2" borderId="1" xfId="0" applyNumberFormat="1" applyFont="1" applyFill="1" applyBorder="1" applyAlignment="1">
      <alignment horizontal="left"/>
    </xf>
    <xf numFmtId="0" fontId="3" fillId="0" borderId="0" xfId="0" applyFont="1"/>
    <xf numFmtId="0" fontId="3" fillId="0" borderId="2" xfId="0" applyFont="1" applyBorder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4" fillId="0" borderId="0" xfId="0" applyFont="1"/>
    <xf numFmtId="0" fontId="5" fillId="0" borderId="3" xfId="0" applyFont="1" applyBorder="1" applyAlignment="1">
      <alignment horizontal="left"/>
    </xf>
    <xf numFmtId="1" fontId="5" fillId="0" borderId="4" xfId="0" applyNumberFormat="1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4" fillId="0" borderId="5" xfId="0" applyFont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5" fontId="5" fillId="3" borderId="1" xfId="0" applyNumberFormat="1" applyFont="1" applyFill="1" applyBorder="1" applyAlignment="1">
      <alignment horizontal="left"/>
    </xf>
    <xf numFmtId="49" fontId="5" fillId="3" borderId="1" xfId="0" applyNumberFormat="1" applyFont="1" applyFill="1" applyBorder="1" applyAlignment="1">
      <alignment horizontal="left"/>
    </xf>
    <xf numFmtId="2" fontId="4" fillId="0" borderId="6" xfId="0" applyNumberFormat="1" applyFont="1" applyBorder="1" applyAlignment="1">
      <alignment horizontal="left"/>
    </xf>
    <xf numFmtId="2" fontId="4" fillId="0" borderId="0" xfId="0" applyNumberFormat="1" applyFont="1"/>
    <xf numFmtId="0" fontId="3" fillId="0" borderId="5" xfId="0" applyFont="1" applyBorder="1"/>
    <xf numFmtId="15" fontId="4" fillId="0" borderId="0" xfId="0" applyNumberFormat="1" applyFont="1" applyAlignment="1">
      <alignment horizontal="left"/>
    </xf>
    <xf numFmtId="2" fontId="4" fillId="4" borderId="1" xfId="0" applyNumberFormat="1" applyFont="1" applyFill="1" applyBorder="1" applyAlignment="1">
      <alignment horizontal="left"/>
    </xf>
    <xf numFmtId="2" fontId="3" fillId="0" borderId="0" xfId="0" applyNumberFormat="1" applyFont="1"/>
    <xf numFmtId="0" fontId="6" fillId="0" borderId="0" xfId="0" applyFont="1" applyAlignment="1">
      <alignment horizontal="left"/>
    </xf>
    <xf numFmtId="164" fontId="4" fillId="0" borderId="0" xfId="0" applyNumberFormat="1" applyFont="1"/>
    <xf numFmtId="11" fontId="3" fillId="0" borderId="0" xfId="0" applyNumberFormat="1" applyFont="1"/>
    <xf numFmtId="11" fontId="5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1" fontId="4" fillId="0" borderId="0" xfId="0" applyNumberFormat="1" applyFont="1"/>
    <xf numFmtId="0" fontId="4" fillId="0" borderId="7" xfId="0" applyFont="1" applyBorder="1" applyAlignment="1">
      <alignment horizontal="left"/>
    </xf>
    <xf numFmtId="1" fontId="4" fillId="0" borderId="8" xfId="0" applyNumberFormat="1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5" fillId="0" borderId="9" xfId="0" applyFont="1" applyBorder="1" applyAlignment="1">
      <alignment horizontal="left" wrapText="1"/>
    </xf>
    <xf numFmtId="1" fontId="5" fillId="0" borderId="9" xfId="0" applyNumberFormat="1" applyFont="1" applyBorder="1" applyAlignment="1">
      <alignment horizontal="left"/>
    </xf>
    <xf numFmtId="0" fontId="5" fillId="0" borderId="9" xfId="0" applyFont="1" applyBorder="1" applyAlignment="1">
      <alignment horizontal="left"/>
    </xf>
    <xf numFmtId="1" fontId="5" fillId="0" borderId="10" xfId="0" applyNumberFormat="1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" fontId="4" fillId="0" borderId="11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2" fontId="3" fillId="0" borderId="12" xfId="0" applyNumberFormat="1" applyFont="1" applyBorder="1" applyAlignment="1">
      <alignment horizontal="left"/>
    </xf>
    <xf numFmtId="165" fontId="4" fillId="0" borderId="12" xfId="0" applyNumberFormat="1" applyFont="1" applyBorder="1" applyAlignment="1">
      <alignment horizontal="left"/>
    </xf>
    <xf numFmtId="166" fontId="4" fillId="0" borderId="12" xfId="0" applyNumberFormat="1" applyFont="1" applyBorder="1" applyAlignment="1">
      <alignment horizontal="left"/>
    </xf>
    <xf numFmtId="0" fontId="7" fillId="0" borderId="12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2" fontId="8" fillId="0" borderId="0" xfId="0" applyNumberFormat="1" applyFont="1"/>
    <xf numFmtId="11" fontId="8" fillId="0" borderId="0" xfId="0" applyNumberFormat="1" applyFont="1"/>
    <xf numFmtId="167" fontId="4" fillId="0" borderId="12" xfId="0" applyNumberFormat="1" applyFont="1" applyBorder="1" applyAlignment="1">
      <alignment horizontal="left"/>
    </xf>
    <xf numFmtId="164" fontId="4" fillId="0" borderId="12" xfId="0" applyNumberFormat="1" applyFont="1" applyBorder="1" applyAlignment="1">
      <alignment horizontal="left"/>
    </xf>
    <xf numFmtId="0" fontId="9" fillId="0" borderId="0" xfId="0" applyFont="1"/>
    <xf numFmtId="168" fontId="4" fillId="0" borderId="0" xfId="0" applyNumberFormat="1" applyFont="1"/>
    <xf numFmtId="0" fontId="3" fillId="0" borderId="9" xfId="0" applyFont="1" applyBorder="1" applyAlignment="1">
      <alignment horizontal="left"/>
    </xf>
    <xf numFmtId="2" fontId="3" fillId="0" borderId="9" xfId="0" applyNumberFormat="1" applyFont="1" applyBorder="1" applyAlignment="1">
      <alignment horizontal="left"/>
    </xf>
    <xf numFmtId="165" fontId="4" fillId="0" borderId="9" xfId="0" applyNumberFormat="1" applyFont="1" applyBorder="1" applyAlignment="1">
      <alignment horizontal="left"/>
    </xf>
    <xf numFmtId="167" fontId="4" fillId="0" borderId="9" xfId="0" applyNumberFormat="1" applyFont="1" applyBorder="1" applyAlignment="1">
      <alignment horizontal="left"/>
    </xf>
    <xf numFmtId="164" fontId="4" fillId="0" borderId="9" xfId="0" applyNumberFormat="1" applyFont="1" applyBorder="1" applyAlignment="1">
      <alignment horizontal="left"/>
    </xf>
    <xf numFmtId="0" fontId="7" fillId="0" borderId="9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2" fontId="3" fillId="0" borderId="11" xfId="0" applyNumberFormat="1" applyFont="1" applyBorder="1" applyAlignment="1">
      <alignment horizontal="left"/>
    </xf>
    <xf numFmtId="165" fontId="4" fillId="0" borderId="11" xfId="0" applyNumberFormat="1" applyFont="1" applyBorder="1" applyAlignment="1">
      <alignment horizontal="left"/>
    </xf>
    <xf numFmtId="166" fontId="4" fillId="0" borderId="11" xfId="0" applyNumberFormat="1" applyFont="1" applyBorder="1" applyAlignment="1">
      <alignment horizontal="left"/>
    </xf>
    <xf numFmtId="164" fontId="4" fillId="0" borderId="11" xfId="0" applyNumberFormat="1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169" fontId="4" fillId="0" borderId="12" xfId="0" applyNumberFormat="1" applyFont="1" applyBorder="1" applyAlignment="1">
      <alignment horizontal="left"/>
    </xf>
    <xf numFmtId="2" fontId="3" fillId="0" borderId="0" xfId="0" applyNumberFormat="1" applyFont="1" applyAlignment="1">
      <alignment horizontal="left"/>
    </xf>
    <xf numFmtId="169" fontId="7" fillId="0" borderId="0" xfId="0" applyNumberFormat="1" applyFont="1" applyAlignment="1">
      <alignment horizontal="left"/>
    </xf>
    <xf numFmtId="2" fontId="4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1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70" fontId="3" fillId="0" borderId="0" xfId="0" applyNumberFormat="1" applyFont="1"/>
    <xf numFmtId="0" fontId="4" fillId="0" borderId="0" xfId="0" applyFont="1" applyAlignment="1">
      <alignment horizontal="right"/>
    </xf>
    <xf numFmtId="0" fontId="4" fillId="0" borderId="13" xfId="0" applyFont="1" applyBorder="1" applyAlignment="1">
      <alignment horizontal="left"/>
    </xf>
    <xf numFmtId="1" fontId="4" fillId="0" borderId="13" xfId="0" applyNumberFormat="1" applyFont="1" applyBorder="1" applyAlignment="1">
      <alignment horizontal="left"/>
    </xf>
    <xf numFmtId="2" fontId="4" fillId="0" borderId="12" xfId="0" applyNumberFormat="1" applyFont="1" applyBorder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center"/>
    </xf>
    <xf numFmtId="11" fontId="5" fillId="0" borderId="0" xfId="0" applyNumberFormat="1" applyFont="1"/>
    <xf numFmtId="171" fontId="4" fillId="0" borderId="0" xfId="0" applyNumberFormat="1" applyFont="1"/>
    <xf numFmtId="0" fontId="4" fillId="0" borderId="0" xfId="0" applyFont="1" applyAlignment="1">
      <alignment horizontal="center" wrapText="1"/>
    </xf>
    <xf numFmtId="1" fontId="5" fillId="0" borderId="0" xfId="0" applyNumberFormat="1" applyFont="1" applyAlignment="1">
      <alignment horizontal="center"/>
    </xf>
    <xf numFmtId="1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169" fontId="4" fillId="0" borderId="0" xfId="0" applyNumberFormat="1" applyFont="1"/>
    <xf numFmtId="167" fontId="4" fillId="0" borderId="0" xfId="0" applyNumberFormat="1" applyFont="1"/>
    <xf numFmtId="169" fontId="7" fillId="0" borderId="0" xfId="0" applyNumberFormat="1" applyFont="1"/>
    <xf numFmtId="0" fontId="7" fillId="0" borderId="0" xfId="0" applyFont="1"/>
    <xf numFmtId="15" fontId="5" fillId="0" borderId="0" xfId="0" applyNumberFormat="1" applyFont="1"/>
    <xf numFmtId="49" fontId="5" fillId="0" borderId="0" xfId="0" applyNumberFormat="1" applyFont="1" applyAlignment="1">
      <alignment horizontal="right"/>
    </xf>
    <xf numFmtId="15" fontId="4" fillId="0" borderId="0" xfId="0" applyNumberFormat="1" applyFont="1"/>
    <xf numFmtId="0" fontId="5" fillId="0" borderId="0" xfId="0" applyFont="1"/>
    <xf numFmtId="0" fontId="11" fillId="0" borderId="0" xfId="0" applyFont="1"/>
    <xf numFmtId="0" fontId="5" fillId="0" borderId="14" xfId="0" applyFont="1" applyBorder="1" applyAlignment="1">
      <alignment horizontal="left"/>
    </xf>
    <xf numFmtId="2" fontId="4" fillId="0" borderId="15" xfId="0" applyNumberFormat="1" applyFont="1" applyBorder="1" applyAlignment="1">
      <alignment horizontal="left"/>
    </xf>
    <xf numFmtId="2" fontId="4" fillId="4" borderId="16" xfId="0" applyNumberFormat="1" applyFont="1" applyFill="1" applyBorder="1" applyAlignment="1">
      <alignment horizontal="left"/>
    </xf>
    <xf numFmtId="0" fontId="4" fillId="0" borderId="17" xfId="0" applyFont="1" applyBorder="1" applyAlignment="1">
      <alignment horizontal="left"/>
    </xf>
    <xf numFmtId="11" fontId="4" fillId="0" borderId="0" xfId="0" applyNumberFormat="1" applyFont="1" applyAlignment="1">
      <alignment horizontal="left"/>
    </xf>
    <xf numFmtId="0" fontId="5" fillId="0" borderId="17" xfId="0" applyFont="1" applyBorder="1" applyAlignment="1">
      <alignment horizontal="left"/>
    </xf>
    <xf numFmtId="11" fontId="5" fillId="0" borderId="17" xfId="0" applyNumberFormat="1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172" fontId="3" fillId="0" borderId="12" xfId="0" applyNumberFormat="1" applyFont="1" applyBorder="1" applyAlignment="1">
      <alignment horizontal="left"/>
    </xf>
    <xf numFmtId="172" fontId="3" fillId="0" borderId="9" xfId="0" applyNumberFormat="1" applyFont="1" applyBorder="1" applyAlignment="1">
      <alignment horizontal="left"/>
    </xf>
    <xf numFmtId="172" fontId="3" fillId="0" borderId="11" xfId="0" applyNumberFormat="1" applyFont="1" applyBorder="1" applyAlignment="1">
      <alignment horizontal="left"/>
    </xf>
    <xf numFmtId="20" fontId="4" fillId="0" borderId="6" xfId="0" applyNumberFormat="1" applyFont="1" applyBorder="1" applyAlignment="1">
      <alignment horizontal="left"/>
    </xf>
    <xf numFmtId="0" fontId="8" fillId="0" borderId="0" xfId="0" applyFont="1"/>
    <xf numFmtId="0" fontId="12" fillId="0" borderId="0" xfId="0" applyFont="1"/>
    <xf numFmtId="0" fontId="2" fillId="0" borderId="19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170" fontId="14" fillId="0" borderId="19" xfId="0" applyNumberFormat="1" applyFont="1" applyBorder="1" applyAlignment="1">
      <alignment horizontal="center"/>
    </xf>
    <xf numFmtId="170" fontId="14" fillId="5" borderId="20" xfId="0" applyNumberFormat="1" applyFont="1" applyFill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0" fontId="15" fillId="0" borderId="0" xfId="0" applyFont="1"/>
    <xf numFmtId="2" fontId="15" fillId="0" borderId="0" xfId="0" applyNumberFormat="1" applyFont="1"/>
    <xf numFmtId="11" fontId="15" fillId="0" borderId="0" xfId="0" applyNumberFormat="1" applyFont="1"/>
    <xf numFmtId="171" fontId="15" fillId="0" borderId="0" xfId="0" applyNumberFormat="1" applyFont="1"/>
    <xf numFmtId="171" fontId="15" fillId="5" borderId="1" xfId="0" applyNumberFormat="1" applyFont="1" applyFill="1" applyBorder="1"/>
    <xf numFmtId="11" fontId="15" fillId="5" borderId="1" xfId="0" applyNumberFormat="1" applyFont="1" applyFill="1" applyBorder="1"/>
    <xf numFmtId="0" fontId="15" fillId="0" borderId="8" xfId="0" applyFont="1" applyBorder="1"/>
    <xf numFmtId="2" fontId="15" fillId="0" borderId="8" xfId="0" applyNumberFormat="1" applyFont="1" applyBorder="1"/>
    <xf numFmtId="11" fontId="15" fillId="0" borderId="8" xfId="0" applyNumberFormat="1" applyFont="1" applyBorder="1"/>
    <xf numFmtId="171" fontId="15" fillId="0" borderId="8" xfId="0" applyNumberFormat="1" applyFont="1" applyBorder="1"/>
    <xf numFmtId="171" fontId="15" fillId="5" borderId="21" xfId="0" applyNumberFormat="1" applyFont="1" applyFill="1" applyBorder="1"/>
    <xf numFmtId="11" fontId="15" fillId="5" borderId="21" xfId="0" applyNumberFormat="1" applyFont="1" applyFill="1" applyBorder="1"/>
    <xf numFmtId="11" fontId="8" fillId="0" borderId="8" xfId="0" applyNumberFormat="1" applyFont="1" applyBorder="1"/>
    <xf numFmtId="170" fontId="8" fillId="0" borderId="0" xfId="0" applyNumberFormat="1" applyFont="1"/>
    <xf numFmtId="0" fontId="1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0" borderId="1" xfId="0" applyFont="1" applyBorder="1"/>
    <xf numFmtId="11" fontId="0" fillId="0" borderId="0" xfId="0" applyNumberFormat="1"/>
    <xf numFmtId="1" fontId="0" fillId="0" borderId="0" xfId="0" applyNumberFormat="1"/>
    <xf numFmtId="0" fontId="19" fillId="0" borderId="0" xfId="0" applyFont="1"/>
    <xf numFmtId="0" fontId="12" fillId="6" borderId="1" xfId="0" applyFont="1" applyFill="1" applyBorder="1"/>
    <xf numFmtId="0" fontId="0" fillId="6" borderId="0" xfId="0" applyFill="1"/>
    <xf numFmtId="11" fontId="0" fillId="6" borderId="0" xfId="0" applyNumberFormat="1" applyFill="1"/>
    <xf numFmtId="1" fontId="0" fillId="6" borderId="0" xfId="0" applyNumberFormat="1" applyFill="1"/>
    <xf numFmtId="0" fontId="12" fillId="7" borderId="1" xfId="0" applyFont="1" applyFill="1" applyBorder="1"/>
    <xf numFmtId="11" fontId="0" fillId="7" borderId="0" xfId="0" applyNumberFormat="1" applyFill="1"/>
    <xf numFmtId="0" fontId="0" fillId="7" borderId="0" xfId="0" applyFill="1"/>
    <xf numFmtId="1" fontId="0" fillId="7" borderId="0" xfId="0" applyNumberFormat="1" applyFill="1"/>
    <xf numFmtId="0" fontId="12" fillId="8" borderId="1" xfId="0" applyFont="1" applyFill="1" applyBorder="1"/>
    <xf numFmtId="11" fontId="0" fillId="8" borderId="0" xfId="0" applyNumberFormat="1" applyFill="1"/>
    <xf numFmtId="0" fontId="0" fillId="8" borderId="0" xfId="0" applyFill="1"/>
    <xf numFmtId="1" fontId="0" fillId="8" borderId="0" xfId="0" applyNumberFormat="1" applyFill="1"/>
    <xf numFmtId="0" fontId="2" fillId="0" borderId="19" xfId="0" applyFont="1" applyBorder="1" applyAlignment="1">
      <alignment horizontal="center"/>
    </xf>
    <xf numFmtId="0" fontId="13" fillId="0" borderId="19" xfId="0" applyFont="1" applyBorder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
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11"/></Relationships>
</file>

<file path=xl/_rels/comments13.xml.rels><?xml version="1.0" encoding="UTF-8" standalone="yes"?>
<Relationships xmlns="http://schemas.openxmlformats.org/package/2006/relationships"><Relationship Id="rId1" Type="http://customschemas.google.com/relationships/workbookmetadata" Target="commentsmeta12"/></Relationships>
</file>

<file path=xl/_rels/comments14.xml.rels><?xml version="1.0" encoding="UTF-8" standalone="yes"?>
<Relationships xmlns="http://schemas.openxmlformats.org/package/2006/relationships"><Relationship Id="rId1" Type="http://customschemas.google.com/relationships/workbookmetadata" Target="commentsmeta13"/></Relationships>
</file>

<file path=xl/_rels/comments15.xml.rels><?xml version="1.0" encoding="UTF-8" standalone="yes"?>
<Relationships xmlns="http://schemas.openxmlformats.org/package/2006/relationships"><Relationship Id="rId1" Type="http://customschemas.google.com/relationships/workbookmetadata" Target="commentsmeta14"/></Relationships>
</file>

<file path=xl/_rels/comments16.xml.rels><?xml version="1.0" encoding="UTF-8" standalone="yes"?>
<Relationships xmlns="http://schemas.openxmlformats.org/package/2006/relationships"><Relationship Id="rId1" Type="http://customschemas.google.com/relationships/workbookmetadata" Target="commentsmeta15"/></Relationships>
</file>

<file path=xl/_rels/comments17.xml.rels><?xml version="1.0" encoding="UTF-8" standalone="yes"?>
<Relationships xmlns="http://schemas.openxmlformats.org/package/2006/relationships"><Relationship Id="rId1" Type="http://customschemas.google.com/relationships/workbookmetadata" Target="commentsmeta16"/></Relationships>
</file>

<file path=xl/_rels/comments18.xml.rels><?xml version="1.0" encoding="UTF-8" standalone="yes"?>
<Relationships xmlns="http://schemas.openxmlformats.org/package/2006/relationships"><Relationship Id="rId1" Type="http://customschemas.google.com/relationships/workbookmetadata" Target="commentsmeta17"/></Relationships>
</file>

<file path=xl/_rels/comments19.xml.rels><?xml version="1.0" encoding="UTF-8" standalone="yes"?>
<Relationships xmlns="http://schemas.openxmlformats.org/package/2006/relationships"><Relationship Id="rId1" Type="http://customschemas.google.com/relationships/workbookmetadata" Target="commentsmeta18"/></Relationships>
</file>

<file path=xl/_rels/comments21.xml.rels><?xml version="1.0" encoding="UTF-8" standalone="yes"?>
<Relationships xmlns="http://schemas.openxmlformats.org/package/2006/relationships"><Relationship Id="rId1" Type="http://customschemas.google.com/relationships/workbookmetadata" Target="commentsmeta19"/></Relationships>
</file>

<file path=xl/_rels/comments22.xml.rels><?xml version="1.0" encoding="UTF-8" standalone="yes"?>
<Relationships xmlns="http://schemas.openxmlformats.org/package/2006/relationships"><Relationship Id="rId1" Type="http://customschemas.google.com/relationships/workbookmetadata" Target="commentsmeta20"/></Relationships>
</file>

<file path=xl/_rels/comments23.xml.rels><?xml version="1.0" encoding="UTF-8" standalone="yes"?>
<Relationships xmlns="http://schemas.openxmlformats.org/package/2006/relationships"><Relationship Id="rId1" Type="http://customschemas.google.com/relationships/workbookmetadata" Target="commentsmeta2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nM Leu/d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(nM Leu/d)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'carbon conversions'!$B$5:$B$25</c:f>
              <c:numCache>
                <c:formatCode>0.00</c:formatCode>
                <c:ptCount val="21"/>
                <c:pt idx="0">
                  <c:v>1.4774882714480462</c:v>
                </c:pt>
                <c:pt idx="1">
                  <c:v>0.97532283275194809</c:v>
                </c:pt>
                <c:pt idx="2">
                  <c:v>1.324429759293579</c:v>
                </c:pt>
                <c:pt idx="3">
                  <c:v>1.4092818652383665</c:v>
                </c:pt>
                <c:pt idx="4">
                  <c:v>0.59148482734111218</c:v>
                </c:pt>
                <c:pt idx="5">
                  <c:v>2.2271634682127788</c:v>
                </c:pt>
                <c:pt idx="6">
                  <c:v>4.8931124679255342</c:v>
                </c:pt>
                <c:pt idx="7">
                  <c:v>6.9024170673840946</c:v>
                </c:pt>
                <c:pt idx="8">
                  <c:v>3.68379710048755</c:v>
                </c:pt>
                <c:pt idx="9">
                  <c:v>0.45135463168693923</c:v>
                </c:pt>
                <c:pt idx="10">
                  <c:v>0.48564380057252088</c:v>
                </c:pt>
                <c:pt idx="11">
                  <c:v>7.7984932721754046</c:v>
                </c:pt>
                <c:pt idx="12">
                  <c:v>2.7985013618102919</c:v>
                </c:pt>
                <c:pt idx="13">
                  <c:v>9.0341334151254191</c:v>
                </c:pt>
                <c:pt idx="14">
                  <c:v>4.1920899755247927</c:v>
                </c:pt>
                <c:pt idx="15">
                  <c:v>2.025176850019303</c:v>
                </c:pt>
                <c:pt idx="16">
                  <c:v>5.8580955854453176</c:v>
                </c:pt>
                <c:pt idx="17">
                  <c:v>2.0683657193857012</c:v>
                </c:pt>
                <c:pt idx="18">
                  <c:v>0.11798010204711118</c:v>
                </c:pt>
                <c:pt idx="19">
                  <c:v>0.29456021452895625</c:v>
                </c:pt>
                <c:pt idx="20">
                  <c:v>8.7040615668350938</c:v>
                </c:pt>
              </c:numCache>
            </c:numRef>
          </c:xVal>
          <c:yVal>
            <c:numRef>
              <c:f>'carbon conversions'!$B$31:$B$51</c:f>
              <c:numCache>
                <c:formatCode>0.00</c:formatCode>
                <c:ptCount val="21"/>
                <c:pt idx="0">
                  <c:v>1.9331070092086226E-2</c:v>
                </c:pt>
                <c:pt idx="1">
                  <c:v>6.4752647450285888E-2</c:v>
                </c:pt>
                <c:pt idx="2">
                  <c:v>7.3166802273859549E-2</c:v>
                </c:pt>
                <c:pt idx="3">
                  <c:v>3.7381528023633821E-2</c:v>
                </c:pt>
                <c:pt idx="4">
                  <c:v>7.3119008700024857E-2</c:v>
                </c:pt>
                <c:pt idx="5">
                  <c:v>0.17290064047934814</c:v>
                </c:pt>
                <c:pt idx="6">
                  <c:v>9.8245342759740173E-2</c:v>
                </c:pt>
                <c:pt idx="7">
                  <c:v>0.10025816044483894</c:v>
                </c:pt>
                <c:pt idx="8">
                  <c:v>0.13669614060465934</c:v>
                </c:pt>
                <c:pt idx="9">
                  <c:v>2.0849864506134182E-2</c:v>
                </c:pt>
                <c:pt idx="10">
                  <c:v>4.3143491267590081E-2</c:v>
                </c:pt>
                <c:pt idx="11">
                  <c:v>0.1798824772399609</c:v>
                </c:pt>
                <c:pt idx="12">
                  <c:v>0.34688725569138079</c:v>
                </c:pt>
                <c:pt idx="13">
                  <c:v>0.43881729616914189</c:v>
                </c:pt>
                <c:pt idx="14">
                  <c:v>0.26838982070284878</c:v>
                </c:pt>
                <c:pt idx="15">
                  <c:v>6.2462953008818517E-2</c:v>
                </c:pt>
                <c:pt idx="16">
                  <c:v>0.34716356197148196</c:v>
                </c:pt>
                <c:pt idx="17">
                  <c:v>8.9365833774052411E-2</c:v>
                </c:pt>
                <c:pt idx="18">
                  <c:v>1.9734196458238481E-2</c:v>
                </c:pt>
                <c:pt idx="19">
                  <c:v>3.107027872317953E-2</c:v>
                </c:pt>
                <c:pt idx="20">
                  <c:v>0.43305638822980907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0E-F24D-A435-02F0A5C50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891681"/>
        <c:axId val="925935713"/>
      </c:scatterChart>
      <c:valAx>
        <c:axId val="14158916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Leu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5935713"/>
        <c:crosses val="autoZero"/>
        <c:crossBetween val="midCat"/>
      </c:valAx>
      <c:valAx>
        <c:axId val="925935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TdR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589168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Leu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'carbon conversions'!$A$57:$A$77</c:f>
              <c:strCache>
                <c:ptCount val="21"/>
                <c:pt idx="0">
                  <c:v>U17</c:v>
                </c:pt>
                <c:pt idx="1">
                  <c:v>SB14</c:v>
                </c:pt>
                <c:pt idx="2">
                  <c:v>BQI</c:v>
                </c:pt>
                <c:pt idx="3">
                  <c:v>KW</c:v>
                </c:pt>
                <c:pt idx="4">
                  <c:v>SBI</c:v>
                </c:pt>
                <c:pt idx="5">
                  <c:v>LSC</c:v>
                </c:pt>
                <c:pt idx="6">
                  <c:v>CCIW</c:v>
                </c:pt>
                <c:pt idx="7">
                  <c:v>WE6</c:v>
                </c:pt>
                <c:pt idx="8">
                  <c:v>GB</c:v>
                </c:pt>
                <c:pt idx="9">
                  <c:v>BI</c:v>
                </c:pt>
                <c:pt idx="10">
                  <c:v>ALS</c:v>
                </c:pt>
                <c:pt idx="11">
                  <c:v>GB I</c:v>
                </c:pt>
                <c:pt idx="12">
                  <c:v>KB</c:v>
                </c:pt>
                <c:pt idx="13">
                  <c:v>SB</c:v>
                </c:pt>
                <c:pt idx="14">
                  <c:v>ER 78M</c:v>
                </c:pt>
                <c:pt idx="15">
                  <c:v>EC I</c:v>
                </c:pt>
                <c:pt idx="16">
                  <c:v>EC 84</c:v>
                </c:pt>
                <c:pt idx="17">
                  <c:v>GB 2</c:v>
                </c:pt>
                <c:pt idx="18">
                  <c:v>SM-LH</c:v>
                </c:pt>
                <c:pt idx="19">
                  <c:v>WB-LS</c:v>
                </c:pt>
                <c:pt idx="20">
                  <c:v>BT</c:v>
                </c:pt>
              </c:strCache>
            </c:strRef>
          </c:cat>
          <c:val>
            <c:numRef>
              <c:f>'carbon conversions'!$B$57:$B$77</c:f>
              <c:numCache>
                <c:formatCode>0.00E+00</c:formatCode>
                <c:ptCount val="21"/>
                <c:pt idx="0">
                  <c:v>189.44207565170979</c:v>
                </c:pt>
                <c:pt idx="1">
                  <c:v>125.05492289691692</c:v>
                </c:pt>
                <c:pt idx="2">
                  <c:v>169.81706555921897</c:v>
                </c:pt>
                <c:pt idx="3">
                  <c:v>180.69671813192272</c:v>
                </c:pt>
                <c:pt idx="4">
                  <c:v>75.839595869126086</c:v>
                </c:pt>
                <c:pt idx="5">
                  <c:v>285.56468324474667</c:v>
                </c:pt>
                <c:pt idx="6">
                  <c:v>627.39001062430361</c:v>
                </c:pt>
                <c:pt idx="7">
                  <c:v>885.02104654778702</c:v>
                </c:pt>
                <c:pt idx="8">
                  <c:v>472.33279781784796</c:v>
                </c:pt>
                <c:pt idx="9">
                  <c:v>57.872241651018371</c:v>
                </c:pt>
                <c:pt idx="10">
                  <c:v>62.268764758230752</c:v>
                </c:pt>
                <c:pt idx="11">
                  <c:v>999.91504568011214</c:v>
                </c:pt>
                <c:pt idx="12">
                  <c:v>358.82105932109278</c:v>
                </c:pt>
                <c:pt idx="13">
                  <c:v>1158.3475950022184</c:v>
                </c:pt>
                <c:pt idx="14">
                  <c:v>537.50560436179239</c:v>
                </c:pt>
                <c:pt idx="15">
                  <c:v>259.66616009306085</c:v>
                </c:pt>
                <c:pt idx="16">
                  <c:v>751.11918552505585</c:v>
                </c:pt>
                <c:pt idx="17">
                  <c:v>265.20379393823669</c:v>
                </c:pt>
                <c:pt idx="18">
                  <c:v>15.127291261337904</c:v>
                </c:pt>
                <c:pt idx="19">
                  <c:v>37.768217537245334</c:v>
                </c:pt>
                <c:pt idx="20">
                  <c:v>1116.0261111280813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36-3F40-8333-AA8452F41DFF}"/>
            </c:ext>
          </c:extLst>
        </c:ser>
        <c:ser>
          <c:idx val="1"/>
          <c:order val="1"/>
          <c:tx>
            <c:v>TdR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'carbon conversions'!$A$57:$A$77</c:f>
              <c:strCache>
                <c:ptCount val="21"/>
                <c:pt idx="0">
                  <c:v>U17</c:v>
                </c:pt>
                <c:pt idx="1">
                  <c:v>SB14</c:v>
                </c:pt>
                <c:pt idx="2">
                  <c:v>BQI</c:v>
                </c:pt>
                <c:pt idx="3">
                  <c:v>KW</c:v>
                </c:pt>
                <c:pt idx="4">
                  <c:v>SBI</c:v>
                </c:pt>
                <c:pt idx="5">
                  <c:v>LSC</c:v>
                </c:pt>
                <c:pt idx="6">
                  <c:v>CCIW</c:v>
                </c:pt>
                <c:pt idx="7">
                  <c:v>WE6</c:v>
                </c:pt>
                <c:pt idx="8">
                  <c:v>GB</c:v>
                </c:pt>
                <c:pt idx="9">
                  <c:v>BI</c:v>
                </c:pt>
                <c:pt idx="10">
                  <c:v>ALS</c:v>
                </c:pt>
                <c:pt idx="11">
                  <c:v>GB I</c:v>
                </c:pt>
                <c:pt idx="12">
                  <c:v>KB</c:v>
                </c:pt>
                <c:pt idx="13">
                  <c:v>SB</c:v>
                </c:pt>
                <c:pt idx="14">
                  <c:v>ER 78M</c:v>
                </c:pt>
                <c:pt idx="15">
                  <c:v>EC I</c:v>
                </c:pt>
                <c:pt idx="16">
                  <c:v>EC 84</c:v>
                </c:pt>
                <c:pt idx="17">
                  <c:v>GB 2</c:v>
                </c:pt>
                <c:pt idx="18">
                  <c:v>SM-LH</c:v>
                </c:pt>
                <c:pt idx="19">
                  <c:v>WB-LS</c:v>
                </c:pt>
                <c:pt idx="20">
                  <c:v>BT</c:v>
                </c:pt>
              </c:strCache>
            </c:strRef>
          </c:cat>
          <c:val>
            <c:numRef>
              <c:f>'carbon conversions'!$C$57:$C$77</c:f>
              <c:numCache>
                <c:formatCode>0.00E+00</c:formatCode>
                <c:ptCount val="21"/>
                <c:pt idx="0">
                  <c:v>35.40872239135912</c:v>
                </c:pt>
                <c:pt idx="1">
                  <c:v>118.60742870159854</c:v>
                </c:pt>
                <c:pt idx="2">
                  <c:v>134.01963665938788</c:v>
                </c:pt>
                <c:pt idx="3">
                  <c:v>68.471747401895314</c:v>
                </c:pt>
                <c:pt idx="4">
                  <c:v>133.93209316697167</c:v>
                </c:pt>
                <c:pt idx="5">
                  <c:v>316.70211482641804</c:v>
                </c:pt>
                <c:pt idx="6">
                  <c:v>179.95600095866885</c:v>
                </c:pt>
                <c:pt idx="7">
                  <c:v>183.64287924820846</c:v>
                </c:pt>
                <c:pt idx="8">
                  <c:v>250.38632996432392</c:v>
                </c:pt>
                <c:pt idx="9">
                  <c:v>38.190698221998062</c:v>
                </c:pt>
                <c:pt idx="10">
                  <c:v>79.025935864436036</c:v>
                </c:pt>
                <c:pt idx="11">
                  <c:v>329.49074569168658</c:v>
                </c:pt>
                <c:pt idx="12">
                  <c:v>635.39340964393227</c:v>
                </c:pt>
                <c:pt idx="13">
                  <c:v>803.78167098679705</c:v>
                </c:pt>
                <c:pt idx="14">
                  <c:v>491.60965268158174</c:v>
                </c:pt>
                <c:pt idx="15">
                  <c:v>114.41339523874606</c:v>
                </c:pt>
                <c:pt idx="16">
                  <c:v>635.89951987582765</c:v>
                </c:pt>
                <c:pt idx="17">
                  <c:v>163.6914037507517</c:v>
                </c:pt>
                <c:pt idx="18">
                  <c:v>36.147128983426995</c:v>
                </c:pt>
                <c:pt idx="19">
                  <c:v>56.91143163262339</c:v>
                </c:pt>
                <c:pt idx="20">
                  <c:v>793.22941552580608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36-3F40-8333-AA8452F41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3201693"/>
        <c:axId val="394138373"/>
      </c:barChart>
      <c:catAx>
        <c:axId val="853201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4138373"/>
        <c:crosses val="autoZero"/>
        <c:auto val="1"/>
        <c:lblAlgn val="ctr"/>
        <c:lblOffset val="100"/>
        <c:noMultiLvlLbl val="1"/>
      </c:catAx>
      <c:valAx>
        <c:axId val="3941383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nmol C/L/d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320169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Leu:TdR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'carbon conversions'!$A$57:$A$77</c:f>
              <c:strCache>
                <c:ptCount val="21"/>
                <c:pt idx="0">
                  <c:v>U17</c:v>
                </c:pt>
                <c:pt idx="1">
                  <c:v>SB14</c:v>
                </c:pt>
                <c:pt idx="2">
                  <c:v>BQI</c:v>
                </c:pt>
                <c:pt idx="3">
                  <c:v>KW</c:v>
                </c:pt>
                <c:pt idx="4">
                  <c:v>SBI</c:v>
                </c:pt>
                <c:pt idx="5">
                  <c:v>LSC</c:v>
                </c:pt>
                <c:pt idx="6">
                  <c:v>CCIW</c:v>
                </c:pt>
                <c:pt idx="7">
                  <c:v>WE6</c:v>
                </c:pt>
                <c:pt idx="8">
                  <c:v>GB</c:v>
                </c:pt>
                <c:pt idx="9">
                  <c:v>BI</c:v>
                </c:pt>
                <c:pt idx="10">
                  <c:v>ALS</c:v>
                </c:pt>
                <c:pt idx="11">
                  <c:v>GB I</c:v>
                </c:pt>
                <c:pt idx="12">
                  <c:v>KB</c:v>
                </c:pt>
                <c:pt idx="13">
                  <c:v>SB</c:v>
                </c:pt>
                <c:pt idx="14">
                  <c:v>ER 78M</c:v>
                </c:pt>
                <c:pt idx="15">
                  <c:v>EC I</c:v>
                </c:pt>
                <c:pt idx="16">
                  <c:v>EC 84</c:v>
                </c:pt>
                <c:pt idx="17">
                  <c:v>GB 2</c:v>
                </c:pt>
                <c:pt idx="18">
                  <c:v>SM-LH</c:v>
                </c:pt>
                <c:pt idx="19">
                  <c:v>WB-LS</c:v>
                </c:pt>
                <c:pt idx="20">
                  <c:v>BT</c:v>
                </c:pt>
              </c:strCache>
            </c:strRef>
          </c:cat>
          <c:val>
            <c:numRef>
              <c:f>'carbon conversions'!$D$57:$D$77</c:f>
              <c:numCache>
                <c:formatCode>0.0E+00</c:formatCode>
                <c:ptCount val="21"/>
                <c:pt idx="0">
                  <c:v>76.43075444917568</c:v>
                </c:pt>
                <c:pt idx="1">
                  <c:v>15.062285036310774</c:v>
                </c:pt>
                <c:pt idx="2">
                  <c:v>18.10151213574029</c:v>
                </c:pt>
                <c:pt idx="3">
                  <c:v>37.699953419436802</c:v>
                </c:pt>
                <c:pt idx="4">
                  <c:v>8.0893441781700623</c:v>
                </c:pt>
                <c:pt idx="5">
                  <c:v>12.881175350410567</c:v>
                </c:pt>
                <c:pt idx="6">
                  <c:v>49.805032284244582</c:v>
                </c:pt>
                <c:pt idx="7">
                  <c:v>68.846436407355952</c:v>
                </c:pt>
                <c:pt idx="8">
                  <c:v>26.948801072164187</c:v>
                </c:pt>
                <c:pt idx="9">
                  <c:v>21.647844836312842</c:v>
                </c:pt>
                <c:pt idx="10">
                  <c:v>11.256478933529017</c:v>
                </c:pt>
                <c:pt idx="11">
                  <c:v>43.353268155031664</c:v>
                </c:pt>
                <c:pt idx="12">
                  <c:v>8.0674666361916358</c:v>
                </c:pt>
                <c:pt idx="13">
                  <c:v>20.587459733226233</c:v>
                </c:pt>
                <c:pt idx="14">
                  <c:v>15.619407489250937</c:v>
                </c:pt>
                <c:pt idx="15">
                  <c:v>32.422047829429211</c:v>
                </c:pt>
                <c:pt idx="16">
                  <c:v>16.874166033376902</c:v>
                </c:pt>
                <c:pt idx="17">
                  <c:v>23.144927228175835</c:v>
                </c:pt>
                <c:pt idx="18">
                  <c:v>5.9784598930481279</c:v>
                </c:pt>
                <c:pt idx="19">
                  <c:v>9.4804496977107551</c:v>
                </c:pt>
                <c:pt idx="20">
                  <c:v>20.099141366819254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2F5-2D41-8E71-256CC262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5327196"/>
        <c:axId val="2012606210"/>
      </c:barChart>
      <c:catAx>
        <c:axId val="1765327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2606210"/>
        <c:crosses val="autoZero"/>
        <c:auto val="1"/>
        <c:lblAlgn val="ctr"/>
        <c:lblOffset val="100"/>
        <c:noMultiLvlLbl val="1"/>
      </c:catAx>
      <c:valAx>
        <c:axId val="20126062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Leu:TdR</a:t>
                </a:r>
              </a:p>
            </c:rich>
          </c:tx>
          <c:overlay val="0"/>
        </c:title>
        <c:numFmt formatCode="0.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532719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457200</xdr:colOff>
      <xdr:row>54</xdr:row>
      <xdr:rowOff>152400</xdr:rowOff>
    </xdr:from>
    <xdr:ext cx="7134225" cy="5810250"/>
    <xdr:graphicFrame macro="">
      <xdr:nvGraphicFramePr>
        <xdr:cNvPr id="667207804" name="Chart 1">
          <a:extLst>
            <a:ext uri="{FF2B5EF4-FFF2-40B4-BE49-F238E27FC236}">
              <a16:creationId xmlns:a16="http://schemas.microsoft.com/office/drawing/2014/main" id="{00000000-0008-0000-1500-00007CC8C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323850</xdr:colOff>
      <xdr:row>55</xdr:row>
      <xdr:rowOff>123825</xdr:rowOff>
    </xdr:from>
    <xdr:ext cx="5553075" cy="5105400"/>
    <xdr:graphicFrame macro="">
      <xdr:nvGraphicFramePr>
        <xdr:cNvPr id="414682939" name="Chart 2">
          <a:extLst>
            <a:ext uri="{FF2B5EF4-FFF2-40B4-BE49-F238E27FC236}">
              <a16:creationId xmlns:a16="http://schemas.microsoft.com/office/drawing/2014/main" id="{00000000-0008-0000-1500-00003B8FB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0</xdr:colOff>
      <xdr:row>55</xdr:row>
      <xdr:rowOff>0</xdr:rowOff>
    </xdr:from>
    <xdr:ext cx="5591175" cy="5086350"/>
    <xdr:graphicFrame macro="">
      <xdr:nvGraphicFramePr>
        <xdr:cNvPr id="1485777050" name="Chart 3">
          <a:extLst>
            <a:ext uri="{FF2B5EF4-FFF2-40B4-BE49-F238E27FC236}">
              <a16:creationId xmlns:a16="http://schemas.microsoft.com/office/drawing/2014/main" id="{00000000-0008-0000-1500-00009A288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colo\Downloads\SLW_1213_Water_Leu_TdR_worksheet.xlsx" TargetMode="External"/><Relationship Id="rId1" Type="http://schemas.openxmlformats.org/officeDocument/2006/relationships/externalLinkPath" Target="file:///C:\Users\ccolo\Downloads\SLW_1213_Water_Leu_TdR_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ptake"/>
      <sheetName val="TdR Uptake Summary for Splot"/>
      <sheetName val="Leu Uptake Summary for Splot"/>
      <sheetName val="Temperature"/>
      <sheetName val="Concentration"/>
      <sheetName val="Time series"/>
      <sheetName val="Bioassay"/>
      <sheetName val="Bioassay for Splot"/>
      <sheetName val="Carbon conversions"/>
      <sheetName val="Propagation of Error"/>
      <sheetName val="Growth rate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H1" t="str">
            <v>ngC/L*d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1" width="11.875" customWidth="1"/>
    <col min="12" max="12" width="12.375" customWidth="1"/>
    <col min="13" max="13" width="11.625" customWidth="1"/>
    <col min="14" max="27" width="21.375" customWidth="1"/>
  </cols>
  <sheetData>
    <row r="1" spans="1:27" ht="18.75" customHeight="1" x14ac:dyDescent="0.3">
      <c r="A1" s="1" t="s">
        <v>0</v>
      </c>
      <c r="B1" s="2" t="s">
        <v>1</v>
      </c>
      <c r="C1" s="1" t="s">
        <v>2</v>
      </c>
      <c r="D1" s="3">
        <v>44608</v>
      </c>
      <c r="E1" s="1" t="s">
        <v>3</v>
      </c>
      <c r="F1" s="2" t="s">
        <v>4</v>
      </c>
      <c r="G1" s="4"/>
      <c r="H1" s="4"/>
      <c r="I1" s="4"/>
      <c r="J1" s="4"/>
      <c r="K1" s="4"/>
      <c r="L1" s="4"/>
      <c r="M1" s="4"/>
      <c r="R1" s="5"/>
      <c r="S1" s="4"/>
      <c r="T1" s="4"/>
      <c r="U1" s="4"/>
      <c r="V1" s="4"/>
      <c r="W1" s="4"/>
      <c r="X1" s="4"/>
      <c r="Y1" s="4"/>
      <c r="Z1" s="4"/>
      <c r="AA1" s="4"/>
    </row>
    <row r="2" spans="1:27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R2" s="8"/>
      <c r="S2" s="4"/>
      <c r="T2" s="4"/>
      <c r="U2" s="4"/>
      <c r="V2" s="4"/>
      <c r="W2" s="4"/>
      <c r="X2" s="4"/>
      <c r="Y2" s="4"/>
      <c r="Z2" s="4"/>
      <c r="AA2" s="4"/>
    </row>
    <row r="3" spans="1:27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1"/>
      <c r="K3" s="12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10</v>
      </c>
      <c r="G4" s="15"/>
      <c r="H4" s="15" t="s">
        <v>11</v>
      </c>
      <c r="I4" s="18">
        <v>5</v>
      </c>
      <c r="J4" s="19"/>
      <c r="K4" s="20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7" ht="18.75" customHeight="1" x14ac:dyDescent="0.3">
      <c r="A5" s="13" t="s">
        <v>12</v>
      </c>
      <c r="B5" s="21" t="s">
        <v>7</v>
      </c>
      <c r="C5" s="15" t="s">
        <v>13</v>
      </c>
      <c r="D5" s="16">
        <v>44610</v>
      </c>
      <c r="E5" s="15" t="s">
        <v>14</v>
      </c>
      <c r="F5" s="17" t="s">
        <v>15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8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7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5"/>
      <c r="Q6" s="26"/>
      <c r="R6" s="23"/>
      <c r="S6" s="23"/>
      <c r="T6" s="23"/>
      <c r="U6" s="4"/>
      <c r="V6" s="4"/>
      <c r="W6" s="4"/>
      <c r="X6" s="4"/>
      <c r="Y6" s="4"/>
      <c r="Z6" s="4"/>
    </row>
    <row r="7" spans="1:27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7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8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7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25"/>
      <c r="P9" s="8"/>
      <c r="Q9" s="26"/>
      <c r="R9" s="23"/>
      <c r="S9" s="23"/>
      <c r="T9" s="23"/>
      <c r="U9" s="4"/>
      <c r="V9" s="4"/>
      <c r="W9" s="4"/>
      <c r="X9" s="4"/>
      <c r="Y9" s="4"/>
      <c r="Z9" s="4"/>
    </row>
    <row r="10" spans="1:27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8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7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8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7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8"/>
      <c r="P12" s="4"/>
      <c r="Q12" s="4"/>
      <c r="R12" s="28"/>
      <c r="S12" s="4"/>
      <c r="T12" s="4"/>
      <c r="U12" s="4"/>
      <c r="V12" s="4"/>
      <c r="W12" s="4"/>
      <c r="X12" s="4"/>
      <c r="Y12" s="4"/>
      <c r="Z12" s="4"/>
    </row>
    <row r="13" spans="1:27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4"/>
      <c r="R13" s="28"/>
      <c r="S13" s="4"/>
      <c r="T13" s="4"/>
      <c r="U13" s="4"/>
      <c r="V13" s="4"/>
      <c r="W13" s="4"/>
      <c r="X13" s="4"/>
      <c r="Y13" s="4"/>
      <c r="Z13" s="4"/>
    </row>
    <row r="14" spans="1:27" ht="18.75" customHeight="1" x14ac:dyDescent="0.3">
      <c r="A14" s="40" t="s">
        <v>36</v>
      </c>
      <c r="B14" s="41">
        <v>283.47592794716684</v>
      </c>
      <c r="C14" s="42">
        <f t="shared" ref="C14:C16" si="0">((B14-AVERAGEA($B$17:$B$18))*$E$7)/($B$7*$I$21)</f>
        <v>7.3264523481989647E-4</v>
      </c>
      <c r="D14" s="42">
        <f>AVERAGEA(C14:C16)</f>
        <v>8.0546125383692613E-4</v>
      </c>
      <c r="E14" s="42">
        <f>STDEVA(C14:C16)</f>
        <v>6.5147434098795313E-5</v>
      </c>
      <c r="F14" s="43">
        <f>(E14/D14)*100</f>
        <v>8.0882145216118708</v>
      </c>
      <c r="G14" s="42">
        <f>(D14*24)</f>
        <v>1.9331070092086226E-2</v>
      </c>
      <c r="H14" s="44" t="str">
        <f>IF(F14&gt;20,"     EDIT","")</f>
        <v/>
      </c>
      <c r="I14" s="45"/>
      <c r="J14" s="46">
        <f t="shared" ref="J14:J16" si="1">B14-(AVERAGE($B$17:$B$18))</f>
        <v>241.77292749056582</v>
      </c>
      <c r="K14" s="47">
        <f t="shared" ref="K14:K16" si="2">J14/$B$7</f>
        <v>1.8316130870497412E-4</v>
      </c>
      <c r="L14" s="47">
        <f>AVERAGE(K14:K16)</f>
        <v>2.0136531345923156E-4</v>
      </c>
      <c r="M14" s="47">
        <f>STDEV(K14:K16)</f>
        <v>1.6286858524698838E-5</v>
      </c>
      <c r="N14" s="4"/>
      <c r="O14" s="4"/>
      <c r="P14" s="4"/>
      <c r="Q14" s="4"/>
      <c r="R14" s="28"/>
      <c r="S14" s="4"/>
      <c r="T14" s="4"/>
      <c r="U14" s="4"/>
      <c r="V14" s="4"/>
      <c r="W14" s="4"/>
      <c r="X14" s="4"/>
      <c r="Y14" s="4"/>
      <c r="Z14" s="4"/>
    </row>
    <row r="15" spans="1:27" ht="18.75" customHeight="1" x14ac:dyDescent="0.3">
      <c r="A15" s="40" t="s">
        <v>37</v>
      </c>
      <c r="B15" s="41">
        <v>314.12197421172544</v>
      </c>
      <c r="C15" s="42">
        <f t="shared" si="0"/>
        <v>8.2551204168219516E-4</v>
      </c>
      <c r="D15" s="42"/>
      <c r="E15" s="42"/>
      <c r="F15" s="48"/>
      <c r="G15" s="49"/>
      <c r="H15" s="44"/>
      <c r="I15" s="45"/>
      <c r="J15" s="46">
        <f t="shared" si="1"/>
        <v>272.4189737551244</v>
      </c>
      <c r="K15" s="47">
        <f t="shared" si="2"/>
        <v>2.0637801042054879E-4</v>
      </c>
      <c r="L15" s="50"/>
      <c r="M15" s="51"/>
      <c r="N15" s="4"/>
      <c r="O15" s="4"/>
      <c r="P15" s="4"/>
      <c r="Q15" s="4"/>
      <c r="R15" s="28"/>
      <c r="S15" s="4"/>
      <c r="T15" s="4"/>
      <c r="U15" s="4"/>
      <c r="V15" s="4"/>
      <c r="W15" s="4"/>
      <c r="X15" s="4"/>
      <c r="Y15" s="4"/>
      <c r="Z15" s="4"/>
    </row>
    <row r="16" spans="1:27" ht="18.75" customHeight="1" x14ac:dyDescent="0.3">
      <c r="A16" s="52" t="s">
        <v>38</v>
      </c>
      <c r="B16" s="53">
        <v>324.91774050946765</v>
      </c>
      <c r="C16" s="54">
        <f t="shared" si="0"/>
        <v>8.5822648500868677E-4</v>
      </c>
      <c r="D16" s="54"/>
      <c r="E16" s="54"/>
      <c r="F16" s="55"/>
      <c r="G16" s="56"/>
      <c r="H16" s="57"/>
      <c r="I16" s="58"/>
      <c r="J16" s="46">
        <f t="shared" si="1"/>
        <v>283.21474005286666</v>
      </c>
      <c r="K16" s="47">
        <f t="shared" si="2"/>
        <v>2.1455662125217172E-4</v>
      </c>
      <c r="L16" s="8"/>
      <c r="M16" s="51"/>
      <c r="N16" s="4"/>
      <c r="O16" s="4"/>
      <c r="P16" s="4"/>
      <c r="Q16" s="4"/>
      <c r="R16" s="28"/>
      <c r="S16" s="4"/>
      <c r="T16" s="4"/>
      <c r="U16" s="4"/>
      <c r="V16" s="4"/>
      <c r="W16" s="4"/>
      <c r="X16" s="4"/>
      <c r="Y16" s="4"/>
      <c r="Z16" s="4"/>
    </row>
    <row r="17" spans="1:26" ht="19.5" customHeight="1" x14ac:dyDescent="0.3">
      <c r="A17" s="59" t="s">
        <v>39</v>
      </c>
      <c r="B17" s="60">
        <v>30.9942967902922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4"/>
      <c r="R17" s="28"/>
      <c r="S17" s="4"/>
      <c r="T17" s="4"/>
      <c r="U17" s="4"/>
      <c r="V17" s="4"/>
      <c r="W17" s="4"/>
      <c r="X17" s="4"/>
      <c r="Y17" s="4"/>
      <c r="Z17" s="4"/>
    </row>
    <row r="18" spans="1:26" ht="19.5" customHeight="1" x14ac:dyDescent="0.3">
      <c r="A18" s="40" t="s">
        <v>40</v>
      </c>
      <c r="B18" s="41">
        <v>52.411704122909839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4"/>
      <c r="R18" s="28"/>
      <c r="S18" s="4"/>
      <c r="T18" s="4"/>
      <c r="U18" s="4"/>
      <c r="V18" s="4"/>
      <c r="W18" s="4"/>
      <c r="X18" s="4"/>
      <c r="Y18" s="4"/>
      <c r="Z18" s="4"/>
    </row>
    <row r="19" spans="1:26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4"/>
      <c r="R19" s="28"/>
      <c r="S19" s="4"/>
      <c r="T19" s="4"/>
      <c r="U19" s="4"/>
      <c r="V19" s="4"/>
      <c r="W19" s="4"/>
      <c r="X19" s="4"/>
      <c r="Y19" s="4"/>
      <c r="Z19" s="4"/>
    </row>
    <row r="20" spans="1:26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4"/>
      <c r="R20" s="28"/>
      <c r="S20" s="4"/>
      <c r="T20" s="4"/>
      <c r="U20" s="4"/>
      <c r="V20" s="4"/>
      <c r="W20" s="4"/>
      <c r="X20" s="4"/>
      <c r="Y20" s="4"/>
      <c r="Z20" s="4"/>
    </row>
    <row r="21" spans="1:26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10</v>
      </c>
      <c r="G21" s="15"/>
      <c r="H21" s="15" t="s">
        <v>11</v>
      </c>
      <c r="I21" s="18">
        <v>5</v>
      </c>
      <c r="J21" s="12"/>
      <c r="K21" s="8"/>
      <c r="L21" s="19"/>
      <c r="M21" s="51"/>
      <c r="N21" s="4"/>
      <c r="O21" s="4"/>
      <c r="P21" s="4"/>
      <c r="Q21" s="4"/>
      <c r="R21" s="28"/>
      <c r="S21" s="4"/>
      <c r="T21" s="4"/>
      <c r="U21" s="4"/>
      <c r="V21" s="4"/>
      <c r="W21" s="4"/>
      <c r="X21" s="4"/>
      <c r="Y21" s="4"/>
      <c r="Z21" s="4"/>
    </row>
    <row r="22" spans="1:26" ht="18.75" customHeight="1" x14ac:dyDescent="0.3">
      <c r="A22" s="13" t="s">
        <v>12</v>
      </c>
      <c r="B22" s="21" t="s">
        <v>7</v>
      </c>
      <c r="C22" s="15" t="s">
        <v>13</v>
      </c>
      <c r="D22" s="16">
        <v>44610</v>
      </c>
      <c r="E22" s="15" t="s">
        <v>14</v>
      </c>
      <c r="F22" s="17" t="s">
        <v>15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4"/>
      <c r="R22" s="28"/>
      <c r="S22" s="4"/>
      <c r="T22" s="4"/>
      <c r="U22" s="4"/>
      <c r="V22" s="4"/>
      <c r="W22" s="4"/>
      <c r="X22" s="4"/>
      <c r="Y22" s="4"/>
      <c r="Z22" s="4"/>
    </row>
    <row r="23" spans="1:26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4"/>
      <c r="R23" s="28"/>
      <c r="S23" s="4"/>
      <c r="T23" s="4"/>
      <c r="U23" s="4"/>
      <c r="V23" s="4"/>
      <c r="W23" s="4"/>
      <c r="X23" s="4"/>
      <c r="Y23" s="4"/>
      <c r="Z23" s="4"/>
    </row>
    <row r="24" spans="1:26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4"/>
      <c r="Q25" s="73"/>
      <c r="R25" s="73"/>
      <c r="S25" s="4"/>
      <c r="T25" s="73"/>
      <c r="U25" s="4"/>
      <c r="V25" s="4"/>
      <c r="W25" s="4"/>
      <c r="X25" s="4"/>
      <c r="Y25" s="4"/>
      <c r="Z25" s="4"/>
    </row>
    <row r="26" spans="1:26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4"/>
      <c r="R26" s="28"/>
      <c r="S26" s="4"/>
      <c r="T26" s="4"/>
      <c r="U26" s="4"/>
      <c r="V26" s="4"/>
      <c r="W26" s="4"/>
      <c r="X26" s="4"/>
      <c r="Y26" s="4"/>
      <c r="Z26" s="4"/>
    </row>
    <row r="27" spans="1:26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4"/>
      <c r="R27" s="28"/>
      <c r="S27" s="4"/>
      <c r="T27" s="4"/>
      <c r="U27" s="4"/>
      <c r="V27" s="4"/>
      <c r="W27" s="4"/>
      <c r="X27" s="4"/>
      <c r="Y27" s="4"/>
      <c r="Z27" s="4"/>
    </row>
    <row r="28" spans="1:26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4"/>
      <c r="Q28" s="73"/>
      <c r="R28" s="4"/>
      <c r="S28" s="4"/>
      <c r="T28" s="4"/>
      <c r="U28" s="4"/>
      <c r="V28" s="4"/>
      <c r="W28" s="4"/>
      <c r="X28" s="4"/>
      <c r="Y28" s="4"/>
      <c r="Z28" s="4"/>
    </row>
    <row r="29" spans="1:26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4"/>
      <c r="R29" s="28"/>
      <c r="S29" s="4"/>
      <c r="T29" s="4"/>
      <c r="U29" s="4"/>
      <c r="V29" s="4"/>
      <c r="W29" s="4"/>
      <c r="X29" s="4"/>
      <c r="Y29" s="4"/>
      <c r="Z29" s="4"/>
    </row>
    <row r="30" spans="1:26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4"/>
      <c r="R30" s="28"/>
      <c r="S30" s="4"/>
      <c r="T30" s="4"/>
      <c r="U30" s="4"/>
      <c r="V30" s="4"/>
      <c r="W30" s="4"/>
      <c r="X30" s="4"/>
      <c r="Y30" s="4"/>
      <c r="Z30" s="4"/>
    </row>
    <row r="31" spans="1:26" ht="18.75" customHeight="1" x14ac:dyDescent="0.3">
      <c r="A31" s="40" t="s">
        <v>36</v>
      </c>
      <c r="B31" s="41">
        <v>52623.30114234559</v>
      </c>
      <c r="C31" s="42">
        <f t="shared" ref="C31:C33" si="3">((B31-AVERAGEA($B$34:$B$35))*$E$24)/($B$24*$I$21)</f>
        <v>6.3638287980123262E-2</v>
      </c>
      <c r="D31" s="42">
        <f>AVERAGEA(C31:C33)</f>
        <v>6.1562011310335257E-2</v>
      </c>
      <c r="E31" s="42">
        <f>STDEVA(C31:C33)</f>
        <v>1.8457124994721284E-3</v>
      </c>
      <c r="F31" s="43">
        <f>(E31/D31)*100</f>
        <v>2.998135473787328</v>
      </c>
      <c r="G31" s="77">
        <f>(D31*24)</f>
        <v>1.4774882714480462</v>
      </c>
      <c r="H31" s="44" t="str">
        <f>IF(F31&gt;20,"     EDIT","")</f>
        <v/>
      </c>
      <c r="I31" s="45"/>
      <c r="J31" s="46">
        <f t="shared" ref="J31:J33" si="4">B31-(AVERAGE($B$34:$B$35))</f>
        <v>52501.587583601693</v>
      </c>
      <c r="K31" s="47">
        <f t="shared" ref="K31:K33" si="5">J31/$B$24</f>
        <v>1.5909571995030816E-2</v>
      </c>
      <c r="L31" s="47">
        <f>AVERAGE(K31:K33)</f>
        <v>1.5390502827583814E-2</v>
      </c>
      <c r="M31" s="47">
        <f>STDEV(K31:K33)</f>
        <v>4.6142812486803209E-4</v>
      </c>
      <c r="N31" s="4"/>
      <c r="O31" s="4"/>
      <c r="P31" s="4"/>
      <c r="Q31" s="73"/>
      <c r="R31" s="4"/>
      <c r="S31" s="4"/>
      <c r="T31" s="4"/>
      <c r="U31" s="4"/>
      <c r="V31" s="4"/>
      <c r="W31" s="4"/>
      <c r="X31" s="4"/>
      <c r="Y31" s="4"/>
      <c r="Z31" s="4"/>
    </row>
    <row r="32" spans="1:26" ht="18.75" customHeight="1" x14ac:dyDescent="0.3">
      <c r="A32" s="40" t="s">
        <v>37</v>
      </c>
      <c r="B32" s="41">
        <v>50397.510144698012</v>
      </c>
      <c r="C32" s="42">
        <f t="shared" si="3"/>
        <v>6.09403594981262E-2</v>
      </c>
      <c r="D32" s="42"/>
      <c r="E32" s="42"/>
      <c r="F32" s="48"/>
      <c r="G32" s="49"/>
      <c r="H32" s="44"/>
      <c r="I32" s="45"/>
      <c r="J32" s="46">
        <f t="shared" si="4"/>
        <v>50275.796585954115</v>
      </c>
      <c r="K32" s="47">
        <f t="shared" si="5"/>
        <v>1.523508987453155E-2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7" ht="18.75" customHeight="1" x14ac:dyDescent="0.3">
      <c r="A33" s="52" t="s">
        <v>38</v>
      </c>
      <c r="B33" s="53">
        <v>49710.307382267863</v>
      </c>
      <c r="C33" s="54">
        <f t="shared" si="3"/>
        <v>6.0107386452756324E-2</v>
      </c>
      <c r="D33" s="54"/>
      <c r="E33" s="54"/>
      <c r="F33" s="55"/>
      <c r="G33" s="56"/>
      <c r="H33" s="57"/>
      <c r="I33" s="58"/>
      <c r="J33" s="46">
        <f t="shared" si="4"/>
        <v>49588.593823523966</v>
      </c>
      <c r="K33" s="47">
        <f t="shared" si="5"/>
        <v>1.5026846613189081E-2</v>
      </c>
      <c r="L33" s="8"/>
      <c r="M33" s="51"/>
      <c r="N33" s="4"/>
      <c r="O33" s="4"/>
      <c r="P33" s="4"/>
      <c r="Q33" s="73"/>
      <c r="R33" s="73"/>
      <c r="S33" s="4"/>
      <c r="T33" s="4"/>
      <c r="U33" s="4"/>
      <c r="V33" s="4"/>
      <c r="W33" s="4"/>
      <c r="X33" s="4"/>
      <c r="Y33" s="4"/>
      <c r="Z33" s="4"/>
    </row>
    <row r="34" spans="1:27" ht="18.75" customHeight="1" x14ac:dyDescent="0.3">
      <c r="A34" s="59" t="s">
        <v>39</v>
      </c>
      <c r="B34" s="60">
        <v>103.77865666861882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4"/>
      <c r="S34" s="73"/>
      <c r="T34" s="4"/>
      <c r="U34" s="4"/>
      <c r="V34" s="4"/>
      <c r="W34" s="4"/>
      <c r="X34" s="4"/>
      <c r="Y34" s="4"/>
      <c r="Z34" s="4"/>
    </row>
    <row r="35" spans="1:27" ht="18.75" customHeight="1" x14ac:dyDescent="0.3">
      <c r="A35" s="40" t="s">
        <v>40</v>
      </c>
      <c r="B35" s="41">
        <v>139.64846081918171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4"/>
      <c r="P35" s="78"/>
      <c r="Q35" s="78"/>
      <c r="R35" s="78"/>
      <c r="S35" s="73"/>
      <c r="T35" s="4"/>
      <c r="U35" s="4"/>
      <c r="V35" s="4"/>
      <c r="W35" s="4"/>
      <c r="X35" s="4"/>
      <c r="Y35" s="4"/>
      <c r="Z35" s="4"/>
    </row>
    <row r="36" spans="1:27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26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26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4"/>
      <c r="Q74" s="26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4"/>
      <c r="P76" s="26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4"/>
      <c r="P90" s="28"/>
      <c r="Q90" s="23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4"/>
      <c r="P91" s="28"/>
      <c r="Q91" s="23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4"/>
      <c r="P92" s="28"/>
      <c r="Q92" s="23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4"/>
      <c r="P93" s="28"/>
      <c r="Q93" s="23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4"/>
      <c r="P94" s="28"/>
      <c r="Q94" s="23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4"/>
      <c r="P95" s="28"/>
      <c r="Q95" s="23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4"/>
      <c r="P96" s="28"/>
      <c r="Q96" s="23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4"/>
      <c r="P97" s="28"/>
      <c r="Q97" s="23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4"/>
      <c r="P98" s="28"/>
      <c r="Q98" s="23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4"/>
      <c r="P99" s="28"/>
      <c r="Q99" s="23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4"/>
      <c r="P100" s="28"/>
      <c r="Q100" s="23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4"/>
      <c r="P101" s="28"/>
      <c r="Q101" s="23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4"/>
      <c r="P102" s="28"/>
      <c r="Q102" s="23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1" width="11.875" customWidth="1"/>
    <col min="12" max="17" width="21.375" customWidth="1"/>
    <col min="18" max="26" width="11.125" customWidth="1"/>
  </cols>
  <sheetData>
    <row r="1" spans="1:25" ht="18.75" customHeight="1" x14ac:dyDescent="0.3">
      <c r="A1" s="1" t="s">
        <v>0</v>
      </c>
      <c r="B1" s="2" t="s">
        <v>45</v>
      </c>
      <c r="C1" s="1" t="s">
        <v>2</v>
      </c>
      <c r="D1" s="3">
        <v>44607</v>
      </c>
      <c r="E1" s="1" t="s">
        <v>3</v>
      </c>
      <c r="F1" s="2" t="s">
        <v>46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25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25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96"/>
      <c r="J3" s="79"/>
      <c r="K3" s="4"/>
      <c r="L3" s="4"/>
      <c r="M3" s="4"/>
      <c r="N3" s="4"/>
      <c r="O3" s="4"/>
      <c r="P3" s="4"/>
    </row>
    <row r="4" spans="1:25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10</v>
      </c>
      <c r="G4" s="15"/>
      <c r="H4" s="15" t="s">
        <v>11</v>
      </c>
      <c r="I4" s="97">
        <v>5</v>
      </c>
      <c r="J4" s="19"/>
      <c r="K4" s="4"/>
      <c r="L4" s="4"/>
      <c r="M4" s="4"/>
      <c r="N4" s="4"/>
      <c r="O4" s="4"/>
      <c r="P4" s="4"/>
    </row>
    <row r="5" spans="1:25" ht="18.75" customHeight="1" x14ac:dyDescent="0.3">
      <c r="A5" s="13" t="s">
        <v>12</v>
      </c>
      <c r="B5" s="21">
        <v>44802</v>
      </c>
      <c r="C5" s="15" t="s">
        <v>13</v>
      </c>
      <c r="D5" s="16">
        <v>44610</v>
      </c>
      <c r="E5" s="15" t="s">
        <v>14</v>
      </c>
      <c r="F5" s="17" t="s">
        <v>15</v>
      </c>
      <c r="G5" s="15"/>
      <c r="H5" s="15" t="s">
        <v>16</v>
      </c>
      <c r="I5" s="98">
        <v>2</v>
      </c>
      <c r="J5" s="19"/>
      <c r="K5" s="4"/>
      <c r="L5" s="4"/>
      <c r="M5" s="4"/>
      <c r="N5" s="4"/>
      <c r="O5" s="4"/>
      <c r="P5" s="4"/>
    </row>
    <row r="6" spans="1:25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99"/>
      <c r="J6" s="8"/>
      <c r="K6" s="4"/>
      <c r="L6" s="4"/>
      <c r="M6" s="4"/>
      <c r="N6" s="4"/>
      <c r="O6" s="4"/>
      <c r="P6" s="4"/>
    </row>
    <row r="7" spans="1:25" ht="18.75" customHeight="1" x14ac:dyDescent="0.3">
      <c r="A7" s="13" t="s">
        <v>19</v>
      </c>
      <c r="B7" s="100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99"/>
      <c r="J7" s="12"/>
      <c r="K7" s="4"/>
      <c r="L7" s="4"/>
      <c r="M7" s="4"/>
      <c r="N7" s="4"/>
      <c r="O7" s="4"/>
      <c r="P7" s="4"/>
    </row>
    <row r="8" spans="1:25" ht="18.75" customHeight="1" x14ac:dyDescent="0.3">
      <c r="A8" s="13"/>
      <c r="B8" s="14"/>
      <c r="C8" s="15"/>
      <c r="D8" s="15"/>
      <c r="E8" s="15"/>
      <c r="F8" s="15"/>
      <c r="G8" s="15"/>
      <c r="H8" s="29"/>
      <c r="I8" s="101"/>
      <c r="J8" s="79"/>
      <c r="K8" s="4"/>
      <c r="L8" s="4"/>
      <c r="M8" s="4"/>
      <c r="N8" s="4"/>
      <c r="O8" s="4"/>
      <c r="P8" s="4"/>
    </row>
    <row r="9" spans="1:25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102"/>
      <c r="J9" s="80"/>
      <c r="K9" s="4"/>
      <c r="L9" s="4"/>
      <c r="M9" s="4"/>
      <c r="N9" s="4"/>
      <c r="O9" s="4"/>
      <c r="P9" s="4"/>
    </row>
    <row r="10" spans="1:25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102"/>
      <c r="J10" s="80"/>
      <c r="K10" s="4"/>
      <c r="L10" s="4"/>
      <c r="M10" s="4"/>
      <c r="N10" s="4"/>
      <c r="O10" s="4"/>
      <c r="P10" s="4"/>
    </row>
    <row r="11" spans="1:25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103"/>
      <c r="J11" s="4" t="s">
        <v>22</v>
      </c>
      <c r="K11" s="4"/>
      <c r="L11" s="4" t="s">
        <v>23</v>
      </c>
      <c r="M11" s="4"/>
      <c r="N11" s="8"/>
      <c r="O11" s="8"/>
      <c r="P11" s="4"/>
    </row>
    <row r="12" spans="1:25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8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5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</row>
    <row r="14" spans="1:25" ht="18.75" customHeight="1" x14ac:dyDescent="0.3">
      <c r="A14" s="40" t="s">
        <v>47</v>
      </c>
      <c r="B14" s="41">
        <v>1044.07248867568</v>
      </c>
      <c r="C14" s="42">
        <f t="shared" ref="C14:C16" si="0">((B14-AVERAGEA($B$17:$B$18))*$E$7)/($B$7*$I$4)</f>
        <v>3.0496193008030777E-3</v>
      </c>
      <c r="D14" s="42">
        <f>AVERAGEA(C14:C16)</f>
        <v>2.6980269770952455E-3</v>
      </c>
      <c r="E14" s="42">
        <f>STDEVA(C14:C16)</f>
        <v>4.2081730183597682E-4</v>
      </c>
      <c r="F14" s="43">
        <f>(E14/D14)*100</f>
        <v>15.597223653005793</v>
      </c>
      <c r="G14" s="42">
        <f>(D14*24)</f>
        <v>6.4752647450285888E-2</v>
      </c>
      <c r="H14" s="44" t="str">
        <f>IF(F14&gt;20,"     EDIT","")</f>
        <v/>
      </c>
      <c r="I14" s="45"/>
      <c r="J14" s="46">
        <f t="shared" ref="J14:J16" si="1">B14-(AVERAGE($B$17:$B$18))</f>
        <v>1006.3743692650156</v>
      </c>
      <c r="K14" s="47">
        <f t="shared" ref="K14:K16" si="2">J14/$B$7</f>
        <v>7.6240482520076942E-4</v>
      </c>
      <c r="L14" s="47">
        <f>AVERAGE(K14:K16)</f>
        <v>6.7450674427381137E-4</v>
      </c>
      <c r="M14" s="47">
        <f>STDEV(K14:K16)</f>
        <v>1.052043254589942E-4</v>
      </c>
      <c r="N14" s="4"/>
      <c r="O14" s="4"/>
      <c r="P14" s="4"/>
    </row>
    <row r="15" spans="1:25" ht="18.75" customHeight="1" x14ac:dyDescent="0.3">
      <c r="A15" s="40" t="s">
        <v>48</v>
      </c>
      <c r="B15" s="41">
        <v>965.89024564848239</v>
      </c>
      <c r="C15" s="42">
        <f t="shared" si="0"/>
        <v>2.8127034128418728E-3</v>
      </c>
      <c r="D15" s="42"/>
      <c r="E15" s="42"/>
      <c r="F15" s="48"/>
      <c r="G15" s="49"/>
      <c r="H15" s="44"/>
      <c r="I15" s="45"/>
      <c r="J15" s="46">
        <f t="shared" si="1"/>
        <v>928.192126237818</v>
      </c>
      <c r="K15" s="47">
        <f t="shared" si="2"/>
        <v>7.0317585321046821E-4</v>
      </c>
      <c r="L15" s="50"/>
      <c r="M15" s="51"/>
      <c r="N15" s="4"/>
      <c r="O15" s="4"/>
      <c r="P15" s="4"/>
    </row>
    <row r="16" spans="1:25" ht="18.75" customHeight="1" x14ac:dyDescent="0.3">
      <c r="A16" s="52" t="s">
        <v>49</v>
      </c>
      <c r="B16" s="53">
        <v>774.17833123212404</v>
      </c>
      <c r="C16" s="54">
        <f t="shared" si="0"/>
        <v>2.2317582176407868E-3</v>
      </c>
      <c r="D16" s="54"/>
      <c r="E16" s="54"/>
      <c r="F16" s="55"/>
      <c r="G16" s="56"/>
      <c r="H16" s="57"/>
      <c r="I16" s="58"/>
      <c r="J16" s="46">
        <f t="shared" si="1"/>
        <v>736.48021182145965</v>
      </c>
      <c r="K16" s="47">
        <f t="shared" si="2"/>
        <v>5.5793955441019671E-4</v>
      </c>
      <c r="L16" s="8"/>
      <c r="M16" s="51"/>
      <c r="N16" s="4"/>
      <c r="O16" s="4"/>
      <c r="P16" s="4"/>
    </row>
    <row r="17" spans="1:25" ht="19.5" customHeight="1" x14ac:dyDescent="0.3">
      <c r="A17" s="59" t="s">
        <v>50</v>
      </c>
      <c r="B17" s="60">
        <v>34.825052573362022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</row>
    <row r="18" spans="1:25" ht="19.5" customHeight="1" x14ac:dyDescent="0.3">
      <c r="A18" s="40" t="s">
        <v>51</v>
      </c>
      <c r="B18" s="41">
        <v>40.57118624796675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</row>
    <row r="19" spans="1:25" ht="19.5" customHeight="1" x14ac:dyDescent="0.3">
      <c r="A19" s="28"/>
      <c r="B19" s="66">
        <f>SUM(B14:B18)</f>
        <v>2859.5373043776149</v>
      </c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96"/>
      <c r="J20" s="12"/>
      <c r="K20" s="8"/>
      <c r="L20" s="8"/>
      <c r="M20" s="51"/>
      <c r="N20" s="4"/>
      <c r="O20" s="4"/>
      <c r="P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10</v>
      </c>
      <c r="G21" s="15"/>
      <c r="H21" s="15" t="s">
        <v>11</v>
      </c>
      <c r="I21" s="97">
        <v>5</v>
      </c>
      <c r="J21" s="12"/>
      <c r="K21" s="8"/>
      <c r="L21" s="19"/>
      <c r="M21" s="51"/>
      <c r="N21" s="4"/>
      <c r="O21" s="4"/>
      <c r="P21" s="4"/>
    </row>
    <row r="22" spans="1:25" ht="18.75" customHeight="1" x14ac:dyDescent="0.3">
      <c r="A22" s="13" t="s">
        <v>12</v>
      </c>
      <c r="B22" s="21">
        <v>44802</v>
      </c>
      <c r="C22" s="15" t="s">
        <v>13</v>
      </c>
      <c r="D22" s="16">
        <v>44610</v>
      </c>
      <c r="E22" s="15" t="s">
        <v>14</v>
      </c>
      <c r="F22" s="17" t="s">
        <v>15</v>
      </c>
      <c r="G22" s="15"/>
      <c r="H22" s="15" t="s">
        <v>16</v>
      </c>
      <c r="I22" s="98">
        <v>2</v>
      </c>
      <c r="J22" s="12"/>
      <c r="K22" s="8"/>
      <c r="L22" s="8"/>
      <c r="M22" s="51"/>
      <c r="N22" s="4"/>
      <c r="O22" s="4"/>
      <c r="P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99"/>
      <c r="J23" s="12"/>
      <c r="K23" s="8"/>
      <c r="L23" s="26"/>
      <c r="M23" s="4"/>
      <c r="N23" s="4"/>
      <c r="O23" s="4"/>
      <c r="P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99"/>
      <c r="J24" s="12"/>
      <c r="K24" s="8"/>
      <c r="L24" s="71"/>
      <c r="M24" s="26"/>
      <c r="N24" s="4"/>
      <c r="O24" s="4"/>
      <c r="P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101"/>
      <c r="J25" s="12"/>
      <c r="K25" s="8"/>
      <c r="L25" s="72"/>
      <c r="M25" s="30"/>
      <c r="N25" s="4"/>
      <c r="O25" s="4"/>
      <c r="P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102"/>
      <c r="J26" s="12"/>
      <c r="K26" s="8"/>
      <c r="L26" s="4"/>
      <c r="M26" s="4"/>
      <c r="N26" s="4"/>
      <c r="O26" s="4"/>
      <c r="P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102"/>
      <c r="J27" s="12"/>
      <c r="K27" s="8"/>
      <c r="L27" s="74"/>
      <c r="M27" s="26"/>
      <c r="N27" s="4"/>
      <c r="O27" s="4"/>
      <c r="P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103"/>
      <c r="J28" s="4" t="s">
        <v>22</v>
      </c>
      <c r="K28" s="4"/>
      <c r="L28" s="4" t="s">
        <v>23</v>
      </c>
      <c r="M28" s="4"/>
      <c r="N28" s="8"/>
      <c r="O28" s="4"/>
      <c r="P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</row>
    <row r="31" spans="1:25" ht="18.75" customHeight="1" x14ac:dyDescent="0.3">
      <c r="A31" s="40" t="s">
        <v>47</v>
      </c>
      <c r="B31" s="41">
        <v>36261.359629171471</v>
      </c>
      <c r="C31" s="42">
        <f t="shared" ref="C31:C33" si="3">((B31-AVERAGEA($B$34:$B$35))*$E$24)/($B$24*$I$21)</f>
        <v>4.3803098869422019E-2</v>
      </c>
      <c r="D31" s="42">
        <f>AVERAGEA(C31:C33)</f>
        <v>4.0638451364664506E-2</v>
      </c>
      <c r="E31" s="42">
        <f>STDEVA(C31:C33)</f>
        <v>4.1288400018858118E-3</v>
      </c>
      <c r="F31" s="43">
        <f>(E31/D31)*100</f>
        <v>10.159934405069073</v>
      </c>
      <c r="G31" s="77">
        <f>(D31*24)</f>
        <v>0.97532283275194809</v>
      </c>
      <c r="H31" s="44" t="str">
        <f>IF(F31&gt;20,"     EDIT","")</f>
        <v/>
      </c>
      <c r="I31" s="45"/>
      <c r="J31" s="46">
        <f t="shared" ref="J31:J33" si="4">B31-(AVERAGE($B$34:$B$35))</f>
        <v>36137.556567273168</v>
      </c>
      <c r="K31" s="47">
        <f t="shared" ref="K31:K33" si="5">J31/$B$24</f>
        <v>1.0950774717355505E-2</v>
      </c>
      <c r="L31" s="47">
        <f>AVERAGE(K31:K33)</f>
        <v>1.0159612841166126E-2</v>
      </c>
      <c r="M31" s="47">
        <f>STDEV(K31:K33)</f>
        <v>1.0322100004714521E-3</v>
      </c>
      <c r="N31" s="4"/>
      <c r="O31" s="4"/>
      <c r="P31" s="4"/>
    </row>
    <row r="32" spans="1:25" ht="18.75" customHeight="1" x14ac:dyDescent="0.3">
      <c r="A32" s="40" t="s">
        <v>48</v>
      </c>
      <c r="B32" s="41">
        <v>34892.752475564637</v>
      </c>
      <c r="C32" s="42">
        <f t="shared" si="3"/>
        <v>4.2144181107474345E-2</v>
      </c>
      <c r="D32" s="42"/>
      <c r="E32" s="42"/>
      <c r="F32" s="48"/>
      <c r="G32" s="49"/>
      <c r="H32" s="44"/>
      <c r="I32" s="45"/>
      <c r="J32" s="46">
        <f t="shared" si="4"/>
        <v>34768.949413666334</v>
      </c>
      <c r="K32" s="47">
        <f t="shared" si="5"/>
        <v>1.0536045276868586E-2</v>
      </c>
      <c r="L32" s="50"/>
      <c r="M32" s="51"/>
      <c r="N32" s="4"/>
      <c r="O32" s="4"/>
      <c r="P32" s="4"/>
    </row>
    <row r="33" spans="1:17" ht="18.75" customHeight="1" x14ac:dyDescent="0.3">
      <c r="A33" s="52" t="s">
        <v>49</v>
      </c>
      <c r="B33" s="53">
        <v>29797.464208503465</v>
      </c>
      <c r="C33" s="54">
        <f t="shared" si="3"/>
        <v>3.5968074117097161E-2</v>
      </c>
      <c r="D33" s="54"/>
      <c r="E33" s="54"/>
      <c r="F33" s="55"/>
      <c r="G33" s="56"/>
      <c r="H33" s="57"/>
      <c r="I33" s="58"/>
      <c r="J33" s="46">
        <f t="shared" si="4"/>
        <v>29673.661146605162</v>
      </c>
      <c r="K33" s="47">
        <f t="shared" si="5"/>
        <v>8.992018529274292E-3</v>
      </c>
      <c r="L33" s="8"/>
      <c r="M33" s="51"/>
      <c r="N33" s="4"/>
      <c r="O33" s="4"/>
      <c r="P33" s="4"/>
    </row>
    <row r="34" spans="1:17" ht="18.75" customHeight="1" x14ac:dyDescent="0.3">
      <c r="A34" s="59" t="s">
        <v>50</v>
      </c>
      <c r="B34" s="60">
        <v>125.02193873836964</v>
      </c>
      <c r="C34" s="61"/>
      <c r="D34" s="61"/>
      <c r="E34" s="61"/>
      <c r="F34" s="62"/>
      <c r="G34" s="63"/>
      <c r="H34" s="64"/>
      <c r="I34" s="38"/>
      <c r="J34" s="12"/>
      <c r="K34" s="4"/>
      <c r="L34" s="4"/>
      <c r="M34" s="4"/>
      <c r="N34" s="4"/>
      <c r="O34" s="4"/>
      <c r="P34" s="4"/>
    </row>
    <row r="35" spans="1:17" ht="18.75" customHeight="1" x14ac:dyDescent="0.3">
      <c r="A35" s="40" t="s">
        <v>51</v>
      </c>
      <c r="B35" s="41">
        <v>122.58418505823431</v>
      </c>
      <c r="C35" s="65"/>
      <c r="D35" s="42"/>
      <c r="E35" s="42"/>
      <c r="F35" s="48"/>
      <c r="G35" s="49"/>
      <c r="H35" s="44"/>
      <c r="I35" s="45"/>
      <c r="J35" s="79"/>
      <c r="K35" s="4"/>
      <c r="L35" s="4"/>
      <c r="M35" s="4"/>
      <c r="N35" s="4"/>
      <c r="O35" s="4"/>
      <c r="P35" s="4"/>
    </row>
    <row r="36" spans="1:17" ht="18.75" customHeight="1" x14ac:dyDescent="0.3">
      <c r="A36" s="19"/>
      <c r="B36" s="23">
        <f>SUM(B31:B35)</f>
        <v>101199.18243703619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1:17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1:17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spans="1:17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spans="1:17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</row>
    <row r="41" spans="1:17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</row>
    <row r="42" spans="1:17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</row>
    <row r="43" spans="1:17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1:17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</row>
    <row r="45" spans="1:17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</row>
    <row r="46" spans="1:17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</row>
    <row r="47" spans="1:17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</row>
    <row r="48" spans="1:17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</row>
    <row r="49" spans="1:17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</row>
    <row r="50" spans="1:17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</row>
    <row r="51" spans="1:17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</row>
    <row r="52" spans="1:17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</row>
    <row r="53" spans="1:17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</row>
    <row r="54" spans="1:17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</row>
    <row r="55" spans="1:17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</row>
    <row r="56" spans="1:17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</row>
    <row r="57" spans="1:17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</row>
    <row r="58" spans="1:17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</row>
    <row r="59" spans="1:17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</row>
    <row r="60" spans="1:17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</row>
    <row r="61" spans="1:17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</row>
    <row r="62" spans="1:17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</row>
    <row r="63" spans="1:17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</row>
    <row r="64" spans="1:17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</row>
    <row r="65" spans="1:17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</row>
    <row r="66" spans="1:17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4"/>
      <c r="M66" s="4"/>
      <c r="N66" s="4"/>
      <c r="O66" s="4"/>
      <c r="P66" s="4"/>
      <c r="Q66" s="4"/>
    </row>
    <row r="67" spans="1:17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4"/>
      <c r="M67" s="4"/>
      <c r="N67" s="4"/>
      <c r="O67" s="4"/>
      <c r="P67" s="4"/>
      <c r="Q67" s="4"/>
    </row>
    <row r="68" spans="1:17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4"/>
      <c r="M68" s="4"/>
      <c r="N68" s="4"/>
      <c r="O68" s="4"/>
      <c r="P68" s="4"/>
      <c r="Q68" s="4"/>
    </row>
    <row r="69" spans="1:17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4"/>
      <c r="M69" s="4"/>
      <c r="N69" s="4"/>
      <c r="O69" s="4"/>
      <c r="P69" s="4"/>
      <c r="Q69" s="4"/>
    </row>
    <row r="70" spans="1:17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4"/>
      <c r="M70" s="4"/>
      <c r="N70" s="4"/>
      <c r="O70" s="4"/>
      <c r="P70" s="4"/>
      <c r="Q70" s="4"/>
    </row>
    <row r="71" spans="1:17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4"/>
      <c r="M71" s="4"/>
      <c r="N71" s="4"/>
      <c r="O71" s="4"/>
      <c r="P71" s="4"/>
      <c r="Q71" s="4"/>
    </row>
    <row r="72" spans="1:17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4"/>
      <c r="M72" s="4"/>
      <c r="N72" s="4"/>
      <c r="O72" s="4"/>
      <c r="P72" s="4"/>
      <c r="Q72" s="4"/>
    </row>
    <row r="73" spans="1:17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4"/>
      <c r="M73" s="4"/>
      <c r="N73" s="4"/>
      <c r="O73" s="4"/>
      <c r="P73" s="4"/>
      <c r="Q73" s="4"/>
    </row>
    <row r="74" spans="1:17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4"/>
      <c r="M74" s="4"/>
      <c r="N74" s="4"/>
      <c r="O74" s="4"/>
      <c r="P74" s="4"/>
      <c r="Q74" s="4"/>
    </row>
    <row r="75" spans="1:17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4"/>
      <c r="M75" s="4"/>
      <c r="N75" s="4"/>
      <c r="O75" s="4"/>
      <c r="P75" s="4"/>
      <c r="Q75" s="4"/>
    </row>
    <row r="76" spans="1:17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4"/>
      <c r="M76" s="4"/>
      <c r="N76" s="4"/>
      <c r="O76" s="4"/>
      <c r="P76" s="4"/>
      <c r="Q76" s="4"/>
    </row>
    <row r="77" spans="1:17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4"/>
      <c r="M77" s="4"/>
      <c r="N77" s="4"/>
      <c r="O77" s="4"/>
      <c r="P77" s="4"/>
      <c r="Q77" s="4"/>
    </row>
    <row r="78" spans="1:17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 spans="1:17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 spans="1:17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 spans="1:17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 spans="1:17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 spans="1:17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 spans="1:17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 spans="1:17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 spans="1:17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 spans="1:17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 spans="1:17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 spans="1:17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 spans="1:17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4"/>
      <c r="P90" s="4"/>
      <c r="Q90" s="4"/>
    </row>
    <row r="91" spans="1:17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4"/>
      <c r="P91" s="4"/>
      <c r="Q91" s="4"/>
    </row>
    <row r="92" spans="1:17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4"/>
      <c r="P92" s="4"/>
      <c r="Q92" s="4"/>
    </row>
    <row r="93" spans="1:17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4"/>
      <c r="P93" s="4"/>
      <c r="Q93" s="4"/>
    </row>
    <row r="94" spans="1:17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4"/>
      <c r="P94" s="4"/>
      <c r="Q94" s="4"/>
    </row>
    <row r="95" spans="1:17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4"/>
      <c r="P95" s="4"/>
      <c r="Q95" s="4"/>
    </row>
    <row r="96" spans="1:17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4"/>
      <c r="P96" s="4"/>
      <c r="Q96" s="4"/>
    </row>
    <row r="97" spans="1:17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4"/>
      <c r="P97" s="4"/>
      <c r="Q97" s="4"/>
    </row>
    <row r="98" spans="1:17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4"/>
      <c r="P98" s="4"/>
      <c r="Q98" s="4"/>
    </row>
    <row r="99" spans="1:17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4"/>
      <c r="P99" s="4"/>
      <c r="Q99" s="4"/>
    </row>
    <row r="100" spans="1:17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4"/>
      <c r="P100" s="4"/>
      <c r="Q100" s="4"/>
    </row>
    <row r="101" spans="1:17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4"/>
      <c r="P101" s="4"/>
      <c r="Q101" s="4"/>
    </row>
    <row r="102" spans="1:17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4"/>
      <c r="P102" s="4"/>
      <c r="Q102" s="4"/>
    </row>
    <row r="103" spans="1:17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</row>
    <row r="104" spans="1:17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</row>
    <row r="105" spans="1:17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</row>
    <row r="106" spans="1:17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</row>
    <row r="107" spans="1:17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</row>
    <row r="108" spans="1:17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</row>
    <row r="109" spans="1:17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</row>
    <row r="110" spans="1:17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</row>
    <row r="111" spans="1:17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</row>
    <row r="112" spans="1:17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</row>
    <row r="113" spans="1:17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</row>
    <row r="114" spans="1:17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</row>
    <row r="115" spans="1:17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</row>
    <row r="116" spans="1:17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</row>
    <row r="117" spans="1:17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</row>
    <row r="118" spans="1:17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</row>
    <row r="119" spans="1:17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</row>
    <row r="120" spans="1:17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</row>
    <row r="121" spans="1:17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</row>
    <row r="122" spans="1:17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4"/>
      <c r="M122" s="4"/>
      <c r="N122" s="4"/>
      <c r="O122" s="4"/>
      <c r="P122" s="4"/>
      <c r="Q122" s="4"/>
    </row>
    <row r="123" spans="1:17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4"/>
      <c r="M123" s="4"/>
      <c r="N123" s="4"/>
      <c r="O123" s="4"/>
      <c r="P123" s="4"/>
      <c r="Q123" s="4"/>
    </row>
    <row r="124" spans="1:17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4"/>
      <c r="M124" s="4"/>
      <c r="N124" s="4"/>
      <c r="O124" s="4"/>
      <c r="P124" s="4"/>
      <c r="Q124" s="4"/>
    </row>
    <row r="125" spans="1:17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4"/>
      <c r="M125" s="4"/>
      <c r="N125" s="4"/>
      <c r="O125" s="4"/>
      <c r="P125" s="4"/>
      <c r="Q125" s="4"/>
    </row>
    <row r="126" spans="1:17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4"/>
      <c r="M126" s="4"/>
      <c r="N126" s="4"/>
      <c r="O126" s="4"/>
      <c r="P126" s="4"/>
      <c r="Q126" s="4"/>
    </row>
    <row r="127" spans="1:17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4"/>
      <c r="M127" s="4"/>
      <c r="N127" s="4"/>
      <c r="O127" s="4"/>
      <c r="P127" s="4"/>
      <c r="Q127" s="4"/>
    </row>
    <row r="128" spans="1:17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4"/>
      <c r="M128" s="4"/>
      <c r="N128" s="4"/>
      <c r="O128" s="4"/>
      <c r="P128" s="4"/>
      <c r="Q128" s="4"/>
    </row>
    <row r="129" spans="1:17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4"/>
      <c r="M129" s="4"/>
      <c r="N129" s="4"/>
      <c r="O129" s="4"/>
      <c r="P129" s="4"/>
      <c r="Q129" s="4"/>
    </row>
    <row r="130" spans="1:17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4"/>
      <c r="M130" s="4"/>
      <c r="N130" s="4"/>
      <c r="O130" s="4"/>
      <c r="P130" s="4"/>
      <c r="Q130" s="4"/>
    </row>
    <row r="131" spans="1:17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4"/>
      <c r="M131" s="4"/>
      <c r="N131" s="4"/>
      <c r="O131" s="4"/>
      <c r="P131" s="4"/>
      <c r="Q131" s="4"/>
    </row>
    <row r="132" spans="1:17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4"/>
      <c r="M132" s="4"/>
      <c r="N132" s="4"/>
      <c r="O132" s="4"/>
      <c r="P132" s="4"/>
      <c r="Q132" s="4"/>
    </row>
    <row r="133" spans="1:17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4"/>
      <c r="M133" s="4"/>
      <c r="N133" s="4"/>
      <c r="O133" s="4"/>
      <c r="P133" s="4"/>
      <c r="Q133" s="4"/>
    </row>
    <row r="134" spans="1:17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 spans="1:17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 spans="1:17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 spans="1:17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 spans="1:17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 spans="1:17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 spans="1:17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 spans="1:17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 spans="1:17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 spans="1:17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</row>
    <row r="144" spans="1:17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</row>
    <row r="145" spans="1:17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</row>
    <row r="146" spans="1:17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 spans="1:17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 spans="1:17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 spans="1:17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 spans="1:17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 spans="1:17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 spans="1:17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 spans="1:17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 spans="1:17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 spans="1:17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 spans="1:17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 spans="1:17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 spans="1:17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 spans="1:17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 spans="1:17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 spans="1:17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 spans="1:17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 spans="1:17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 spans="1:17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 spans="1:17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 spans="1:17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 spans="1:17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 spans="1:17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 spans="1:17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 spans="1:17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 spans="1:17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 spans="1:17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 spans="1:17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 spans="1:17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 spans="1:17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 spans="1:17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 spans="1:17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 spans="1:17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 spans="1:17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 spans="1:17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 spans="1:17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 spans="1:17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 spans="1:17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 spans="1:17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 spans="1:17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 spans="1:17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 spans="1:17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 spans="1:17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 spans="1:17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 spans="1:17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 spans="1:17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 spans="1:17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 spans="1:17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 spans="1:17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 spans="1:17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 spans="1:17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 spans="1:17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 spans="1:17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 spans="1:17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 spans="1:17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 spans="1:17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 spans="1:17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 spans="1:17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 spans="1:17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 spans="1:17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 spans="1:17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 spans="1:17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 spans="1:17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 spans="1:17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 spans="1:17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 spans="1:17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 spans="1:17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 spans="1:17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 spans="1:17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 spans="1:17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 spans="1:17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 spans="1:17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 spans="1:17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 spans="1:17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 spans="1:17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 spans="1:17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 spans="1:17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 spans="1:17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 spans="1:17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 spans="1:17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 spans="1:17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 spans="1:17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 spans="1:17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 spans="1:17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 spans="1:17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 spans="1:17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 spans="1:17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 spans="1:17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 spans="1:17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 spans="1:17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 spans="1:17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 spans="1:17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 spans="1:17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 spans="1:17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 spans="1:17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 spans="1:17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 spans="1:17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 spans="1:17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 spans="1:17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 spans="1:17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 spans="1:17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 spans="1:17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 spans="1:17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 spans="1:17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 spans="1:17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 spans="1:17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 spans="1:17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 spans="1:17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 spans="1:17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 spans="1:17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 spans="1:17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 spans="1:17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 spans="1:17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 spans="1:17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 spans="1:17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 spans="1:17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 spans="1:17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 spans="1:17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 spans="1:17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 spans="1:17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 spans="1:17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 spans="1:17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 spans="1:17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 spans="1:17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 spans="1:17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 spans="1:17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 spans="1:17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 spans="1:17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 spans="1:17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 spans="1:17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 spans="1:17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 spans="1:17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 spans="1:17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 spans="1:17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 spans="1:17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 spans="1:17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 spans="1:17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 spans="1:17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 spans="1:17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 spans="1:17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 spans="1:17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 spans="1:17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 spans="1:17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 spans="1:17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 spans="1:17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 spans="1:17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 spans="1:17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 spans="1:17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 spans="1:17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 spans="1:17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 spans="1:17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 spans="1:17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 spans="1:17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 spans="1:17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 spans="1:17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 spans="1:17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 spans="1:17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 spans="1:17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 spans="1:17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 spans="1:17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 spans="1:17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 spans="1:17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 spans="1:17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 spans="1:17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 spans="1:17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 spans="1:17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 spans="1:17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 spans="1:17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 spans="1:17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 spans="1:17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 spans="1:17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 spans="1:17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 spans="1:17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 spans="1:17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 spans="1:17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 spans="1:17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 spans="1:17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 spans="1:17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 spans="1:17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 spans="1:17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 spans="1:17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 spans="1:17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 spans="1:17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 spans="1:17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 spans="1:17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 spans="1:17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 spans="1:17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 spans="1:17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 spans="1:17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 spans="1:17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 spans="1:17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 spans="1:17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 spans="1:17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 spans="1:17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 spans="1:17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 spans="1:17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 spans="1:17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 spans="1:17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 spans="1:17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 spans="1:17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 spans="1:17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 spans="1:17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 spans="1:17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 spans="1:17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 spans="1:17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 spans="1:17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 spans="1:17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 spans="1:17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 spans="1:17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 spans="1:17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 spans="1:17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 spans="1:17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 spans="1:17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 spans="1:17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 spans="1:17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 spans="1:17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 spans="1:17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 spans="1:17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 spans="1:17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 spans="1:17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 spans="1:17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 spans="1:17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 spans="1:17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 spans="1:17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 spans="1:17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 spans="1:17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 spans="1:17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 spans="1:17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 spans="1:17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 spans="1:17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 spans="1:17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 spans="1:17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 spans="1:17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 spans="1:17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 spans="1:17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 spans="1:17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 spans="1:17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 spans="1:17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 spans="1:17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 spans="1:17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 spans="1:17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 spans="1:17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 spans="1:17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 spans="1:17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 spans="1:17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 spans="1:17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 spans="1:17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 spans="1:17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 spans="1:17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 spans="1:17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 spans="1:17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 spans="1:17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 spans="1:17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 spans="1:17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 spans="1:17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 spans="1:17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 spans="1:17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 spans="1:17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 spans="1:17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 spans="1:17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 spans="1:17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 spans="1:17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 spans="1:17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 spans="1:17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 spans="1:17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 spans="1:17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 spans="1:17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 spans="1:17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 spans="1:17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 spans="1:17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 spans="1:17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 spans="1:17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 spans="1:17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 spans="1:17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 spans="1:17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 spans="1:17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 spans="1:17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 spans="1:17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 spans="1:17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 spans="1:17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 spans="1:17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 spans="1:17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 spans="1:17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 spans="1:17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 spans="1:17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 spans="1:17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 spans="1:17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 spans="1:17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 spans="1:17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 spans="1:17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 spans="1:17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 spans="1:17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 spans="1:17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 spans="1:17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 spans="1:17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 spans="1:17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 spans="1:17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 spans="1:17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 spans="1:17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 spans="1:17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 spans="1:17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 spans="1:17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 spans="1:17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 spans="1:17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 spans="1:17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 spans="1:17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 spans="1:17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 spans="1:17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 spans="1:17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 spans="1:17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 spans="1:17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 spans="1:17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 spans="1:17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 spans="1:17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 spans="1:17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 spans="1:17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 spans="1:17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 spans="1:17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 spans="1:17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 spans="1:17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 spans="1:17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 spans="1:17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 spans="1:17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 spans="1:17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 spans="1:17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 spans="1:17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 spans="1:17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 spans="1:17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 spans="1:17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 spans="1:17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 spans="1:17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 spans="1:17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 spans="1:17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 spans="1:17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 spans="1:17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 spans="1:17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 spans="1:17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 spans="1:17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 spans="1:17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 spans="1:17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 spans="1:17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 spans="1:17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 spans="1:17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 spans="1:17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 spans="1:17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 spans="1:17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 spans="1:17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 spans="1:17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 spans="1:17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 spans="1:17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 spans="1:17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 spans="1:17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 spans="1:17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 spans="1:17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 spans="1:17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 spans="1:17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 spans="1:17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 spans="1:17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 spans="1:17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 spans="1:17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 spans="1:17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 spans="1:17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 spans="1:17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 spans="1:17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 spans="1:17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 spans="1:17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 spans="1:17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 spans="1:17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 spans="1:17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 spans="1:17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 spans="1:17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 spans="1:17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 spans="1:17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 spans="1:17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 spans="1:17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 spans="1:17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 spans="1:17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 spans="1:17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 spans="1:17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 spans="1:17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 spans="1:17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 spans="1:17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 spans="1:17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 spans="1:17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 spans="1:17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 spans="1:17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 spans="1:17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 spans="1:17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 spans="1:17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 spans="1:17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 spans="1:17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 spans="1:17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 spans="1:17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 spans="1:17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 spans="1:17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 spans="1:17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 spans="1:17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 spans="1:17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 spans="1:17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 spans="1:17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 spans="1:17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 spans="1:17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 spans="1:17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 spans="1:17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 spans="1:17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 spans="1:17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 spans="1:17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 spans="1:17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 spans="1:17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 spans="1:17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 spans="1:17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 spans="1:17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 spans="1:17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 spans="1:17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 spans="1:17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 spans="1:17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 spans="1:17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 spans="1:17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 spans="1:17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 spans="1:17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 spans="1:17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 spans="1:17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 spans="1:17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 spans="1:17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 spans="1:17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 spans="1:17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 spans="1:17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 spans="1:17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 spans="1:17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 spans="1:17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 spans="1:17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 spans="1:17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 spans="1:17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 spans="1:17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 spans="1:17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 spans="1:17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 spans="1:17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 spans="1:17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 spans="1:17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 spans="1:17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 spans="1:17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 spans="1:17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 spans="1:17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 spans="1:17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 spans="1:17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 spans="1:17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 spans="1:17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 spans="1:17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 spans="1:17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 spans="1:17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 spans="1:17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 spans="1:17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 spans="1:17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 spans="1:17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 spans="1:17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 spans="1:17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 spans="1:17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 spans="1:17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 spans="1:17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 spans="1:17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 spans="1:17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 spans="1:17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 spans="1:17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 spans="1:17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 spans="1:17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 spans="1:17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 spans="1:17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 spans="1:17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 spans="1:17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 spans="1:17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 spans="1:17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 spans="1:17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 spans="1:17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 spans="1:17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 spans="1:17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 spans="1:17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 spans="1:17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 spans="1:17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 spans="1:17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 spans="1:17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 spans="1:17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 spans="1:17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 spans="1:17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 spans="1:17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 spans="1:17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 spans="1:17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 spans="1:17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 spans="1:17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 spans="1:17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 spans="1:17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 spans="1:17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 spans="1:17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 spans="1:17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 spans="1:17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 spans="1:17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 spans="1:17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 spans="1:17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 spans="1:17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 spans="1:17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 spans="1:17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 spans="1:17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 spans="1:17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 spans="1:17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 spans="1:17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 spans="1:17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 spans="1:17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 spans="1:17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 spans="1:17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 spans="1:17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 spans="1:17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 spans="1:17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 spans="1:17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 spans="1:17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 spans="1:17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 spans="1:17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 spans="1:17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 spans="1:17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 spans="1:17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 spans="1:17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 spans="1:17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 spans="1:17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 spans="1:17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 spans="1:17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 spans="1:17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 spans="1:17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 spans="1:17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 spans="1:17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 spans="1:17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 spans="1:17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 spans="1:17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 spans="1:17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 spans="1:17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 spans="1:17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 spans="1:17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 spans="1:17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 spans="1:17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 spans="1:17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 spans="1:17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 spans="1:17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 spans="1:17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 spans="1:17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 spans="1:17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 spans="1:17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 spans="1:17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 spans="1:17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 spans="1:17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 spans="1:17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 spans="1:17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 spans="1:17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 spans="1:17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 spans="1:17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 spans="1:17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 spans="1:17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 spans="1:17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 spans="1:17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 spans="1:17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 spans="1:17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 spans="1:17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 spans="1:17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 spans="1:17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 spans="1:17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 spans="1:17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 spans="1:17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 spans="1:17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 spans="1:17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 spans="1:17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 spans="1:17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 spans="1:17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 spans="1:17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 spans="1:17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 spans="1:17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 spans="1:17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 spans="1:17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 spans="1:17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 spans="1:17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 spans="1:17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 spans="1:17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 spans="1:17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 spans="1:17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 spans="1:17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 spans="1:17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 spans="1:17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 spans="1:17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 spans="1:17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 spans="1:17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 spans="1:17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 spans="1:17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 spans="1:17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 spans="1:17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 spans="1:17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 spans="1:17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 spans="1:17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 spans="1:17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 spans="1:17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 spans="1:17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 spans="1:17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 spans="1:17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 spans="1:17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 spans="1:17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 spans="1:17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 spans="1:17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 spans="1:17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 spans="1:17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 spans="1:17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 spans="1:17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 spans="1:17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 spans="1:17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 spans="1:17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 spans="1:17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 spans="1:17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 spans="1:17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 spans="1:17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 spans="1:17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 spans="1:17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 spans="1:17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 spans="1:17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 spans="1:17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 spans="1:17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 spans="1:17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 spans="1:17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 spans="1:17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 spans="1:17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 spans="1:17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 spans="1:17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 spans="1:17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 spans="1:17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 spans="1:17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 spans="1:17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 spans="1:17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 spans="1:17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 spans="1:17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 spans="1:17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 spans="1:17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 spans="1:17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 spans="1:17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 spans="1:17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 spans="1:17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 spans="1:17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 spans="1:17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 spans="1:17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 spans="1:17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 spans="1:17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 spans="1:17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 spans="1:17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 spans="1:17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 spans="1:17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 spans="1:17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 spans="1:17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 spans="1:17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 spans="1:17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 spans="1:17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 spans="1:17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 spans="1:17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 spans="1:17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 spans="1:17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 spans="1:17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 spans="1:17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 spans="1:17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 spans="1:17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 spans="1:17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 spans="1:17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 spans="1:17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 spans="1:17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 spans="1:17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 spans="1:17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 spans="1:17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 spans="1:17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 spans="1:17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 spans="1:17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 spans="1:17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 spans="1:17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 spans="1:17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 spans="1:17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 spans="1:17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 spans="1:17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 spans="1:17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 spans="1:17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 spans="1:17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 spans="1:17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 spans="1:17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 spans="1:17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 spans="1:17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 spans="1:17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 spans="1:17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 spans="1:17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 spans="1:17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 spans="1:17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 spans="1:17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 spans="1:17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 spans="1:17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 spans="1:17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 spans="1:17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 spans="1:17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 spans="1:17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 spans="1:17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 spans="1:17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 spans="1:17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 spans="1:17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 spans="1:17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 spans="1:17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 spans="1:17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 spans="1:17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 spans="1:17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 spans="1:17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 spans="1:17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 spans="1:17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 spans="1:17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 spans="1:17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 spans="1:17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 spans="1:17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 spans="1:17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 spans="1:17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 spans="1:17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 spans="1:17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 spans="1:17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 spans="1:17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 spans="1:17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 spans="1:17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 spans="1:17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 spans="1:17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 spans="1:17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 spans="1:17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 spans="1:17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 spans="1:17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 spans="1:17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 spans="1:17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 spans="1:17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 spans="1:17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 spans="1:17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 spans="1:17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 spans="1:17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 spans="1:17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 spans="1:17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 spans="1:17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 spans="1:17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 spans="1:17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 spans="1:17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 spans="1:17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 spans="1:17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 spans="1:17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 spans="1:17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 spans="1:17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 spans="1:17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 spans="1:17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 spans="1:17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 spans="1:17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 spans="1:17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 spans="1:17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 spans="1:17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 spans="1:17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 spans="1:17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 spans="1:17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 spans="1:17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 spans="1:17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 spans="1:17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 spans="1:17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 spans="1:17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 spans="1:17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 spans="1:17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 spans="1:17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 spans="1:17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 spans="1:17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 spans="1:17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 spans="1:17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 spans="1:17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 spans="1:17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 spans="1:17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 spans="1:17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 spans="1:17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 spans="1:17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 spans="1:17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 spans="1:17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 spans="1:17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 spans="1:17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 spans="1:17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 spans="1:17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 spans="1:17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 spans="1:17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 spans="1:17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 spans="1:17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 spans="1:17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 spans="1:17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 spans="1:17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 spans="1:17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 spans="1:17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 spans="1:17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 spans="1:17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 spans="1:17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 spans="1:17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 spans="1:17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 spans="1:17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 spans="1:17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 spans="1:17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 spans="1:17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 spans="1:17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 spans="1:17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 spans="1:17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 spans="1:17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 spans="1:17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 spans="1:17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 spans="1:17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 spans="1:17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 spans="1:17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 spans="1:17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 spans="1:17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 spans="1:17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 spans="1:17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 spans="1:17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 spans="1:17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 spans="1:17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 spans="1:17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 spans="1:17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 spans="1:17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 spans="1:17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 spans="1:17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 spans="1:17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 spans="1:17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 spans="1:17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 spans="1:17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 spans="1:17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 spans="1:17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 spans="1:17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 spans="1:17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 spans="1:17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 spans="1:17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 spans="1:17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 spans="1:17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 spans="1:17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 spans="1:17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 spans="1:17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 spans="1:17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 spans="1:17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 spans="1:17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 spans="1:17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 spans="1:17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 spans="1:17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 spans="1:17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 spans="1:17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 spans="1:17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 spans="1:17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 spans="1:17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 spans="1:17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 spans="1:17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 spans="1:17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 spans="1:17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 spans="1:17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 spans="1:17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 spans="1:17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 spans="1:17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 spans="1:17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 spans="1:17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 spans="1:17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 spans="1:17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 spans="1:17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 spans="1:17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</sheetData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0" width="23.875" customWidth="1"/>
    <col min="11" max="11" width="11.875" customWidth="1"/>
    <col min="12" max="13" width="21.375" customWidth="1"/>
    <col min="14" max="26" width="11.125" customWidth="1"/>
  </cols>
  <sheetData>
    <row r="1" spans="1:25" ht="18.75" customHeight="1" x14ac:dyDescent="0.3">
      <c r="A1" s="1" t="s">
        <v>0</v>
      </c>
      <c r="B1" s="2" t="s">
        <v>52</v>
      </c>
      <c r="C1" s="1" t="s">
        <v>2</v>
      </c>
      <c r="D1" s="3">
        <v>44607</v>
      </c>
      <c r="E1" s="1" t="s">
        <v>3</v>
      </c>
      <c r="F1" s="2" t="s">
        <v>53</v>
      </c>
      <c r="G1" s="4"/>
      <c r="H1" s="4"/>
      <c r="I1" s="4"/>
      <c r="J1" s="4"/>
      <c r="K1" s="4"/>
      <c r="L1" s="4"/>
      <c r="M1" s="4"/>
    </row>
    <row r="2" spans="1:25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</row>
    <row r="3" spans="1:25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96"/>
      <c r="J3" s="79"/>
      <c r="K3" s="4"/>
      <c r="L3" s="4"/>
    </row>
    <row r="4" spans="1:25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10</v>
      </c>
      <c r="G4" s="15"/>
      <c r="H4" s="15" t="s">
        <v>11</v>
      </c>
      <c r="I4" s="97">
        <v>5</v>
      </c>
      <c r="J4" s="19"/>
      <c r="K4" s="4"/>
      <c r="L4" s="4"/>
    </row>
    <row r="5" spans="1:25" ht="18.75" customHeight="1" x14ac:dyDescent="0.3">
      <c r="A5" s="13" t="s">
        <v>12</v>
      </c>
      <c r="B5" s="21">
        <v>44802</v>
      </c>
      <c r="C5" s="15" t="s">
        <v>13</v>
      </c>
      <c r="D5" s="16">
        <v>44610</v>
      </c>
      <c r="E5" s="15" t="s">
        <v>14</v>
      </c>
      <c r="F5" s="17" t="s">
        <v>15</v>
      </c>
      <c r="G5" s="15"/>
      <c r="H5" s="15" t="s">
        <v>16</v>
      </c>
      <c r="I5" s="98">
        <v>2</v>
      </c>
      <c r="J5" s="19"/>
      <c r="K5" s="4"/>
      <c r="L5" s="4"/>
    </row>
    <row r="6" spans="1:25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99"/>
      <c r="J6" s="8"/>
      <c r="K6" s="4"/>
      <c r="L6" s="4"/>
    </row>
    <row r="7" spans="1:25" ht="18.75" customHeight="1" x14ac:dyDescent="0.3">
      <c r="A7" s="13" t="s">
        <v>19</v>
      </c>
      <c r="B7" s="100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99"/>
      <c r="J7" s="12"/>
      <c r="K7" s="4"/>
      <c r="L7" s="4"/>
    </row>
    <row r="8" spans="1:25" ht="18.75" customHeight="1" x14ac:dyDescent="0.3">
      <c r="A8" s="13"/>
      <c r="B8" s="14"/>
      <c r="C8" s="15"/>
      <c r="D8" s="15"/>
      <c r="E8" s="15"/>
      <c r="F8" s="15"/>
      <c r="G8" s="15"/>
      <c r="H8" s="29"/>
      <c r="I8" s="101"/>
      <c r="J8" s="79"/>
      <c r="K8" s="4"/>
      <c r="L8" s="4"/>
    </row>
    <row r="9" spans="1:25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102"/>
      <c r="J9" s="80"/>
      <c r="K9" s="4"/>
      <c r="L9" s="4"/>
    </row>
    <row r="10" spans="1:25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102"/>
      <c r="J10" s="80"/>
      <c r="K10" s="4"/>
      <c r="L10" s="4"/>
    </row>
    <row r="11" spans="1:25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103"/>
      <c r="J11" s="4" t="s">
        <v>22</v>
      </c>
      <c r="K11" s="4"/>
      <c r="L11" s="4" t="s">
        <v>23</v>
      </c>
      <c r="M11" s="4"/>
      <c r="N11" s="8"/>
    </row>
    <row r="12" spans="1:25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5" ht="18.75" customHeight="1" x14ac:dyDescent="0.25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</row>
    <row r="14" spans="1:25" ht="18.75" customHeight="1" x14ac:dyDescent="0.3">
      <c r="A14" s="40" t="s">
        <v>54</v>
      </c>
      <c r="B14" s="41">
        <v>1102.7701147880819</v>
      </c>
      <c r="C14" s="42">
        <f t="shared" ref="C14:C16" si="0">((B14-AVERAGEA($B$17:$B$18))*$E$7)/($B$7*$I$4)</f>
        <v>3.2113974995756959E-3</v>
      </c>
      <c r="D14" s="42">
        <f>AVERAGEA(C14:C15)</f>
        <v>3.0486167614108143E-3</v>
      </c>
      <c r="E14" s="42">
        <f>STDEVA(C14:C15)</f>
        <v>2.3020672760587925E-4</v>
      </c>
      <c r="F14" s="43">
        <f>(E14/D14)*100</f>
        <v>7.5511861812157077</v>
      </c>
      <c r="G14" s="42">
        <f>(D14*24)</f>
        <v>7.3166802273859549E-2</v>
      </c>
      <c r="H14" s="44" t="str">
        <f>IF(F14&gt;20,"     EDIT","")</f>
        <v/>
      </c>
      <c r="I14" s="45" t="s">
        <v>55</v>
      </c>
      <c r="J14" s="46">
        <f t="shared" ref="J14:J16" si="1">B14-(AVERAGE($B$17:$B$18))</f>
        <v>1059.7611748599797</v>
      </c>
      <c r="K14" s="47">
        <f t="shared" ref="K14:K16" si="2">J14/$B$7</f>
        <v>8.0284937489392407E-4</v>
      </c>
      <c r="L14" s="47">
        <f>AVERAGE(K14:K16)</f>
        <v>1.0873111332434834E-3</v>
      </c>
      <c r="M14" s="47">
        <f>STDEV(K14:K16)</f>
        <v>5.6465671923309059E-4</v>
      </c>
      <c r="N14" s="4"/>
    </row>
    <row r="15" spans="1:25" ht="18.75" customHeight="1" x14ac:dyDescent="0.3">
      <c r="A15" s="40" t="s">
        <v>56</v>
      </c>
      <c r="B15" s="41">
        <v>995.33482759925982</v>
      </c>
      <c r="C15" s="42">
        <f t="shared" si="0"/>
        <v>2.8858360232459327E-3</v>
      </c>
      <c r="D15" s="42"/>
      <c r="E15" s="42"/>
      <c r="F15" s="48"/>
      <c r="G15" s="49"/>
      <c r="H15" s="44"/>
      <c r="I15" s="45"/>
      <c r="J15" s="46">
        <f t="shared" si="1"/>
        <v>952.32588767115772</v>
      </c>
      <c r="K15" s="47">
        <f t="shared" si="2"/>
        <v>7.2145900581148316E-4</v>
      </c>
      <c r="L15" s="50"/>
      <c r="M15" s="51"/>
      <c r="N15" s="4"/>
    </row>
    <row r="16" spans="1:25" ht="18.75" customHeight="1" x14ac:dyDescent="0.3">
      <c r="A16" s="52" t="s">
        <v>57</v>
      </c>
      <c r="B16" s="53">
        <v>2336.6739650411582</v>
      </c>
      <c r="C16" s="54">
        <f t="shared" si="0"/>
        <v>6.9505000761001705E-3</v>
      </c>
      <c r="D16" s="54"/>
      <c r="E16" s="54"/>
      <c r="F16" s="55"/>
      <c r="G16" s="56"/>
      <c r="H16" s="57"/>
      <c r="I16" s="58"/>
      <c r="J16" s="46">
        <f t="shared" si="1"/>
        <v>2293.6650251130563</v>
      </c>
      <c r="K16" s="47">
        <f t="shared" si="2"/>
        <v>1.7376250190250426E-3</v>
      </c>
      <c r="L16" s="8"/>
      <c r="M16" s="51"/>
      <c r="N16" s="4"/>
    </row>
    <row r="17" spans="1:25" ht="19.5" customHeight="1" x14ac:dyDescent="0.3">
      <c r="A17" s="59" t="s">
        <v>58</v>
      </c>
      <c r="B17" s="60">
        <v>43.879566242436141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</row>
    <row r="18" spans="1:25" ht="19.5" customHeight="1" x14ac:dyDescent="0.3">
      <c r="A18" s="40" t="s">
        <v>59</v>
      </c>
      <c r="B18" s="41">
        <v>42.138313613768041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</row>
    <row r="19" spans="1:25" ht="19.5" customHeight="1" x14ac:dyDescent="0.3">
      <c r="A19" s="28"/>
      <c r="B19" s="66">
        <f>SUM(B13:B18)</f>
        <v>4520.7967872847048</v>
      </c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96"/>
      <c r="J20" s="12"/>
      <c r="K20" s="8"/>
      <c r="L20" s="8"/>
      <c r="M20" s="51"/>
      <c r="N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10</v>
      </c>
      <c r="G21" s="15"/>
      <c r="H21" s="15" t="s">
        <v>11</v>
      </c>
      <c r="I21" s="97">
        <v>5</v>
      </c>
      <c r="J21" s="12"/>
      <c r="K21" s="8"/>
      <c r="L21" s="19"/>
      <c r="M21" s="51"/>
      <c r="N21" s="4"/>
    </row>
    <row r="22" spans="1:25" ht="18.75" customHeight="1" x14ac:dyDescent="0.3">
      <c r="A22" s="13" t="s">
        <v>12</v>
      </c>
      <c r="B22" s="21">
        <v>44802</v>
      </c>
      <c r="C22" s="15" t="s">
        <v>13</v>
      </c>
      <c r="D22" s="16">
        <v>44610</v>
      </c>
      <c r="E22" s="15" t="s">
        <v>14</v>
      </c>
      <c r="F22" s="17" t="s">
        <v>15</v>
      </c>
      <c r="G22" s="15"/>
      <c r="H22" s="15" t="s">
        <v>16</v>
      </c>
      <c r="I22" s="98">
        <v>2</v>
      </c>
      <c r="J22" s="12"/>
      <c r="K22" s="8"/>
      <c r="L22" s="8"/>
      <c r="M22" s="51"/>
      <c r="N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99"/>
      <c r="J23" s="12"/>
      <c r="K23" s="8"/>
      <c r="L23" s="26"/>
      <c r="M23" s="4"/>
      <c r="N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99"/>
      <c r="J24" s="12"/>
      <c r="K24" s="8"/>
      <c r="L24" s="71"/>
      <c r="M24" s="26"/>
      <c r="N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101"/>
      <c r="J25" s="12"/>
      <c r="K25" s="8"/>
      <c r="L25" s="72"/>
      <c r="M25" s="30"/>
      <c r="N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102"/>
      <c r="J26" s="12"/>
      <c r="K26" s="8"/>
      <c r="L26" s="4"/>
      <c r="M26" s="4"/>
      <c r="N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102"/>
      <c r="J27" s="12"/>
      <c r="K27" s="8"/>
      <c r="L27" s="74"/>
      <c r="M27" s="26"/>
      <c r="N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103"/>
      <c r="J28" s="4" t="s">
        <v>22</v>
      </c>
      <c r="K28" s="4"/>
      <c r="L28" s="4" t="s">
        <v>23</v>
      </c>
      <c r="M28" s="4"/>
      <c r="N28" s="8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25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</row>
    <row r="31" spans="1:25" ht="18.75" customHeight="1" x14ac:dyDescent="0.3">
      <c r="A31" s="40" t="s">
        <v>60</v>
      </c>
      <c r="B31" s="41">
        <v>41865.824989907771</v>
      </c>
      <c r="C31" s="42">
        <f t="shared" ref="C31:C33" si="3">((B31-AVERAGEA($B$34:$B$35))*$E$24)/($B$24*$I$21)</f>
        <v>5.0573490105440516E-2</v>
      </c>
      <c r="D31" s="42">
        <f>AVERAGEA(C31:C33)</f>
        <v>5.5184573303899122E-2</v>
      </c>
      <c r="E31" s="42">
        <f>STDEVA(C31:C33)</f>
        <v>6.8947294639419305E-3</v>
      </c>
      <c r="F31" s="43">
        <f>(E31/D31)*100</f>
        <v>12.493943599007181</v>
      </c>
      <c r="G31" s="77">
        <f>(D31*24)</f>
        <v>1.324429759293579</v>
      </c>
      <c r="H31" s="44" t="str">
        <f>IF(F31&gt;20,"     EDIT","")</f>
        <v/>
      </c>
      <c r="I31" s="45"/>
      <c r="J31" s="46">
        <f t="shared" ref="J31:J33" si="4">B31-(AVERAGE($B$34:$B$35))</f>
        <v>41723.129336988422</v>
      </c>
      <c r="K31" s="47">
        <f t="shared" ref="K31:K33" si="5">J31/$B$24</f>
        <v>1.2643372526360127E-2</v>
      </c>
      <c r="L31" s="47">
        <f>AVERAGE(K31:K33)</f>
        <v>1.3796143325974777E-2</v>
      </c>
      <c r="M31" s="47">
        <f>STDEV(K31:K33)</f>
        <v>1.7236823659854811E-3</v>
      </c>
      <c r="N31" s="4"/>
    </row>
    <row r="32" spans="1:25" ht="18.75" customHeight="1" x14ac:dyDescent="0.3">
      <c r="A32" s="40" t="s">
        <v>61</v>
      </c>
      <c r="B32" s="41">
        <v>52209.004904406589</v>
      </c>
      <c r="C32" s="42">
        <f t="shared" si="3"/>
        <v>6.3110677880590604E-2</v>
      </c>
      <c r="D32" s="42"/>
      <c r="E32" s="42"/>
      <c r="F32" s="48"/>
      <c r="G32" s="49"/>
      <c r="H32" s="44"/>
      <c r="I32" s="45"/>
      <c r="J32" s="46">
        <f t="shared" si="4"/>
        <v>52066.309251487241</v>
      </c>
      <c r="K32" s="47">
        <f t="shared" si="5"/>
        <v>1.5777669470147648E-2</v>
      </c>
      <c r="L32" s="50"/>
      <c r="M32" s="51"/>
      <c r="N32" s="4"/>
    </row>
    <row r="33" spans="1:14" ht="18.75" customHeight="1" x14ac:dyDescent="0.3">
      <c r="A33" s="52" t="s">
        <v>62</v>
      </c>
      <c r="B33" s="53">
        <v>42935.075991593993</v>
      </c>
      <c r="C33" s="54">
        <f t="shared" si="3"/>
        <v>5.1869551925666238E-2</v>
      </c>
      <c r="D33" s="54"/>
      <c r="E33" s="54"/>
      <c r="F33" s="55"/>
      <c r="G33" s="56"/>
      <c r="H33" s="57"/>
      <c r="I33" s="58"/>
      <c r="J33" s="46">
        <f t="shared" si="4"/>
        <v>42792.380338674644</v>
      </c>
      <c r="K33" s="47">
        <f t="shared" si="5"/>
        <v>1.2967387981416559E-2</v>
      </c>
      <c r="L33" s="8"/>
      <c r="M33" s="51"/>
      <c r="N33" s="4"/>
    </row>
    <row r="34" spans="1:14" ht="18.75" customHeight="1" x14ac:dyDescent="0.3">
      <c r="A34" s="59" t="s">
        <v>63</v>
      </c>
      <c r="B34" s="60">
        <v>139.99671134491533</v>
      </c>
      <c r="C34" s="61"/>
      <c r="D34" s="61"/>
      <c r="E34" s="61"/>
      <c r="F34" s="62"/>
      <c r="G34" s="63"/>
      <c r="H34" s="64"/>
      <c r="I34" s="38"/>
      <c r="J34" s="12"/>
      <c r="K34" s="4"/>
      <c r="L34" s="4"/>
    </row>
    <row r="35" spans="1:14" ht="18.75" customHeight="1" x14ac:dyDescent="0.3">
      <c r="A35" s="40" t="s">
        <v>64</v>
      </c>
      <c r="B35" s="41">
        <v>145.39459449378643</v>
      </c>
      <c r="C35" s="65"/>
      <c r="D35" s="42"/>
      <c r="E35" s="42"/>
      <c r="F35" s="48"/>
      <c r="G35" s="49"/>
      <c r="H35" s="44"/>
      <c r="I35" s="45"/>
      <c r="J35" s="79"/>
      <c r="K35" s="4"/>
      <c r="L35" s="4"/>
    </row>
    <row r="36" spans="1:14" ht="18.75" customHeight="1" x14ac:dyDescent="0.3">
      <c r="A36" s="19"/>
      <c r="B36" s="23">
        <f>SUM(B31:B35)</f>
        <v>137295.29719174706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</row>
    <row r="41" spans="1:14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</row>
    <row r="42" spans="1:14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</row>
    <row r="43" spans="1:14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</row>
    <row r="44" spans="1:14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</row>
    <row r="45" spans="1:14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</row>
    <row r="46" spans="1:14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</row>
    <row r="47" spans="1:14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</row>
    <row r="48" spans="1:14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</row>
    <row r="49" spans="1:13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</row>
    <row r="50" spans="1:13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</row>
    <row r="51" spans="1:13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</row>
    <row r="52" spans="1:13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</row>
    <row r="53" spans="1:13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</row>
    <row r="54" spans="1:13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</row>
    <row r="55" spans="1:13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</row>
    <row r="56" spans="1:13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</row>
    <row r="57" spans="1:13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</row>
    <row r="58" spans="1:13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</row>
    <row r="59" spans="1:13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</row>
    <row r="60" spans="1:13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</row>
    <row r="61" spans="1:13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</row>
    <row r="62" spans="1:13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</row>
    <row r="63" spans="1:13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</row>
    <row r="64" spans="1:13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</row>
    <row r="65" spans="1:13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</row>
    <row r="66" spans="1:13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4"/>
      <c r="M66" s="4"/>
    </row>
    <row r="67" spans="1:13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4"/>
      <c r="M67" s="4"/>
    </row>
    <row r="68" spans="1:13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4"/>
      <c r="M68" s="4"/>
    </row>
    <row r="69" spans="1:13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4"/>
      <c r="M69" s="4"/>
    </row>
    <row r="70" spans="1:13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4"/>
      <c r="M70" s="4"/>
    </row>
    <row r="71" spans="1:13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4"/>
      <c r="M71" s="4"/>
    </row>
    <row r="72" spans="1:13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4"/>
      <c r="M72" s="4"/>
    </row>
    <row r="73" spans="1:13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4"/>
      <c r="M73" s="4"/>
    </row>
    <row r="74" spans="1:13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4"/>
      <c r="M74" s="4"/>
    </row>
    <row r="75" spans="1:13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4"/>
      <c r="M75" s="4"/>
    </row>
    <row r="76" spans="1:13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4"/>
      <c r="M76" s="4"/>
    </row>
    <row r="77" spans="1:13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4"/>
      <c r="M77" s="4"/>
    </row>
    <row r="78" spans="1:13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spans="1:13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spans="1:13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spans="1:13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spans="1:13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</row>
    <row r="91" spans="1:13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</row>
    <row r="92" spans="1:13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</row>
    <row r="93" spans="1:13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</row>
    <row r="94" spans="1:13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</row>
    <row r="95" spans="1:13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</row>
    <row r="96" spans="1:13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</row>
    <row r="97" spans="1:13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</row>
    <row r="98" spans="1:13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</row>
    <row r="99" spans="1:13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</row>
    <row r="100" spans="1:13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</row>
    <row r="101" spans="1:13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</row>
    <row r="102" spans="1:13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</row>
    <row r="103" spans="1:13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</row>
    <row r="104" spans="1:13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</row>
    <row r="105" spans="1:13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</row>
    <row r="106" spans="1:13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</row>
    <row r="107" spans="1:13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</row>
    <row r="108" spans="1:13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</row>
    <row r="109" spans="1:13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</row>
    <row r="110" spans="1:13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</row>
    <row r="111" spans="1:13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</row>
    <row r="112" spans="1:13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</row>
    <row r="113" spans="1:13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</row>
    <row r="114" spans="1:13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</row>
    <row r="115" spans="1:13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</row>
    <row r="116" spans="1:13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</row>
    <row r="117" spans="1:13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</row>
    <row r="118" spans="1:13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</row>
    <row r="119" spans="1:13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</row>
    <row r="120" spans="1:13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</row>
    <row r="121" spans="1:13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</row>
    <row r="122" spans="1:13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4"/>
      <c r="M122" s="4"/>
    </row>
    <row r="123" spans="1:13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4"/>
      <c r="M123" s="4"/>
    </row>
    <row r="124" spans="1:13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4"/>
      <c r="M124" s="4"/>
    </row>
    <row r="125" spans="1:13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4"/>
      <c r="M125" s="4"/>
    </row>
    <row r="126" spans="1:13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4"/>
      <c r="M126" s="4"/>
    </row>
    <row r="127" spans="1:13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4"/>
      <c r="M127" s="4"/>
    </row>
    <row r="128" spans="1:13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4"/>
      <c r="M128" s="4"/>
    </row>
    <row r="129" spans="1:13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4"/>
      <c r="M129" s="4"/>
    </row>
    <row r="130" spans="1:13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4"/>
      <c r="M130" s="4"/>
    </row>
    <row r="131" spans="1:13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4"/>
      <c r="M131" s="4"/>
    </row>
    <row r="132" spans="1:13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4"/>
      <c r="M132" s="4"/>
    </row>
    <row r="133" spans="1:13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4"/>
      <c r="M133" s="4"/>
    </row>
    <row r="134" spans="1:13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spans="1:13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spans="1:13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spans="1:13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</row>
    <row r="144" spans="1:13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</row>
    <row r="145" spans="1:13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</row>
    <row r="146" spans="1:13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spans="1:13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spans="1:13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spans="1:13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spans="1:13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spans="1:13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spans="1:13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spans="1:13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spans="1:13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spans="1:13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spans="1:13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spans="1:13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spans="1:13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spans="1:13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spans="1:13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spans="1:13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spans="1:13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spans="1:13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spans="1:13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spans="1:13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spans="1:13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spans="1:13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spans="1:13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spans="1:13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spans="1:13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spans="1:13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spans="1:13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spans="1:13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spans="1:13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spans="1:13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spans="1:13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spans="1:13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spans="1:13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spans="1:13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spans="1:13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spans="1:13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spans="1:13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spans="1:13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spans="1:13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spans="1:13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spans="1:13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spans="1:13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spans="1:13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spans="1:13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spans="1:13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spans="1:13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spans="1:13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spans="1:13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spans="1:13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spans="1:13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spans="1:13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spans="1:13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spans="1:13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spans="1:13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spans="1:13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spans="1:13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spans="1:13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spans="1:13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spans="1:13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spans="1:13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spans="1:13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spans="1:13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spans="1:13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spans="1:13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spans="1:13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spans="1:13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spans="1:13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spans="1:13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spans="1:13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spans="1:13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spans="1:13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spans="1:13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spans="1:13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spans="1:13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spans="1:13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spans="1:13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spans="1:13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spans="1:13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spans="1:13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spans="1:13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spans="1:13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spans="1:13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spans="1:13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spans="1:13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spans="1:13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spans="1:13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spans="1:13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spans="1:13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spans="1:13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spans="1:13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spans="1:13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spans="1:13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spans="1:13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spans="1:13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spans="1:13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spans="1:13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spans="1:13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spans="1:13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spans="1:13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spans="1:13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spans="1:13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spans="1:13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spans="1:13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spans="1:13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spans="1:13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spans="1:13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spans="1:13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spans="1:13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spans="1:13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spans="1:13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spans="1:13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spans="1:13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spans="1:13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spans="1:13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spans="1:13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spans="1:13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spans="1:13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spans="1:13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spans="1:13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spans="1:13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spans="1:13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spans="1:13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spans="1:13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spans="1:13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spans="1:13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spans="1:13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spans="1:13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spans="1:13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spans="1:13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spans="1:13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spans="1:13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spans="1:13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spans="1:13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spans="1:13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spans="1:13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spans="1:13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spans="1:13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spans="1:13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spans="1:13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spans="1:13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spans="1:13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spans="1:13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spans="1:13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spans="1:13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spans="1:13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spans="1:13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spans="1:13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spans="1:13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spans="1:13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spans="1:13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spans="1:13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spans="1:13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spans="1:13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spans="1:13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spans="1:13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spans="1:13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spans="1:13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spans="1:13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spans="1:13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spans="1:13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spans="1:13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spans="1:13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spans="1:13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spans="1:13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spans="1:13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spans="1:13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spans="1:13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spans="1:13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spans="1:13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spans="1:13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spans="1:13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spans="1:13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spans="1:13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spans="1:13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spans="1:13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spans="1:13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spans="1:13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spans="1:13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spans="1:13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spans="1:13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spans="1:13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spans="1:13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spans="1:13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spans="1:13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spans="1:13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spans="1:13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spans="1:13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spans="1:13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spans="1:13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spans="1:13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spans="1:13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spans="1:13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spans="1:13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spans="1:13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spans="1:13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spans="1:13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spans="1:13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spans="1:13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spans="1:13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spans="1:13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spans="1:13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spans="1:13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spans="1:13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spans="1:13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spans="1:13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spans="1:13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spans="1:13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spans="1:13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spans="1:13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spans="1:13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spans="1:13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spans="1:13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spans="1:13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spans="1:13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spans="1:13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spans="1:13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spans="1:13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spans="1:13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spans="1:13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spans="1:13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spans="1:13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spans="1:13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spans="1:13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spans="1:13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spans="1:13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spans="1:13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spans="1:13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spans="1:13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spans="1:13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spans="1:13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spans="1:13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spans="1:13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spans="1:13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spans="1:13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spans="1:13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spans="1:13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spans="1:13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spans="1:13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spans="1:13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spans="1:13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spans="1:13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spans="1:13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spans="1:13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spans="1:13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spans="1:13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spans="1:13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spans="1:13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spans="1:13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spans="1:13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spans="1:13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spans="1:13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spans="1:13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spans="1:13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spans="1:13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spans="1:13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spans="1:13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spans="1:13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spans="1:13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spans="1:13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spans="1:13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spans="1:13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spans="1:13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spans="1:13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spans="1:13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spans="1:13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spans="1:13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spans="1:13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spans="1:13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spans="1:13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spans="1:13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spans="1:13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spans="1:13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spans="1:13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spans="1:13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spans="1:13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spans="1:13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spans="1:13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spans="1:13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spans="1:13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spans="1:13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spans="1:13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spans="1:13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spans="1:13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spans="1:13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spans="1:13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spans="1:13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spans="1:13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spans="1:13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spans="1:13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spans="1:13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spans="1:13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spans="1:13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spans="1:13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spans="1:13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spans="1:13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spans="1:13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spans="1:13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spans="1:13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spans="1:13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spans="1:13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spans="1:13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spans="1:13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spans="1:13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spans="1:13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spans="1:13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spans="1:13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spans="1:13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spans="1:13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spans="1:13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spans="1:13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spans="1:13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spans="1:13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spans="1:13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spans="1:13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spans="1:13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spans="1:13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spans="1:13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spans="1:13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spans="1:13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spans="1:13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spans="1:13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spans="1:13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spans="1:13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spans="1:13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spans="1:13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spans="1:13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spans="1:13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spans="1:13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spans="1:13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spans="1:13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spans="1:13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spans="1:13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spans="1:13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spans="1:13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spans="1:13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spans="1:13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spans="1:13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spans="1:13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spans="1:13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spans="1:13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spans="1:13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spans="1:13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spans="1:13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spans="1:13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spans="1:13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spans="1:13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spans="1:13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spans="1:13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spans="1:13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spans="1:13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spans="1:13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spans="1:13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spans="1:13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spans="1:13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spans="1:13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spans="1:13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spans="1:13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spans="1:13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spans="1:13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spans="1:13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spans="1:13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spans="1:13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spans="1:13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 spans="1:13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  <row r="934" spans="1:13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</row>
    <row r="936" spans="1:13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</row>
    <row r="938" spans="1:13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</row>
    <row r="940" spans="1:13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</row>
    <row r="942" spans="1:13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</row>
    <row r="944" spans="1:13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</row>
    <row r="946" spans="1:13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</row>
    <row r="948" spans="1:13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</row>
    <row r="950" spans="1:13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</row>
    <row r="952" spans="1:13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</row>
    <row r="954" spans="1:13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</row>
    <row r="956" spans="1:13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</row>
    <row r="958" spans="1:13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</row>
    <row r="960" spans="1:13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</row>
    <row r="962" spans="1:13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</row>
    <row r="964" spans="1:13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</row>
    <row r="966" spans="1:13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</row>
    <row r="968" spans="1:13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</row>
    <row r="970" spans="1:13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</row>
    <row r="972" spans="1:13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</row>
    <row r="974" spans="1:13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</row>
    <row r="976" spans="1:13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</row>
    <row r="977" spans="1:13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</row>
    <row r="978" spans="1:13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</row>
    <row r="979" spans="1:13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</row>
    <row r="980" spans="1:13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</row>
    <row r="981" spans="1:13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</row>
    <row r="982" spans="1:13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</row>
    <row r="983" spans="1:13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</row>
    <row r="984" spans="1:13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</row>
    <row r="985" spans="1:13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</row>
    <row r="986" spans="1:13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</row>
    <row r="987" spans="1:13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</row>
    <row r="988" spans="1:13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</row>
    <row r="989" spans="1:13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</row>
    <row r="990" spans="1:13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</row>
    <row r="991" spans="1:13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</row>
    <row r="992" spans="1:13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</row>
    <row r="993" spans="1:13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</row>
    <row r="994" spans="1:13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</row>
    <row r="995" spans="1:13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</row>
    <row r="996" spans="1:13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</row>
    <row r="997" spans="1:13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</row>
    <row r="998" spans="1:13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</row>
    <row r="999" spans="1:13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</row>
    <row r="1000" spans="1:13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</row>
  </sheetData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0"/>
  <sheetViews>
    <sheetView workbookViewId="0"/>
  </sheetViews>
  <sheetFormatPr defaultColWidth="11.125" defaultRowHeight="15" customHeight="1" x14ac:dyDescent="0.25"/>
  <cols>
    <col min="1" max="1" width="20" customWidth="1"/>
    <col min="2" max="2" width="27.5" customWidth="1"/>
    <col min="3" max="3" width="20.375" customWidth="1"/>
    <col min="4" max="4" width="12.125" customWidth="1"/>
    <col min="5" max="5" width="17.625" customWidth="1"/>
    <col min="6" max="6" width="12.875" customWidth="1"/>
    <col min="7" max="7" width="12.125" customWidth="1"/>
    <col min="8" max="8" width="13.375" customWidth="1"/>
    <col min="9" max="9" width="23.625" customWidth="1"/>
    <col min="10" max="10" width="23.875" customWidth="1"/>
    <col min="11" max="11" width="11.875" customWidth="1"/>
    <col min="12" max="15" width="21.375" customWidth="1"/>
    <col min="16" max="26" width="11.125" customWidth="1"/>
  </cols>
  <sheetData>
    <row r="1" spans="1:25" ht="18.75" customHeight="1" x14ac:dyDescent="0.3">
      <c r="A1" s="1" t="s">
        <v>0</v>
      </c>
      <c r="B1" s="2" t="s">
        <v>65</v>
      </c>
      <c r="C1" s="1" t="s">
        <v>2</v>
      </c>
      <c r="D1" s="3">
        <v>44609</v>
      </c>
      <c r="E1" s="1" t="s">
        <v>3</v>
      </c>
      <c r="F1" s="2" t="s">
        <v>66</v>
      </c>
      <c r="G1" s="4"/>
      <c r="H1" s="4"/>
      <c r="I1" s="4"/>
      <c r="J1" s="4"/>
      <c r="K1" s="4"/>
      <c r="L1" s="4"/>
      <c r="M1" s="4"/>
      <c r="N1" s="4"/>
      <c r="O1" s="4"/>
    </row>
    <row r="2" spans="1:25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</row>
    <row r="3" spans="1:25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96"/>
      <c r="J3" s="79"/>
      <c r="K3" s="4"/>
      <c r="L3" s="4"/>
      <c r="M3" s="4"/>
      <c r="N3" s="4"/>
    </row>
    <row r="4" spans="1:25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67</v>
      </c>
      <c r="G4" s="15"/>
      <c r="H4" s="15" t="s">
        <v>11</v>
      </c>
      <c r="I4" s="97">
        <v>4</v>
      </c>
      <c r="J4" s="19"/>
      <c r="K4" s="4"/>
      <c r="L4" s="4"/>
      <c r="M4" s="4"/>
      <c r="N4" s="4"/>
    </row>
    <row r="5" spans="1:25" ht="18.75" customHeight="1" x14ac:dyDescent="0.3">
      <c r="A5" s="13" t="s">
        <v>12</v>
      </c>
      <c r="B5" s="21">
        <v>44831</v>
      </c>
      <c r="C5" s="15" t="s">
        <v>13</v>
      </c>
      <c r="D5" s="16">
        <v>44609</v>
      </c>
      <c r="E5" s="15" t="s">
        <v>14</v>
      </c>
      <c r="F5" s="17" t="s">
        <v>68</v>
      </c>
      <c r="G5" s="15"/>
      <c r="H5" s="15" t="s">
        <v>16</v>
      </c>
      <c r="I5" s="98">
        <v>2</v>
      </c>
      <c r="J5" s="19"/>
      <c r="K5" s="4"/>
      <c r="L5" s="4"/>
      <c r="M5" s="4"/>
      <c r="N5" s="4"/>
    </row>
    <row r="6" spans="1:25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99"/>
      <c r="J6" s="8"/>
      <c r="K6" s="4"/>
      <c r="L6" s="4"/>
      <c r="M6" s="4"/>
      <c r="N6" s="4"/>
    </row>
    <row r="7" spans="1:25" ht="18.75" customHeight="1" x14ac:dyDescent="0.3">
      <c r="A7" s="13" t="s">
        <v>19</v>
      </c>
      <c r="B7" s="100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99"/>
      <c r="J7" s="12"/>
      <c r="K7" s="4"/>
      <c r="L7" s="4"/>
      <c r="M7" s="4"/>
      <c r="N7" s="4"/>
    </row>
    <row r="8" spans="1:25" ht="18.75" customHeight="1" x14ac:dyDescent="0.3">
      <c r="A8" s="13"/>
      <c r="B8" s="14"/>
      <c r="C8" s="15"/>
      <c r="D8" s="15"/>
      <c r="E8" s="15"/>
      <c r="F8" s="15"/>
      <c r="G8" s="15"/>
      <c r="H8" s="29"/>
      <c r="I8" s="101"/>
      <c r="J8" s="79"/>
      <c r="K8" s="4"/>
      <c r="L8" s="4"/>
      <c r="M8" s="4"/>
      <c r="N8" s="4"/>
    </row>
    <row r="9" spans="1:25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102"/>
      <c r="J9" s="80"/>
      <c r="K9" s="4"/>
      <c r="L9" s="4"/>
      <c r="M9" s="4"/>
      <c r="N9" s="4"/>
    </row>
    <row r="10" spans="1:25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102"/>
      <c r="J10" s="80"/>
      <c r="K10" s="4"/>
      <c r="L10" s="4"/>
      <c r="M10" s="4"/>
      <c r="N10" s="4"/>
    </row>
    <row r="11" spans="1:25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103"/>
      <c r="J11" s="4" t="s">
        <v>22</v>
      </c>
      <c r="K11" s="4"/>
      <c r="L11" s="4" t="s">
        <v>23</v>
      </c>
      <c r="M11" s="4"/>
      <c r="N11" s="8"/>
    </row>
    <row r="12" spans="1:25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5" ht="18.75" customHeight="1" x14ac:dyDescent="0.25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</row>
    <row r="14" spans="1:25" ht="18.75" customHeight="1" x14ac:dyDescent="0.3">
      <c r="A14" s="40" t="s">
        <v>69</v>
      </c>
      <c r="B14" s="41">
        <v>401.70698143373085</v>
      </c>
      <c r="C14" s="42">
        <f t="shared" ref="C14:C16" si="0">((B14-AVERAGEA($B$17:$B$18))*$E$7)/($B$7*$I$4)</f>
        <v>1.422022980078949E-3</v>
      </c>
      <c r="D14" s="42">
        <f>AVERAGEA(C14:C15)</f>
        <v>1.5575636676514093E-3</v>
      </c>
      <c r="E14" s="42">
        <f>STDEVA(C14:C15)</f>
        <v>1.9168347861834778E-4</v>
      </c>
      <c r="F14" s="43">
        <f>(E14/D14)*100</f>
        <v>12.306622361535947</v>
      </c>
      <c r="G14" s="42">
        <f>(D14*24)</f>
        <v>3.7381528023633821E-2</v>
      </c>
      <c r="H14" s="44" t="str">
        <f>IF(F14&gt;20,"     EDIT","")</f>
        <v/>
      </c>
      <c r="I14" s="45"/>
      <c r="J14" s="46">
        <f t="shared" ref="J14:J16" si="1">B14-(AVERAGE($B$17:$B$18))</f>
        <v>375.41406674084254</v>
      </c>
      <c r="K14" s="47">
        <f t="shared" ref="K14:K16" si="2">J14/$B$7</f>
        <v>2.8440459601578982E-4</v>
      </c>
      <c r="L14" s="47">
        <f>AVERAGE(K14:K16)</f>
        <v>3.1615167677079915E-4</v>
      </c>
      <c r="M14" s="47">
        <f>STDEV(K14:K16)</f>
        <v>2.8273848388057006E-5</v>
      </c>
      <c r="N14" s="4"/>
    </row>
    <row r="15" spans="1:25" ht="18.75" customHeight="1" x14ac:dyDescent="0.3">
      <c r="A15" s="40" t="s">
        <v>70</v>
      </c>
      <c r="B15" s="41">
        <v>473.27246447198985</v>
      </c>
      <c r="C15" s="42">
        <f t="shared" si="0"/>
        <v>1.6931043552238696E-3</v>
      </c>
      <c r="D15" s="42"/>
      <c r="E15" s="42"/>
      <c r="F15" s="48"/>
      <c r="G15" s="49"/>
      <c r="H15" s="44"/>
      <c r="I15" s="45"/>
      <c r="J15" s="46">
        <f t="shared" si="1"/>
        <v>446.97954977910155</v>
      </c>
      <c r="K15" s="47">
        <f t="shared" si="2"/>
        <v>3.3862087104477389E-4</v>
      </c>
      <c r="L15" s="50"/>
      <c r="M15" s="51"/>
      <c r="N15" s="4"/>
    </row>
    <row r="16" spans="1:25" ht="18.75" customHeight="1" x14ac:dyDescent="0.3">
      <c r="A16" s="40" t="s">
        <v>71</v>
      </c>
      <c r="B16" s="53">
        <v>455.85993818530886</v>
      </c>
      <c r="C16" s="54">
        <f t="shared" si="0"/>
        <v>1.627147816259169E-3</v>
      </c>
      <c r="D16" s="54"/>
      <c r="E16" s="54"/>
      <c r="F16" s="55"/>
      <c r="G16" s="56"/>
      <c r="H16" s="57"/>
      <c r="I16" s="58"/>
      <c r="J16" s="46">
        <f t="shared" si="1"/>
        <v>429.56702349242056</v>
      </c>
      <c r="K16" s="47">
        <f t="shared" si="2"/>
        <v>3.2542956325183376E-4</v>
      </c>
      <c r="L16" s="8"/>
      <c r="M16" s="51"/>
      <c r="N16" s="4"/>
    </row>
    <row r="17" spans="1:25" ht="19.5" customHeight="1" x14ac:dyDescent="0.3">
      <c r="A17" s="59" t="s">
        <v>72</v>
      </c>
      <c r="B17" s="60">
        <v>27.511791532955996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</row>
    <row r="18" spans="1:25" ht="19.5" customHeight="1" x14ac:dyDescent="0.3">
      <c r="A18" s="40" t="s">
        <v>73</v>
      </c>
      <c r="B18" s="41">
        <v>25.074037852820656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96"/>
      <c r="J20" s="12"/>
      <c r="K20" s="8"/>
      <c r="L20" s="8"/>
      <c r="M20" s="51"/>
      <c r="N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67</v>
      </c>
      <c r="G21" s="15"/>
      <c r="H21" s="15" t="s">
        <v>11</v>
      </c>
      <c r="I21" s="97">
        <v>4</v>
      </c>
      <c r="J21" s="12"/>
      <c r="K21" s="8"/>
      <c r="L21" s="19"/>
      <c r="M21" s="51"/>
      <c r="N21" s="4"/>
    </row>
    <row r="22" spans="1:25" ht="18.75" customHeight="1" x14ac:dyDescent="0.3">
      <c r="A22" s="13" t="s">
        <v>12</v>
      </c>
      <c r="B22" s="21">
        <v>44831</v>
      </c>
      <c r="C22" s="15" t="s">
        <v>13</v>
      </c>
      <c r="D22" s="16">
        <v>44609</v>
      </c>
      <c r="E22" s="15" t="s">
        <v>14</v>
      </c>
      <c r="F22" s="17" t="s">
        <v>68</v>
      </c>
      <c r="G22" s="15"/>
      <c r="H22" s="15" t="s">
        <v>16</v>
      </c>
      <c r="I22" s="98">
        <v>2</v>
      </c>
      <c r="J22" s="12"/>
      <c r="K22" s="8"/>
      <c r="L22" s="8"/>
      <c r="M22" s="51"/>
      <c r="N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99"/>
      <c r="J23" s="12"/>
      <c r="K23" s="8"/>
      <c r="L23" s="26"/>
      <c r="M23" s="4"/>
      <c r="N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99"/>
      <c r="J24" s="12"/>
      <c r="K24" s="8"/>
      <c r="L24" s="71"/>
      <c r="M24" s="26"/>
      <c r="N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101"/>
      <c r="J25" s="12"/>
      <c r="K25" s="8"/>
      <c r="L25" s="72"/>
      <c r="M25" s="30"/>
      <c r="N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102"/>
      <c r="J26" s="12"/>
      <c r="K26" s="8"/>
      <c r="L26" s="4"/>
      <c r="M26" s="4"/>
      <c r="N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102"/>
      <c r="J27" s="12"/>
      <c r="K27" s="8"/>
      <c r="L27" s="74"/>
      <c r="M27" s="26"/>
      <c r="N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103"/>
      <c r="J28" s="4" t="s">
        <v>22</v>
      </c>
      <c r="K28" s="4"/>
      <c r="L28" s="4" t="s">
        <v>23</v>
      </c>
      <c r="M28" s="4"/>
      <c r="N28" s="8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25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</row>
    <row r="31" spans="1:25" ht="18.75" customHeight="1" x14ac:dyDescent="0.3">
      <c r="A31" s="40" t="s">
        <v>74</v>
      </c>
      <c r="B31" s="41">
        <v>40639.09510048481</v>
      </c>
      <c r="C31" s="42">
        <f t="shared" ref="C31:C33" si="3">((B31-AVERAGEA($B$34:$B$35))*$E$24)/($B$24*$I$21)</f>
        <v>6.1312407143118287E-2</v>
      </c>
      <c r="D31" s="42">
        <f>AVERAGEA(C31:C33)</f>
        <v>5.8720077718265269E-2</v>
      </c>
      <c r="E31" s="42">
        <f>STDEVA(C31:C33)</f>
        <v>2.296542237253652E-3</v>
      </c>
      <c r="F31" s="43">
        <f>(E31/D31)*100</f>
        <v>3.9109999960699935</v>
      </c>
      <c r="G31" s="77">
        <f>(D31*24)</f>
        <v>1.4092818652383665</v>
      </c>
      <c r="H31" s="44" t="str">
        <f>IF(F31&gt;20,"     EDIT","")</f>
        <v/>
      </c>
      <c r="I31" s="45"/>
      <c r="J31" s="46">
        <f t="shared" ref="J31:J33" si="4">B31-(AVERAGE($B$34:$B$35))</f>
        <v>40466.188714458069</v>
      </c>
      <c r="K31" s="47">
        <f t="shared" ref="K31:K33" si="5">J31/$B$24</f>
        <v>1.2262481428623658E-2</v>
      </c>
      <c r="L31" s="47">
        <f>AVERAGE(K31:K33)</f>
        <v>1.1744015543653055E-2</v>
      </c>
      <c r="M31" s="47">
        <f>STDEV(K31:K33)</f>
        <v>4.5930844745073018E-4</v>
      </c>
      <c r="N31" s="4"/>
    </row>
    <row r="32" spans="1:25" ht="18.75" customHeight="1" x14ac:dyDescent="0.3">
      <c r="A32" s="40" t="s">
        <v>75</v>
      </c>
      <c r="B32" s="41">
        <v>38391.938933083475</v>
      </c>
      <c r="C32" s="42">
        <f t="shared" si="3"/>
        <v>5.7907625071298083E-2</v>
      </c>
      <c r="D32" s="42"/>
      <c r="E32" s="42"/>
      <c r="F32" s="48"/>
      <c r="G32" s="49"/>
      <c r="H32" s="44"/>
      <c r="I32" s="45"/>
      <c r="J32" s="46">
        <f t="shared" si="4"/>
        <v>38219.032547056733</v>
      </c>
      <c r="K32" s="47">
        <f t="shared" si="5"/>
        <v>1.1581525014259617E-2</v>
      </c>
      <c r="L32" s="50"/>
      <c r="M32" s="51"/>
      <c r="N32" s="4"/>
    </row>
    <row r="33" spans="1:15" ht="18.75" customHeight="1" x14ac:dyDescent="0.3">
      <c r="A33" s="52" t="s">
        <v>76</v>
      </c>
      <c r="B33" s="53">
        <v>37753.439006677174</v>
      </c>
      <c r="C33" s="54">
        <f t="shared" si="3"/>
        <v>5.6940200940379437E-2</v>
      </c>
      <c r="D33" s="54"/>
      <c r="E33" s="54"/>
      <c r="F33" s="55"/>
      <c r="G33" s="56"/>
      <c r="H33" s="57"/>
      <c r="I33" s="58"/>
      <c r="J33" s="46">
        <f t="shared" si="4"/>
        <v>37580.532620650432</v>
      </c>
      <c r="K33" s="47">
        <f t="shared" si="5"/>
        <v>1.1388040188075889E-2</v>
      </c>
      <c r="L33" s="8"/>
      <c r="M33" s="51"/>
      <c r="N33" s="4"/>
    </row>
    <row r="34" spans="1:15" ht="18.75" customHeight="1" x14ac:dyDescent="0.3">
      <c r="A34" s="59" t="s">
        <v>77</v>
      </c>
      <c r="B34" s="60">
        <v>170.8168828723407</v>
      </c>
      <c r="C34" s="61"/>
      <c r="D34" s="61"/>
      <c r="E34" s="61"/>
      <c r="F34" s="62"/>
      <c r="G34" s="63"/>
      <c r="H34" s="64"/>
      <c r="I34" s="38"/>
      <c r="J34" s="12"/>
      <c r="K34" s="4"/>
      <c r="L34" s="4"/>
      <c r="M34" s="4"/>
      <c r="N34" s="4"/>
    </row>
    <row r="35" spans="1:15" ht="18.75" customHeight="1" x14ac:dyDescent="0.3">
      <c r="A35" s="40" t="s">
        <v>78</v>
      </c>
      <c r="B35" s="41">
        <v>174.99588918114415</v>
      </c>
      <c r="C35" s="65"/>
      <c r="D35" s="42"/>
      <c r="E35" s="42"/>
      <c r="F35" s="48"/>
      <c r="G35" s="49"/>
      <c r="H35" s="44"/>
      <c r="I35" s="45"/>
      <c r="J35" s="79"/>
      <c r="K35" s="4"/>
      <c r="L35" s="4"/>
      <c r="M35" s="4"/>
      <c r="N35" s="4"/>
    </row>
    <row r="36" spans="1:15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</row>
    <row r="41" spans="1:15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</row>
    <row r="42" spans="1:15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</row>
    <row r="43" spans="1:15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</row>
    <row r="44" spans="1:15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</row>
    <row r="45" spans="1:15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</row>
    <row r="46" spans="1:15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</row>
    <row r="47" spans="1:15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</row>
    <row r="48" spans="1:15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</row>
    <row r="49" spans="1:15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</row>
    <row r="50" spans="1:15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</row>
    <row r="51" spans="1:15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</row>
    <row r="52" spans="1:15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</row>
    <row r="53" spans="1:15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</row>
    <row r="54" spans="1:15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</row>
    <row r="55" spans="1:15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</row>
    <row r="56" spans="1:15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</row>
    <row r="57" spans="1:15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</row>
    <row r="58" spans="1:15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</row>
    <row r="59" spans="1:15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</row>
    <row r="60" spans="1:15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</row>
    <row r="61" spans="1:15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</row>
    <row r="62" spans="1:15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</row>
    <row r="63" spans="1:15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</row>
    <row r="64" spans="1:15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</row>
    <row r="65" spans="1:15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</row>
    <row r="66" spans="1:15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4"/>
      <c r="M66" s="4"/>
      <c r="N66" s="4"/>
      <c r="O66" s="4"/>
    </row>
    <row r="67" spans="1:15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4"/>
      <c r="M67" s="4"/>
      <c r="N67" s="4"/>
      <c r="O67" s="4"/>
    </row>
    <row r="68" spans="1:15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4"/>
      <c r="M68" s="4"/>
      <c r="N68" s="4"/>
      <c r="O68" s="4"/>
    </row>
    <row r="69" spans="1:15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4"/>
      <c r="M69" s="4"/>
      <c r="N69" s="4"/>
      <c r="O69" s="4"/>
    </row>
    <row r="70" spans="1:15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4"/>
      <c r="M70" s="4"/>
      <c r="N70" s="4"/>
      <c r="O70" s="4"/>
    </row>
    <row r="71" spans="1:15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4"/>
      <c r="M71" s="4"/>
      <c r="N71" s="4"/>
      <c r="O71" s="4"/>
    </row>
    <row r="72" spans="1:15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4"/>
      <c r="M72" s="4"/>
      <c r="N72" s="4"/>
      <c r="O72" s="4"/>
    </row>
    <row r="73" spans="1:15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4"/>
      <c r="M73" s="4"/>
      <c r="N73" s="4"/>
      <c r="O73" s="4"/>
    </row>
    <row r="74" spans="1:15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4"/>
      <c r="M74" s="4"/>
      <c r="N74" s="4"/>
      <c r="O74" s="4"/>
    </row>
    <row r="75" spans="1:15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4"/>
      <c r="M75" s="4"/>
      <c r="N75" s="4"/>
      <c r="O75" s="4"/>
    </row>
    <row r="76" spans="1:15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4"/>
      <c r="M76" s="4"/>
      <c r="N76" s="4"/>
      <c r="O76" s="4"/>
    </row>
    <row r="77" spans="1:15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4"/>
      <c r="M77" s="4"/>
      <c r="N77" s="4"/>
      <c r="O77" s="4"/>
    </row>
    <row r="78" spans="1:15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1:15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1:15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1:15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</row>
    <row r="84" spans="1:15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 spans="1:15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1:15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1:15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 spans="1:15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4"/>
    </row>
    <row r="91" spans="1:15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4"/>
    </row>
    <row r="92" spans="1:15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4"/>
    </row>
    <row r="93" spans="1:15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4"/>
    </row>
    <row r="94" spans="1:15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4"/>
    </row>
    <row r="95" spans="1:15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4"/>
    </row>
    <row r="96" spans="1:15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4"/>
    </row>
    <row r="97" spans="1:15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4"/>
    </row>
    <row r="98" spans="1:15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4"/>
    </row>
    <row r="99" spans="1:15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4"/>
    </row>
    <row r="100" spans="1:15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4"/>
    </row>
    <row r="101" spans="1:15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4"/>
    </row>
    <row r="102" spans="1:15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4"/>
    </row>
    <row r="103" spans="1:15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</row>
    <row r="104" spans="1:15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</row>
    <row r="105" spans="1:15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</row>
    <row r="106" spans="1:15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</row>
    <row r="107" spans="1:15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</row>
    <row r="108" spans="1:15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</row>
    <row r="109" spans="1:15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</row>
    <row r="110" spans="1:15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</row>
    <row r="111" spans="1:15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</row>
    <row r="112" spans="1:15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</row>
    <row r="113" spans="1:15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</row>
    <row r="114" spans="1:15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</row>
    <row r="115" spans="1:15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</row>
    <row r="116" spans="1:15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</row>
    <row r="117" spans="1:15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</row>
    <row r="118" spans="1:15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</row>
    <row r="119" spans="1:15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</row>
    <row r="120" spans="1:15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</row>
    <row r="121" spans="1:15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</row>
    <row r="122" spans="1:15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4"/>
      <c r="M122" s="4"/>
      <c r="N122" s="4"/>
      <c r="O122" s="4"/>
    </row>
    <row r="123" spans="1:15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4"/>
      <c r="M123" s="4"/>
      <c r="N123" s="4"/>
      <c r="O123" s="4"/>
    </row>
    <row r="124" spans="1:15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4"/>
      <c r="M124" s="4"/>
      <c r="N124" s="4"/>
      <c r="O124" s="4"/>
    </row>
    <row r="125" spans="1:15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4"/>
      <c r="M125" s="4"/>
      <c r="N125" s="4"/>
      <c r="O125" s="4"/>
    </row>
    <row r="126" spans="1:15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4"/>
      <c r="M126" s="4"/>
      <c r="N126" s="4"/>
      <c r="O126" s="4"/>
    </row>
    <row r="127" spans="1:15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4"/>
      <c r="M127" s="4"/>
      <c r="N127" s="4"/>
      <c r="O127" s="4"/>
    </row>
    <row r="128" spans="1:15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4"/>
      <c r="M128" s="4"/>
      <c r="N128" s="4"/>
      <c r="O128" s="4"/>
    </row>
    <row r="129" spans="1:15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4"/>
      <c r="M129" s="4"/>
      <c r="N129" s="4"/>
      <c r="O129" s="4"/>
    </row>
    <row r="130" spans="1:15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4"/>
      <c r="M130" s="4"/>
      <c r="N130" s="4"/>
      <c r="O130" s="4"/>
    </row>
    <row r="131" spans="1:15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4"/>
      <c r="M131" s="4"/>
      <c r="N131" s="4"/>
      <c r="O131" s="4"/>
    </row>
    <row r="132" spans="1:15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4"/>
      <c r="M132" s="4"/>
      <c r="N132" s="4"/>
      <c r="O132" s="4"/>
    </row>
    <row r="133" spans="1:15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4"/>
      <c r="M133" s="4"/>
      <c r="N133" s="4"/>
      <c r="O133" s="4"/>
    </row>
    <row r="134" spans="1:15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 spans="1:15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</row>
    <row r="136" spans="1:15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</row>
    <row r="137" spans="1:15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</row>
    <row r="138" spans="1:15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</row>
    <row r="139" spans="1:15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 spans="1:15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</row>
    <row r="141" spans="1:15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</row>
    <row r="142" spans="1:15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</row>
    <row r="144" spans="1:15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</row>
    <row r="145" spans="1:15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</row>
    <row r="146" spans="1:15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</row>
    <row r="147" spans="1:15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</row>
    <row r="148" spans="1:15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 spans="1:15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</row>
    <row r="150" spans="1:15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 spans="1:15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</row>
    <row r="152" spans="1:15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</row>
    <row r="153" spans="1:15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1:15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 spans="1:15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</row>
    <row r="156" spans="1:15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 spans="1:15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</row>
    <row r="158" spans="1:15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 spans="1:15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</row>
    <row r="160" spans="1:15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 spans="1:15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 spans="1:15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 spans="1:15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</row>
    <row r="164" spans="1:15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 spans="1:15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 spans="1:15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1:15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 spans="1:15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1:15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</row>
    <row r="170" spans="1:15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 spans="1:15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</row>
    <row r="172" spans="1:15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1:15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 spans="1:15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 spans="1:15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 spans="1:15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</row>
    <row r="178" spans="1:15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 spans="1:15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</row>
    <row r="180" spans="1:15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1:15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</row>
    <row r="182" spans="1:15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 spans="1:15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</row>
    <row r="184" spans="1:15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 spans="1:15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</row>
    <row r="186" spans="1:15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 spans="1:15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 spans="1:15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</row>
    <row r="189" spans="1:15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</row>
    <row r="190" spans="1:15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</row>
    <row r="191" spans="1:15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</row>
    <row r="192" spans="1:15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</row>
    <row r="194" spans="1:15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 spans="1:15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 spans="1:15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 spans="1:15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</row>
    <row r="198" spans="1:15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</row>
    <row r="200" spans="1:15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 spans="1:15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 spans="1:15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 spans="1:15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</row>
    <row r="206" spans="1:15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 spans="1:15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</row>
    <row r="208" spans="1:15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 spans="1:15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</row>
    <row r="210" spans="1:15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 spans="1:15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</row>
    <row r="212" spans="1:15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 spans="1:15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</row>
    <row r="214" spans="1:15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1:15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 spans="1:15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 spans="1:15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</row>
    <row r="218" spans="1:15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 spans="1:15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 spans="1:15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 spans="1:15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</row>
    <row r="222" spans="1:15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1:15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 spans="1:15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 spans="1:15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</row>
    <row r="228" spans="1:15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 spans="1:15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 spans="1:15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</row>
    <row r="234" spans="1:15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</row>
    <row r="236" spans="1:15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 spans="1:15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</row>
    <row r="238" spans="1:15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 spans="1:15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</row>
    <row r="240" spans="1:15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 spans="1:15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</row>
    <row r="242" spans="1:15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 spans="1:15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</row>
    <row r="244" spans="1:15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 spans="1:15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</row>
    <row r="246" spans="1:15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 spans="1:15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 spans="1:15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 spans="1:15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</row>
    <row r="250" spans="1:15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1:15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</row>
    <row r="252" spans="1:15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 spans="1:15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</row>
    <row r="254" spans="1:15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</row>
    <row r="256" spans="1:15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 spans="1:15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 spans="1:15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</row>
    <row r="260" spans="1:15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 spans="1:15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</row>
    <row r="262" spans="1:15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</row>
    <row r="264" spans="1:15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1:15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 spans="1:15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 spans="1:15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 spans="1:15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</row>
    <row r="270" spans="1:15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 spans="1:15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</row>
    <row r="274" spans="1:15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 spans="1:15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</row>
    <row r="278" spans="1:15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</row>
    <row r="280" spans="1:15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 spans="1:15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</row>
    <row r="282" spans="1:15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 spans="1:15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</row>
    <row r="286" spans="1:15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 spans="1:15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</row>
    <row r="288" spans="1:15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 spans="1:15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 spans="1:15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 spans="1:15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</row>
    <row r="292" spans="1:15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 spans="1:15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</row>
    <row r="294" spans="1:15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1:15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</row>
    <row r="296" spans="1:15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</row>
    <row r="297" spans="1:15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</row>
    <row r="298" spans="1:15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 spans="1:15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</row>
    <row r="300" spans="1:15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 spans="1:15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 spans="1:15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 spans="1:15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</row>
    <row r="304" spans="1:15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</row>
    <row r="305" spans="1:15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</row>
    <row r="306" spans="1:15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 spans="1:15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</row>
    <row r="308" spans="1:15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 spans="1:15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</row>
    <row r="310" spans="1:15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 spans="1:15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</row>
    <row r="312" spans="1:15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 spans="1:15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 spans="1:15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</row>
    <row r="316" spans="1:15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 spans="1:15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</row>
    <row r="318" spans="1:15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 spans="1:15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</row>
    <row r="320" spans="1:15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 spans="1:15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</row>
    <row r="322" spans="1:15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</row>
    <row r="324" spans="1:15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 spans="1:15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</row>
    <row r="326" spans="1:15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</row>
    <row r="328" spans="1:15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 spans="1:15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</row>
    <row r="330" spans="1:15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</row>
    <row r="332" spans="1:15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 spans="1:15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</row>
    <row r="334" spans="1:15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 spans="1:15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</row>
    <row r="336" spans="1:15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 spans="1:15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</row>
    <row r="338" spans="1:15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 spans="1:15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</row>
    <row r="340" spans="1:15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</row>
    <row r="342" spans="1:15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 spans="1:15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 spans="1:15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 spans="1:15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</row>
    <row r="346" spans="1:15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 spans="1:15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</row>
    <row r="348" spans="1:15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</row>
    <row r="349" spans="1:15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 spans="1:15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 spans="1:15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</row>
    <row r="352" spans="1:15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</row>
    <row r="353" spans="1:15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</row>
    <row r="354" spans="1:15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 spans="1:15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</row>
    <row r="356" spans="1:15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</row>
    <row r="357" spans="1:15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</row>
    <row r="358" spans="1:15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</row>
    <row r="359" spans="1:15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</row>
    <row r="360" spans="1:15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</row>
    <row r="362" spans="1:15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 spans="1:15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</row>
    <row r="364" spans="1:15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1:15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</row>
    <row r="366" spans="1:15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 spans="1:15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 spans="1:15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 spans="1:15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</row>
    <row r="370" spans="1:15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 spans="1:15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</row>
    <row r="372" spans="1:15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 spans="1:15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</row>
    <row r="374" spans="1:15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</row>
    <row r="375" spans="1:15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</row>
    <row r="376" spans="1:15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1:15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</row>
    <row r="378" spans="1:15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1:15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</row>
    <row r="380" spans="1:15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1:15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</row>
    <row r="382" spans="1:15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1:15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</row>
    <row r="384" spans="1:15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1:15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</row>
    <row r="386" spans="1:15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 spans="1:15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</row>
    <row r="388" spans="1:15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 spans="1:15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</row>
    <row r="390" spans="1:15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 spans="1:15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 spans="1:15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 spans="1:15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</row>
    <row r="394" spans="1:15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 spans="1:15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 spans="1:15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 spans="1:15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 spans="1:15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 spans="1:15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 spans="1:15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 spans="1:15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</row>
    <row r="402" spans="1:15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 spans="1:15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</row>
    <row r="404" spans="1:15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 spans="1:15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</row>
    <row r="406" spans="1:15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 spans="1:15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</row>
    <row r="408" spans="1:15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 spans="1:15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</row>
    <row r="410" spans="1:15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 spans="1:15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</row>
    <row r="412" spans="1:15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 spans="1:15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</row>
    <row r="414" spans="1:15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 spans="1:15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</row>
    <row r="416" spans="1:15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1:15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</row>
    <row r="418" spans="1:15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 spans="1:15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</row>
    <row r="420" spans="1:15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 spans="1:15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</row>
    <row r="422" spans="1:15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1:15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</row>
    <row r="424" spans="1:15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 spans="1:15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</row>
    <row r="426" spans="1:15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1:15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</row>
    <row r="428" spans="1:15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 spans="1:15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</row>
    <row r="430" spans="1:15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 spans="1:15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 spans="1:15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 spans="1:15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</row>
    <row r="434" spans="1:15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1:15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</row>
    <row r="436" spans="1:15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</row>
    <row r="438" spans="1:15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 spans="1:15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 spans="1:15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 spans="1:15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</row>
    <row r="442" spans="1:15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 spans="1:15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</row>
    <row r="444" spans="1:15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 spans="1:15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 spans="1:15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 spans="1:15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</row>
    <row r="448" spans="1:15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 spans="1:15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</row>
    <row r="450" spans="1:15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 spans="1:15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 spans="1:15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 spans="1:15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</row>
    <row r="454" spans="1:15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 spans="1:15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</row>
    <row r="456" spans="1:15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 spans="1:15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</row>
    <row r="458" spans="1:15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 spans="1:15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</row>
    <row r="460" spans="1:15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 spans="1:15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</row>
    <row r="462" spans="1:15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 spans="1:15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</row>
    <row r="464" spans="1:15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 spans="1:15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</row>
    <row r="466" spans="1:15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 spans="1:15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 spans="1:15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 spans="1:15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</row>
    <row r="470" spans="1:15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 spans="1:15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</row>
    <row r="472" spans="1:15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 spans="1:15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</row>
    <row r="474" spans="1:15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 spans="1:15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</row>
    <row r="476" spans="1:15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 spans="1:15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</row>
    <row r="478" spans="1:15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 spans="1:15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</row>
    <row r="480" spans="1:15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1:15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</row>
    <row r="482" spans="1:15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 spans="1:15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</row>
    <row r="484" spans="1:15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</row>
    <row r="485" spans="1:15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</row>
    <row r="486" spans="1:15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 spans="1:15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 spans="1:15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 spans="1:15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</row>
    <row r="490" spans="1:15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 spans="1:15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</row>
    <row r="492" spans="1:15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</row>
    <row r="493" spans="1:15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</row>
    <row r="494" spans="1:15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</row>
    <row r="495" spans="1:15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 spans="1:15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 spans="1:15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 spans="1:15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</row>
    <row r="500" spans="1:15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 spans="1:15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</row>
    <row r="502" spans="1:15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</row>
    <row r="503" spans="1:15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</row>
    <row r="504" spans="1:15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 spans="1:15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</row>
    <row r="506" spans="1:15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 spans="1:15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</row>
    <row r="508" spans="1:15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</row>
    <row r="509" spans="1:15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</row>
    <row r="510" spans="1:15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 spans="1:15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</row>
    <row r="512" spans="1:15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 spans="1:15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</row>
    <row r="514" spans="1:15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 spans="1:15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</row>
    <row r="516" spans="1:15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 spans="1:15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 spans="1:15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</row>
    <row r="520" spans="1:15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 spans="1:15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</row>
    <row r="522" spans="1:15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 spans="1:15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</row>
    <row r="524" spans="1:15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 spans="1:15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 spans="1:15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</row>
    <row r="528" spans="1:15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 spans="1:15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 spans="1:15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 spans="1:15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</row>
    <row r="534" spans="1:15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</row>
    <row r="535" spans="1:15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</row>
    <row r="536" spans="1:15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 spans="1:15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</row>
    <row r="538" spans="1:15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 spans="1:15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</row>
    <row r="540" spans="1:15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</row>
    <row r="542" spans="1:15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</row>
    <row r="543" spans="1:15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</row>
    <row r="544" spans="1:15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 spans="1:15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 spans="1:15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 spans="1:15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</row>
    <row r="548" spans="1:15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</row>
    <row r="550" spans="1:15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</row>
    <row r="552" spans="1:15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</row>
    <row r="554" spans="1:15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1:15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</row>
    <row r="556" spans="1:15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 spans="1:15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</row>
    <row r="558" spans="1:15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 spans="1:15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</row>
    <row r="560" spans="1:15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</row>
    <row r="561" spans="1:15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</row>
    <row r="562" spans="1:15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 spans="1:15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 spans="1:15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</row>
    <row r="566" spans="1:15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 spans="1:15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</row>
    <row r="568" spans="1:15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 spans="1:15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</row>
    <row r="570" spans="1:15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 spans="1:15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</row>
    <row r="572" spans="1:15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 spans="1:15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 spans="1:15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 spans="1:15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</row>
    <row r="576" spans="1:15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 spans="1:15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</row>
    <row r="578" spans="1:15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 spans="1:15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 spans="1:15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 spans="1:15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1:15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</row>
    <row r="584" spans="1:15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 spans="1:15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</row>
    <row r="586" spans="1:15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 spans="1:15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</row>
    <row r="588" spans="1:15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 spans="1:15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</row>
    <row r="590" spans="1:15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 spans="1:15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</row>
    <row r="592" spans="1:15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 spans="1:15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</row>
    <row r="594" spans="1:15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 spans="1:15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</row>
    <row r="596" spans="1:15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</row>
    <row r="598" spans="1:15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 spans="1:15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</row>
    <row r="600" spans="1:15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 spans="1:15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</row>
    <row r="602" spans="1:15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 spans="1:15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</row>
    <row r="604" spans="1:15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 spans="1:15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 spans="1:15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 spans="1:15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</row>
    <row r="608" spans="1:15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 spans="1:15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 spans="1:15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 spans="1:15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</row>
    <row r="612" spans="1:15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 spans="1:15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</row>
    <row r="614" spans="1:15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 spans="1:15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</row>
    <row r="616" spans="1:15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</row>
    <row r="617" spans="1:15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</row>
    <row r="618" spans="1:15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 spans="1:15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</row>
    <row r="620" spans="1:15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 spans="1:15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 spans="1:15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 spans="1:15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</row>
    <row r="624" spans="1:15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 spans="1:15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</row>
    <row r="626" spans="1:15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 spans="1:15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 spans="1:15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 spans="1:15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</row>
    <row r="630" spans="1:15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 spans="1:15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</row>
    <row r="632" spans="1:15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</row>
    <row r="633" spans="1:15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</row>
    <row r="634" spans="1:15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 spans="1:15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 spans="1:15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 spans="1:15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</row>
    <row r="638" spans="1:15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 spans="1:15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</row>
    <row r="640" spans="1:15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 spans="1:15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</row>
    <row r="642" spans="1:15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</row>
    <row r="643" spans="1:15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</row>
    <row r="644" spans="1:15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</row>
    <row r="645" spans="1:15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</row>
    <row r="646" spans="1:15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 spans="1:15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</row>
    <row r="648" spans="1:15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 spans="1:15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</row>
    <row r="650" spans="1:15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</row>
    <row r="651" spans="1:15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</row>
    <row r="652" spans="1:15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 spans="1:15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</row>
    <row r="654" spans="1:15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 spans="1:15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</row>
    <row r="656" spans="1:15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1:15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</row>
    <row r="658" spans="1:15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 spans="1:15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</row>
    <row r="660" spans="1:15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</row>
    <row r="661" spans="1:15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</row>
    <row r="662" spans="1:15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 spans="1:15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</row>
    <row r="664" spans="1:15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 spans="1:15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</row>
    <row r="666" spans="1:15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 spans="1:15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</row>
    <row r="668" spans="1:15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 spans="1:15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</row>
    <row r="670" spans="1:15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 spans="1:15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</row>
    <row r="672" spans="1:15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 spans="1:15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</row>
    <row r="674" spans="1:15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1:15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</row>
    <row r="676" spans="1:15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</row>
    <row r="678" spans="1:15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 spans="1:15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</row>
    <row r="680" spans="1:15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1:15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</row>
    <row r="682" spans="1:15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 spans="1:15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 spans="1:15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 spans="1:15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 spans="1:15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 spans="1:15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</row>
    <row r="688" spans="1:15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 spans="1:15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 spans="1:15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 spans="1:15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</row>
    <row r="692" spans="1:15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1:15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</row>
    <row r="694" spans="1:15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 spans="1:15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</row>
    <row r="696" spans="1:15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 spans="1:15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</row>
    <row r="698" spans="1:15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 spans="1:15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</row>
    <row r="700" spans="1:15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 spans="1:15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</row>
    <row r="702" spans="1:15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1:15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</row>
    <row r="704" spans="1:15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 spans="1:15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 spans="1:15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 spans="1:15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</row>
    <row r="708" spans="1:15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 spans="1:15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</row>
    <row r="710" spans="1:15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</row>
    <row r="711" spans="1:15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</row>
    <row r="712" spans="1:15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 spans="1:15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 spans="1:15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 spans="1:15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</row>
    <row r="716" spans="1:15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 spans="1:15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</row>
    <row r="718" spans="1:15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</row>
    <row r="719" spans="1:15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</row>
    <row r="720" spans="1:15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</row>
    <row r="721" spans="1:15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</row>
    <row r="722" spans="1:15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 spans="1:15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</row>
    <row r="724" spans="1:15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1:15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</row>
    <row r="726" spans="1:15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 spans="1:15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</row>
    <row r="728" spans="1:15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 spans="1:15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</row>
    <row r="730" spans="1:15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 spans="1:15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 spans="1:15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 spans="1:15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</row>
    <row r="734" spans="1:15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 spans="1:15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</row>
    <row r="736" spans="1:15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 spans="1:15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</row>
    <row r="738" spans="1:15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1:15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</row>
    <row r="740" spans="1:15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 spans="1:15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</row>
    <row r="742" spans="1:15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 spans="1:15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</row>
    <row r="744" spans="1:15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 spans="1:15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</row>
    <row r="746" spans="1:15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 spans="1:15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</row>
    <row r="748" spans="1:15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 spans="1:15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</row>
    <row r="750" spans="1:15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 spans="1:15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</row>
    <row r="752" spans="1:15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 spans="1:15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</row>
    <row r="754" spans="1:15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 spans="1:15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</row>
    <row r="756" spans="1:15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 spans="1:15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 spans="1:15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 spans="1:15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</row>
    <row r="760" spans="1:15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 spans="1:15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 spans="1:15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 spans="1:15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 spans="1:15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 spans="1:15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</row>
    <row r="766" spans="1:15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 spans="1:15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 spans="1:15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 spans="1:15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 spans="1:15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</row>
    <row r="772" spans="1:15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 spans="1:15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 spans="1:15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 spans="1:15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</row>
    <row r="776" spans="1:15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 spans="1:15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</row>
    <row r="778" spans="1:15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 spans="1:15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</row>
    <row r="780" spans="1:15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 spans="1:15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</row>
    <row r="782" spans="1:15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 spans="1:15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</row>
    <row r="784" spans="1:15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</row>
    <row r="785" spans="1:15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</row>
    <row r="786" spans="1:15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</row>
    <row r="787" spans="1:15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</row>
    <row r="788" spans="1:15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</row>
    <row r="789" spans="1:15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 spans="1:15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 spans="1:15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 spans="1:15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 spans="1:15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 spans="1:15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</row>
    <row r="795" spans="1:15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 spans="1:15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 spans="1:15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</row>
    <row r="798" spans="1:15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 spans="1:15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</row>
    <row r="800" spans="1:15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 spans="1:15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 spans="1:15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</row>
    <row r="803" spans="1:15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</row>
    <row r="804" spans="1:15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 spans="1:15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</row>
    <row r="806" spans="1:15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 spans="1:15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</row>
    <row r="808" spans="1:15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</row>
    <row r="809" spans="1:15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</row>
    <row r="810" spans="1:15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 spans="1:15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</row>
    <row r="812" spans="1:15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</row>
    <row r="813" spans="1:15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</row>
    <row r="814" spans="1:15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 spans="1:15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</row>
    <row r="816" spans="1:15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 spans="1:15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</row>
    <row r="818" spans="1:15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 spans="1:15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</row>
    <row r="820" spans="1:15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 spans="1:15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</row>
    <row r="822" spans="1:15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 spans="1:15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</row>
    <row r="824" spans="1:15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</row>
    <row r="825" spans="1:15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</row>
    <row r="826" spans="1:15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</row>
    <row r="827" spans="1:15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</row>
    <row r="828" spans="1:15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</row>
    <row r="829" spans="1:15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</row>
    <row r="830" spans="1:15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 spans="1:15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</row>
    <row r="832" spans="1:15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 spans="1:15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</row>
    <row r="834" spans="1:15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 spans="1:15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</row>
    <row r="836" spans="1:15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 spans="1:15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</row>
    <row r="838" spans="1:15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1:15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</row>
    <row r="840" spans="1:15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 spans="1:15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</row>
    <row r="842" spans="1:15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 spans="1:15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</row>
    <row r="844" spans="1:15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 spans="1:15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</row>
    <row r="846" spans="1:15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 spans="1:15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</row>
    <row r="848" spans="1:15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 spans="1:15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 spans="1:15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 spans="1:15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spans="1:15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 spans="1:15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</row>
    <row r="854" spans="1:15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 spans="1:15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</row>
    <row r="856" spans="1:15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1:15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</row>
    <row r="858" spans="1:15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 spans="1:15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</row>
    <row r="860" spans="1:15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 spans="1:15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</row>
    <row r="862" spans="1:15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 spans="1:15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</row>
    <row r="864" spans="1:15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 spans="1:15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</row>
    <row r="866" spans="1:15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 spans="1:15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</row>
    <row r="868" spans="1:15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</row>
    <row r="869" spans="1:15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</row>
    <row r="870" spans="1:15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</row>
    <row r="871" spans="1:15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 spans="1:15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</row>
    <row r="873" spans="1:15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</row>
    <row r="874" spans="1:15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1:15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</row>
    <row r="876" spans="1:15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</row>
    <row r="877" spans="1:15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</row>
    <row r="878" spans="1:15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</row>
    <row r="879" spans="1:15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</row>
    <row r="880" spans="1:15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</row>
    <row r="881" spans="1:15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</row>
    <row r="882" spans="1:15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 spans="1:15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</row>
    <row r="884" spans="1:15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 spans="1:15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</row>
    <row r="886" spans="1:15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</row>
    <row r="887" spans="1:15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</row>
    <row r="888" spans="1:15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</row>
    <row r="889" spans="1:15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</row>
    <row r="890" spans="1:15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</row>
    <row r="891" spans="1:15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</row>
    <row r="892" spans="1:15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</row>
    <row r="893" spans="1:15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</row>
    <row r="894" spans="1:15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 spans="1:15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</row>
    <row r="896" spans="1:15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1:15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</row>
    <row r="898" spans="1:15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1:15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</row>
    <row r="900" spans="1:15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</row>
    <row r="901" spans="1:15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</row>
    <row r="902" spans="1:15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 spans="1:15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</row>
    <row r="904" spans="1:15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</row>
    <row r="905" spans="1:15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</row>
    <row r="906" spans="1:15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 spans="1:15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</row>
    <row r="908" spans="1:15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</row>
    <row r="909" spans="1:15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</row>
    <row r="910" spans="1:15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 spans="1:15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</row>
    <row r="912" spans="1:15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 spans="1:15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</row>
    <row r="914" spans="1:15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</row>
    <row r="915" spans="1:15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</row>
    <row r="916" spans="1:15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</row>
    <row r="917" spans="1:15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</row>
    <row r="918" spans="1:15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 spans="1:15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</row>
    <row r="920" spans="1:15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</row>
    <row r="921" spans="1:15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</row>
    <row r="922" spans="1:15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 spans="1:15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</row>
    <row r="924" spans="1:15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 spans="1:15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</row>
    <row r="926" spans="1:15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</row>
    <row r="927" spans="1:15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</row>
    <row r="928" spans="1:15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</row>
    <row r="929" spans="1:15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</row>
    <row r="930" spans="1:15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</row>
    <row r="931" spans="1:15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</row>
    <row r="932" spans="1:15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</row>
    <row r="933" spans="1:15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</row>
    <row r="934" spans="1:15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</row>
    <row r="935" spans="1:15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</row>
    <row r="936" spans="1:15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 spans="1:15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</row>
    <row r="938" spans="1:15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</row>
    <row r="939" spans="1:15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</row>
    <row r="940" spans="1:15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</row>
    <row r="941" spans="1:15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</row>
    <row r="942" spans="1:15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</row>
    <row r="943" spans="1:15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</row>
    <row r="944" spans="1:15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</row>
    <row r="945" spans="1:15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</row>
    <row r="946" spans="1:15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</row>
    <row r="947" spans="1:15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</row>
    <row r="948" spans="1:15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</row>
    <row r="949" spans="1:15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</row>
    <row r="950" spans="1:15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</row>
    <row r="951" spans="1:15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</row>
    <row r="952" spans="1:15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</row>
    <row r="953" spans="1:15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</row>
    <row r="954" spans="1:15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 spans="1:15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</row>
    <row r="956" spans="1:15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1:15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</row>
    <row r="958" spans="1:15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 spans="1:15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</row>
    <row r="960" spans="1:15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</row>
    <row r="961" spans="1:15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</row>
    <row r="962" spans="1:15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 spans="1:15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</row>
    <row r="964" spans="1:15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1:15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</row>
    <row r="966" spans="1:15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</row>
    <row r="967" spans="1:15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</row>
    <row r="968" spans="1:15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</row>
    <row r="969" spans="1:15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</row>
    <row r="970" spans="1:15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</row>
    <row r="971" spans="1:15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</row>
    <row r="972" spans="1:15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</row>
    <row r="973" spans="1:15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</row>
    <row r="974" spans="1:15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</row>
    <row r="975" spans="1:15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</row>
    <row r="976" spans="1:15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</row>
    <row r="977" spans="1:15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</row>
    <row r="978" spans="1:15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</row>
    <row r="979" spans="1:15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</row>
    <row r="980" spans="1:15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</row>
    <row r="981" spans="1:15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</row>
    <row r="982" spans="1:15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</row>
    <row r="983" spans="1:15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</row>
    <row r="984" spans="1:15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</row>
    <row r="985" spans="1:15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</row>
    <row r="986" spans="1:15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</row>
    <row r="987" spans="1:15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</row>
    <row r="988" spans="1:15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</row>
    <row r="989" spans="1:15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</row>
    <row r="990" spans="1:15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</row>
    <row r="991" spans="1:15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</row>
    <row r="992" spans="1:15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</row>
    <row r="993" spans="1:15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</row>
    <row r="994" spans="1:15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</row>
    <row r="995" spans="1:15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</row>
    <row r="996" spans="1:15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</row>
    <row r="997" spans="1:15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</row>
    <row r="998" spans="1:15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</row>
    <row r="999" spans="1:15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</row>
    <row r="1000" spans="1:15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</row>
  </sheetData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6" width="14.375" customWidth="1"/>
    <col min="7" max="7" width="12.125" customWidth="1"/>
    <col min="8" max="8" width="13.375" customWidth="1"/>
    <col min="9" max="9" width="23.625" customWidth="1"/>
    <col min="10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79</v>
      </c>
      <c r="C1" s="1" t="s">
        <v>2</v>
      </c>
      <c r="D1" s="3">
        <v>44607</v>
      </c>
      <c r="E1" s="1" t="s">
        <v>3</v>
      </c>
      <c r="F1" s="2" t="s">
        <v>80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1"/>
      <c r="K3" s="12"/>
      <c r="L3" s="8"/>
      <c r="M3" s="8"/>
      <c r="N3" s="8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81</v>
      </c>
      <c r="G4" s="15"/>
      <c r="H4" s="15" t="s">
        <v>11</v>
      </c>
      <c r="I4" s="18">
        <v>4.5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44609</v>
      </c>
      <c r="E5" s="15" t="s">
        <v>14</v>
      </c>
      <c r="F5" s="17" t="s">
        <v>68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82</v>
      </c>
      <c r="B14" s="41">
        <v>834.75651018348753</v>
      </c>
      <c r="C14" s="42">
        <f t="shared" ref="C14:C16" si="0">((B14-AVERAGEA($B$17:$B$18))*$E$7)/($B$7*$I$21)</f>
        <v>2.6690412767715584E-3</v>
      </c>
      <c r="D14" s="42">
        <f>AVERAGEA(C14:C16)</f>
        <v>3.0466253625010356E-3</v>
      </c>
      <c r="E14" s="42">
        <f>STDEVA(C14:C16)</f>
        <v>3.273012641906926E-4</v>
      </c>
      <c r="F14" s="43">
        <f>(E14/D14)*100</f>
        <v>10.743075542507938</v>
      </c>
      <c r="G14" s="42">
        <f>(D14*24)</f>
        <v>7.3119008700024857E-2</v>
      </c>
      <c r="H14" s="44" t="str">
        <f>IF(F14&gt;20,"     EDIT","")</f>
        <v/>
      </c>
      <c r="I14" s="45"/>
      <c r="J14" s="46">
        <f t="shared" ref="J14:J16" si="1">B14-(AVERAGE($B$17:$B$18))</f>
        <v>792.7052592011529</v>
      </c>
      <c r="K14" s="47">
        <f t="shared" ref="K14:K16" si="2">J14/$B$7</f>
        <v>6.0053428727360064E-4</v>
      </c>
      <c r="L14" s="47">
        <f>AVERAGE(K14:K16)</f>
        <v>6.8549070656273288E-4</v>
      </c>
      <c r="M14" s="47">
        <f>STDEV(K14:K16)</f>
        <v>7.3642784442905825E-5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83</v>
      </c>
      <c r="B15" s="41">
        <v>998.78250780402277</v>
      </c>
      <c r="C15" s="42">
        <f t="shared" si="0"/>
        <v>3.2213173630359867E-3</v>
      </c>
      <c r="D15" s="42"/>
      <c r="E15" s="42"/>
      <c r="F15" s="48"/>
      <c r="G15" s="49"/>
      <c r="H15" s="44"/>
      <c r="I15" s="45"/>
      <c r="J15" s="46">
        <f t="shared" si="1"/>
        <v>956.73125682168813</v>
      </c>
      <c r="K15" s="47">
        <f t="shared" si="2"/>
        <v>7.2479640668309702E-4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84</v>
      </c>
      <c r="B16" s="53">
        <v>1007.1579329479163</v>
      </c>
      <c r="C16" s="54">
        <f t="shared" si="0"/>
        <v>3.2495174476955611E-3</v>
      </c>
      <c r="D16" s="54"/>
      <c r="E16" s="54"/>
      <c r="F16" s="55"/>
      <c r="G16" s="56"/>
      <c r="H16" s="57"/>
      <c r="I16" s="58"/>
      <c r="J16" s="46">
        <f t="shared" si="1"/>
        <v>965.10668196558163</v>
      </c>
      <c r="K16" s="47">
        <f t="shared" si="2"/>
        <v>7.311414257315012E-4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85</v>
      </c>
      <c r="B17" s="60">
        <v>36.914555727763741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86</v>
      </c>
      <c r="B18" s="41">
        <v>47.187946236905539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81</v>
      </c>
      <c r="G21" s="15"/>
      <c r="H21" s="15" t="s">
        <v>11</v>
      </c>
      <c r="I21" s="18">
        <v>4.5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44609</v>
      </c>
      <c r="E22" s="15" t="s">
        <v>14</v>
      </c>
      <c r="F22" s="17" t="s">
        <v>68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82</v>
      </c>
      <c r="B31" s="41">
        <v>19434.451426564123</v>
      </c>
      <c r="C31" s="42">
        <f t="shared" ref="C31:C33" si="3">((B31-AVERAGEA($B$34:$B$35))*$E$24)/($B$24*$I$21)</f>
        <v>2.585350929890376E-2</v>
      </c>
      <c r="D31" s="42">
        <f>AVERAGEA(C31:C33)</f>
        <v>2.4645201139213008E-2</v>
      </c>
      <c r="E31" s="42">
        <f>STDEVA(C31:C33)</f>
        <v>3.2707658946978376E-3</v>
      </c>
      <c r="F31" s="43">
        <f>(E31/D31)*100</f>
        <v>13.271410836626195</v>
      </c>
      <c r="G31" s="77">
        <f>(D31*24)</f>
        <v>0.59148482734111218</v>
      </c>
      <c r="H31" s="44" t="str">
        <f>IF(F31&gt;20,"     EDIT","")</f>
        <v/>
      </c>
      <c r="I31" s="45"/>
      <c r="J31" s="46">
        <f t="shared" ref="J31:J33" si="4">B31-(AVERAGE($B$34:$B$35))</f>
        <v>19196.23065443604</v>
      </c>
      <c r="K31" s="47">
        <f t="shared" ref="K31:K33" si="5">J31/$B$24</f>
        <v>5.8170395922533457E-3</v>
      </c>
      <c r="L31" s="47">
        <f>AVERAGE(K31:K33)</f>
        <v>5.5451702563229259E-3</v>
      </c>
      <c r="M31" s="47">
        <f>STDEV(K31:K33)</f>
        <v>7.3592232630701371E-4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83</v>
      </c>
      <c r="B32" s="41">
        <v>20389.59814349372</v>
      </c>
      <c r="C32" s="42">
        <f t="shared" si="3"/>
        <v>2.7139902183657427E-2</v>
      </c>
      <c r="D32" s="42"/>
      <c r="E32" s="42"/>
      <c r="F32" s="48"/>
      <c r="G32" s="49"/>
      <c r="H32" s="44"/>
      <c r="I32" s="45"/>
      <c r="J32" s="46">
        <f t="shared" si="4"/>
        <v>20151.377371365637</v>
      </c>
      <c r="K32" s="47">
        <f t="shared" si="5"/>
        <v>6.1064779913229204E-3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84</v>
      </c>
      <c r="B33" s="53">
        <v>15787.798283923377</v>
      </c>
      <c r="C33" s="54">
        <f t="shared" si="3"/>
        <v>2.094219193507784E-2</v>
      </c>
      <c r="D33" s="54"/>
      <c r="E33" s="54"/>
      <c r="F33" s="55"/>
      <c r="G33" s="56"/>
      <c r="H33" s="57"/>
      <c r="I33" s="58"/>
      <c r="J33" s="46">
        <f t="shared" si="4"/>
        <v>15549.577511795294</v>
      </c>
      <c r="K33" s="47">
        <f t="shared" si="5"/>
        <v>4.7119931853925132E-3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85</v>
      </c>
      <c r="B34" s="60">
        <v>200.78384061171872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86</v>
      </c>
      <c r="B35" s="41">
        <v>275.65770364444705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87</v>
      </c>
      <c r="C1" s="1" t="s">
        <v>2</v>
      </c>
      <c r="D1" s="3">
        <v>44608</v>
      </c>
      <c r="E1" s="1" t="s">
        <v>3</v>
      </c>
      <c r="F1" s="2" t="s">
        <v>88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81</v>
      </c>
      <c r="G4" s="15"/>
      <c r="H4" s="15" t="s">
        <v>11</v>
      </c>
      <c r="I4" s="18">
        <v>4.5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44609</v>
      </c>
      <c r="E5" s="15" t="s">
        <v>14</v>
      </c>
      <c r="F5" s="17" t="s">
        <v>68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89</v>
      </c>
      <c r="B14" s="41">
        <v>2450.168811377745</v>
      </c>
      <c r="C14" s="42">
        <f t="shared" ref="C14:C16" si="0">((B14-AVERAGEA($B$17:$B$18))*$E$7)/($B$7*$I$21)</f>
        <v>7.9817965193522307E-3</v>
      </c>
      <c r="D14" s="42">
        <f>AVERAGEA(C14:C16)</f>
        <v>7.2041933533061727E-3</v>
      </c>
      <c r="E14" s="42">
        <f>STDEVA(C14:C16)</f>
        <v>7.4500577783582047E-4</v>
      </c>
      <c r="F14" s="43">
        <f>(E14/D14)*100</f>
        <v>10.341279603412087</v>
      </c>
      <c r="G14" s="42">
        <f>(D14*24)</f>
        <v>0.17290064047934814</v>
      </c>
      <c r="H14" s="44" t="str">
        <f>IF(F14&gt;20,"     EDIT","")</f>
        <v/>
      </c>
      <c r="I14" s="45"/>
      <c r="J14" s="46">
        <f t="shared" ref="J14:J16" si="1">B14-(AVERAGE($B$17:$B$18))</f>
        <v>2370.5935662476127</v>
      </c>
      <c r="K14" s="47">
        <f t="shared" ref="K14:K16" si="2">J14/$B$7</f>
        <v>1.7959042168542521E-3</v>
      </c>
      <c r="L14" s="47">
        <f>AVERAGE(K14:K16)</f>
        <v>1.6209435044938891E-3</v>
      </c>
      <c r="M14" s="47">
        <f>STDEV(K14:K16)</f>
        <v>1.6762630001305965E-4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90</v>
      </c>
      <c r="B15" s="41">
        <v>2198.3836812723375</v>
      </c>
      <c r="C15" s="42">
        <f t="shared" si="0"/>
        <v>7.1340351385259428E-3</v>
      </c>
      <c r="D15" s="42"/>
      <c r="E15" s="42"/>
      <c r="F15" s="48"/>
      <c r="G15" s="49"/>
      <c r="H15" s="44"/>
      <c r="I15" s="45"/>
      <c r="J15" s="46">
        <f t="shared" si="1"/>
        <v>2118.8084361422052</v>
      </c>
      <c r="K15" s="47">
        <f t="shared" si="2"/>
        <v>1.6051579061683373E-3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91</v>
      </c>
      <c r="B16" s="53">
        <v>2009.1095205361148</v>
      </c>
      <c r="C16" s="54">
        <f t="shared" si="0"/>
        <v>6.4967484020403447E-3</v>
      </c>
      <c r="D16" s="54"/>
      <c r="E16" s="54"/>
      <c r="F16" s="55"/>
      <c r="G16" s="56"/>
      <c r="H16" s="57"/>
      <c r="I16" s="58"/>
      <c r="J16" s="46">
        <f t="shared" si="1"/>
        <v>1929.5342754059825</v>
      </c>
      <c r="K16" s="47">
        <f t="shared" si="2"/>
        <v>1.4617683904590776E-3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92</v>
      </c>
      <c r="B17" s="60">
        <v>114.22617244062741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93</v>
      </c>
      <c r="B18" s="41">
        <v>44.924317819637004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81</v>
      </c>
      <c r="G21" s="15"/>
      <c r="H21" s="15" t="s">
        <v>11</v>
      </c>
      <c r="I21" s="18">
        <v>4.5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44609</v>
      </c>
      <c r="E22" s="15" t="s">
        <v>14</v>
      </c>
      <c r="F22" s="17" t="s">
        <v>68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89</v>
      </c>
      <c r="B31" s="41">
        <v>67596.297671210006</v>
      </c>
      <c r="C31" s="42">
        <f t="shared" ref="C31:C33" si="3">((B31-AVERAGEA($B$34:$B$35))*$E$24)/($B$24*$I$21)</f>
        <v>9.0889400510119664E-2</v>
      </c>
      <c r="D31" s="42">
        <f>AVERAGEA(C31:C33)</f>
        <v>9.279847784219912E-2</v>
      </c>
      <c r="E31" s="42">
        <f>STDEVA(C31:C33)</f>
        <v>4.734561662684671E-3</v>
      </c>
      <c r="F31" s="43">
        <f>(E31/D31)*100</f>
        <v>5.1019820289893589</v>
      </c>
      <c r="G31" s="77">
        <f>(D31*24)</f>
        <v>2.2271634682127788</v>
      </c>
      <c r="H31" s="44" t="str">
        <f>IF(F31&gt;20,"     EDIT","")</f>
        <v/>
      </c>
      <c r="I31" s="45"/>
      <c r="J31" s="46">
        <f t="shared" ref="J31:J33" si="4">B31-(AVERAGE($B$34:$B$35))</f>
        <v>67485.379878763852</v>
      </c>
      <c r="K31" s="47">
        <f t="shared" ref="K31:K33" si="5">J31/$B$24</f>
        <v>2.0450115114776925E-2</v>
      </c>
      <c r="L31" s="47">
        <f>AVERAGE(K31:K33)</f>
        <v>2.08796575144948E-2</v>
      </c>
      <c r="M31" s="47">
        <f>STDEV(K31:K33)</f>
        <v>1.0652763741040494E-3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90</v>
      </c>
      <c r="B32" s="41">
        <v>73016.642978990945</v>
      </c>
      <c r="C32" s="42">
        <f t="shared" si="3"/>
        <v>9.8189528870767401E-2</v>
      </c>
      <c r="D32" s="42"/>
      <c r="E32" s="42"/>
      <c r="F32" s="48"/>
      <c r="G32" s="49"/>
      <c r="H32" s="44"/>
      <c r="I32" s="45"/>
      <c r="J32" s="46">
        <f t="shared" si="4"/>
        <v>72905.725186544791</v>
      </c>
      <c r="K32" s="47">
        <f t="shared" si="5"/>
        <v>2.2092643995922662E-2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91</v>
      </c>
      <c r="B33" s="53">
        <v>66428.422120636038</v>
      </c>
      <c r="C33" s="54">
        <f t="shared" si="3"/>
        <v>8.9316504145710282E-2</v>
      </c>
      <c r="D33" s="54"/>
      <c r="E33" s="54"/>
      <c r="F33" s="55"/>
      <c r="G33" s="56"/>
      <c r="H33" s="57"/>
      <c r="I33" s="58"/>
      <c r="J33" s="46">
        <f t="shared" si="4"/>
        <v>66317.504328189883</v>
      </c>
      <c r="K33" s="47">
        <f t="shared" si="5"/>
        <v>2.0096213432784813E-2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92</v>
      </c>
      <c r="B34" s="60">
        <v>121.53943348103344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93</v>
      </c>
      <c r="B35" s="41">
        <v>100.29615141128262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94</v>
      </c>
      <c r="C1" s="1" t="s">
        <v>2</v>
      </c>
      <c r="D1" s="3">
        <v>44608</v>
      </c>
      <c r="E1" s="1" t="s">
        <v>3</v>
      </c>
      <c r="F1" s="2" t="s">
        <v>95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81</v>
      </c>
      <c r="G4" s="15"/>
      <c r="H4" s="15" t="s">
        <v>11</v>
      </c>
      <c r="I4" s="18">
        <v>4.5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44609</v>
      </c>
      <c r="E5" s="15" t="s">
        <v>14</v>
      </c>
      <c r="F5" s="17" t="s">
        <v>68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96</v>
      </c>
      <c r="B14" s="41">
        <v>2606.3939972218468</v>
      </c>
      <c r="C14" s="42">
        <f t="shared" ref="C14:C16" si="0">((B14-AVERAGEA($B$17:$B$18))*$E$7)/($B$7*$I$21)</f>
        <v>8.5746432055842786E-3</v>
      </c>
      <c r="D14" s="42">
        <f>AVERAGEA(C15:C16)</f>
        <v>4.0935559483225069E-3</v>
      </c>
      <c r="E14" s="42">
        <f>STDEVA(C15:C16)</f>
        <v>5.0083332904855501E-4</v>
      </c>
      <c r="F14" s="43">
        <f>(E14/D14)*100</f>
        <v>12.23467653480566</v>
      </c>
      <c r="G14" s="42">
        <f>(D14*24)</f>
        <v>9.8245342759740173E-2</v>
      </c>
      <c r="H14" s="44" t="str">
        <f>IF(F14&gt;20,"     EDIT","")</f>
        <v/>
      </c>
      <c r="I14" s="45" t="s">
        <v>97</v>
      </c>
      <c r="J14" s="46">
        <f t="shared" ref="J14:J16" si="1">B14-(AVERAGE($B$17:$B$18))</f>
        <v>2546.6690320585308</v>
      </c>
      <c r="K14" s="47">
        <f t="shared" ref="K14:K16" si="2">J14/$B$7</f>
        <v>1.9292947212564628E-3</v>
      </c>
      <c r="L14" s="47">
        <f>AVERAGE(K14:K16)</f>
        <v>1.2571316326671969E-3</v>
      </c>
      <c r="M14" s="47">
        <f>STDEV(K14:K16)</f>
        <v>5.8753863657284833E-4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98</v>
      </c>
      <c r="B15" s="41">
        <v>1380.6914468497971</v>
      </c>
      <c r="C15" s="42">
        <f t="shared" si="0"/>
        <v>4.4476985915369738E-3</v>
      </c>
      <c r="D15" s="42"/>
      <c r="E15" s="42"/>
      <c r="F15" s="48"/>
      <c r="G15" s="49"/>
      <c r="H15" s="44"/>
      <c r="I15" s="45"/>
      <c r="J15" s="46">
        <f t="shared" si="1"/>
        <v>1320.9664816864813</v>
      </c>
      <c r="K15" s="47">
        <f t="shared" si="2"/>
        <v>1.0007321830958192E-3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99</v>
      </c>
      <c r="B16" s="53">
        <v>1170.3307167804039</v>
      </c>
      <c r="C16" s="54">
        <f t="shared" si="0"/>
        <v>3.7394133051080404E-3</v>
      </c>
      <c r="D16" s="54"/>
      <c r="E16" s="54"/>
      <c r="F16" s="55"/>
      <c r="G16" s="56"/>
      <c r="H16" s="57"/>
      <c r="I16" s="58"/>
      <c r="J16" s="46">
        <f t="shared" si="1"/>
        <v>1110.6057516170881</v>
      </c>
      <c r="K16" s="47">
        <f t="shared" si="2"/>
        <v>8.4136799364930919E-4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100</v>
      </c>
      <c r="B17" s="60">
        <v>55.197708328778802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101</v>
      </c>
      <c r="B18" s="41">
        <v>64.252221997852928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81</v>
      </c>
      <c r="G21" s="15"/>
      <c r="H21" s="15" t="s">
        <v>11</v>
      </c>
      <c r="I21" s="18">
        <v>4.5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44609</v>
      </c>
      <c r="E22" s="15" t="s">
        <v>14</v>
      </c>
      <c r="F22" s="17" t="s">
        <v>68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96</v>
      </c>
      <c r="B31" s="41">
        <v>159778.15959532041</v>
      </c>
      <c r="C31" s="42">
        <f t="shared" ref="C31:C33" si="3">((B31-AVERAGEA($B$34:$B$35))*$E$24)/($B$24*$I$21)</f>
        <v>0.21494519614012747</v>
      </c>
      <c r="D31" s="42">
        <f>AVERAGEA(C31:C33)</f>
        <v>0.20387968616356392</v>
      </c>
      <c r="E31" s="42">
        <f>STDEVA(C31:C33)</f>
        <v>1.0926397714292047E-2</v>
      </c>
      <c r="F31" s="43">
        <f>(E31/D31)*100</f>
        <v>5.3592380486235731</v>
      </c>
      <c r="G31" s="77">
        <f>(D31*24)</f>
        <v>4.8931124679255342</v>
      </c>
      <c r="H31" s="44" t="str">
        <f>IF(F31&gt;20,"     EDIT","")</f>
        <v/>
      </c>
      <c r="I31" s="45"/>
      <c r="J31" s="46">
        <f t="shared" ref="J31:J33" si="4">B31-(AVERAGE($B$34:$B$35))</f>
        <v>159596.80813404464</v>
      </c>
      <c r="K31" s="47">
        <f t="shared" ref="K31:K33" si="5">J31/$B$24</f>
        <v>4.8362669131528681E-2</v>
      </c>
      <c r="L31" s="47">
        <f>AVERAGE(K31:K33)</f>
        <v>4.5872929386801875E-2</v>
      </c>
      <c r="M31" s="47">
        <f>STDEV(K31:K33)</f>
        <v>2.4584394857157148E-3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98</v>
      </c>
      <c r="B32" s="41">
        <v>151351.33267382855</v>
      </c>
      <c r="C32" s="42">
        <f t="shared" si="3"/>
        <v>0.20359593429300038</v>
      </c>
      <c r="D32" s="42"/>
      <c r="E32" s="42"/>
      <c r="F32" s="48"/>
      <c r="G32" s="49"/>
      <c r="H32" s="44"/>
      <c r="I32" s="45"/>
      <c r="J32" s="46">
        <f t="shared" si="4"/>
        <v>151169.98121255278</v>
      </c>
      <c r="K32" s="47">
        <f t="shared" si="5"/>
        <v>4.5809085215925083E-2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99</v>
      </c>
      <c r="B33" s="53">
        <v>143556.56304401695</v>
      </c>
      <c r="C33" s="54">
        <f t="shared" si="3"/>
        <v>0.1930979280575639</v>
      </c>
      <c r="D33" s="54"/>
      <c r="E33" s="54"/>
      <c r="F33" s="55"/>
      <c r="G33" s="56"/>
      <c r="H33" s="57"/>
      <c r="I33" s="58"/>
      <c r="J33" s="46">
        <f t="shared" si="4"/>
        <v>143375.21158274118</v>
      </c>
      <c r="K33" s="47">
        <f t="shared" si="5"/>
        <v>4.3447033812951869E-2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100</v>
      </c>
      <c r="B34" s="60">
        <v>144.34984291658557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101</v>
      </c>
      <c r="B35" s="41">
        <v>218.35307963497988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1.125" defaultRowHeight="15" customHeight="1" x14ac:dyDescent="0.25"/>
  <cols>
    <col min="1" max="1" width="20" customWidth="1"/>
    <col min="2" max="2" width="18.625" customWidth="1"/>
    <col min="3" max="3" width="20.375" customWidth="1"/>
    <col min="4" max="4" width="12.125" customWidth="1"/>
    <col min="5" max="5" width="17.625" customWidth="1"/>
    <col min="6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102</v>
      </c>
      <c r="C1" s="1" t="s">
        <v>2</v>
      </c>
      <c r="D1" s="3">
        <v>44606</v>
      </c>
      <c r="E1" s="1" t="s">
        <v>3</v>
      </c>
      <c r="F1" s="2" t="s">
        <v>103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44609</v>
      </c>
      <c r="E4" s="15" t="s">
        <v>9</v>
      </c>
      <c r="F4" s="17" t="s">
        <v>81</v>
      </c>
      <c r="G4" s="15"/>
      <c r="H4" s="15" t="s">
        <v>11</v>
      </c>
      <c r="I4" s="18">
        <v>4.5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44609</v>
      </c>
      <c r="E5" s="15" t="s">
        <v>14</v>
      </c>
      <c r="F5" s="17" t="s">
        <v>68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104</v>
      </c>
      <c r="B14" s="41">
        <v>1318.0063522177456</v>
      </c>
      <c r="C14" s="42">
        <f t="shared" ref="C14:C16" si="0">((B14-AVERAGEA($B$17:$B$18))*$E$7)/($B$7*$I$21)</f>
        <v>4.2378102275426374E-3</v>
      </c>
      <c r="D14" s="42">
        <f>AVERAGEA(C14:C16)</f>
        <v>4.1774233518682893E-3</v>
      </c>
      <c r="E14" s="42">
        <f>STDEVA(C14:C16)</f>
        <v>5.2317103745430142E-5</v>
      </c>
      <c r="F14" s="43">
        <f>(E14/D14)*100</f>
        <v>1.2523773469603485</v>
      </c>
      <c r="G14" s="42">
        <f>(D14*24)</f>
        <v>0.10025816044483894</v>
      </c>
      <c r="H14" s="44" t="str">
        <f>IF(F14&gt;20,"     EDIT","")</f>
        <v/>
      </c>
      <c r="I14" s="45"/>
      <c r="J14" s="46">
        <f t="shared" ref="J14:J16" si="1">B14-(AVERAGE($B$17:$B$18))</f>
        <v>1258.6296375801635</v>
      </c>
      <c r="K14" s="47">
        <f t="shared" ref="K14:K16" si="2">J14/$B$7</f>
        <v>9.5350730119709356E-4</v>
      </c>
      <c r="L14" s="47">
        <f>AVERAGE(K14:K16)</f>
        <v>9.3992025417036522E-4</v>
      </c>
      <c r="M14" s="47">
        <f>STDEV(K14:K16)</f>
        <v>1.1771348342721856E-5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105</v>
      </c>
      <c r="B15" s="41">
        <v>1291.5393122619905</v>
      </c>
      <c r="C15" s="42">
        <f t="shared" si="0"/>
        <v>4.1486956148969979E-3</v>
      </c>
      <c r="D15" s="42"/>
      <c r="E15" s="42"/>
      <c r="F15" s="48"/>
      <c r="G15" s="49"/>
      <c r="H15" s="44"/>
      <c r="I15" s="45"/>
      <c r="J15" s="46">
        <f t="shared" si="1"/>
        <v>1232.1625976244084</v>
      </c>
      <c r="K15" s="47">
        <f t="shared" si="2"/>
        <v>9.3345651335182453E-4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106</v>
      </c>
      <c r="B16" s="53">
        <v>1290.6686859476565</v>
      </c>
      <c r="C16" s="54">
        <f t="shared" si="0"/>
        <v>4.1457642131652334E-3</v>
      </c>
      <c r="D16" s="54"/>
      <c r="E16" s="54"/>
      <c r="F16" s="55"/>
      <c r="G16" s="56"/>
      <c r="H16" s="57"/>
      <c r="I16" s="58"/>
      <c r="J16" s="46">
        <f t="shared" si="1"/>
        <v>1231.2919713100744</v>
      </c>
      <c r="K16" s="47">
        <f t="shared" si="2"/>
        <v>9.3279694796217756E-4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107</v>
      </c>
      <c r="B17" s="60">
        <v>65.296973575053784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108</v>
      </c>
      <c r="B18" s="41">
        <v>53.456455700110695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44609</v>
      </c>
      <c r="E21" s="15" t="s">
        <v>9</v>
      </c>
      <c r="F21" s="17" t="s">
        <v>81</v>
      </c>
      <c r="G21" s="15"/>
      <c r="H21" s="15" t="s">
        <v>11</v>
      </c>
      <c r="I21" s="18">
        <v>4.5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44609</v>
      </c>
      <c r="E22" s="15" t="s">
        <v>14</v>
      </c>
      <c r="F22" s="17" t="s">
        <v>68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104</v>
      </c>
      <c r="B31" s="41">
        <v>210559.40699432432</v>
      </c>
      <c r="C31" s="42">
        <f t="shared" ref="C31:C33" si="3">((B31-AVERAGEA($B$34:$B$35))*$E$24)/($B$24*$I$21)</f>
        <v>0.28310456625018005</v>
      </c>
      <c r="D31" s="42">
        <f>AVERAGEA(C31:C33)</f>
        <v>0.28760071114100394</v>
      </c>
      <c r="E31" s="42">
        <f>STDEVA(C31:C33)</f>
        <v>1.7903344626692748E-2</v>
      </c>
      <c r="F31" s="43">
        <f>(E31/D31)*100</f>
        <v>6.2250696653928488</v>
      </c>
      <c r="G31" s="77">
        <f>(D31*24)</f>
        <v>6.9024170673840946</v>
      </c>
      <c r="H31" s="44" t="str">
        <f>IF(F31&gt;20,"     EDIT","")</f>
        <v/>
      </c>
      <c r="I31" s="45"/>
      <c r="J31" s="46">
        <f t="shared" ref="J31:J33" si="4">B31-(AVERAGE($B$34:$B$35))</f>
        <v>210205.14044075867</v>
      </c>
      <c r="K31" s="47">
        <f t="shared" ref="K31:K33" si="5">J31/$B$24</f>
        <v>6.3698527406290506E-2</v>
      </c>
      <c r="L31" s="47">
        <f>AVERAGE(K31:K33)</f>
        <v>6.4710160006725886E-2</v>
      </c>
      <c r="M31" s="47">
        <f>STDEV(K31:K33)</f>
        <v>4.0282525410058742E-3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105</v>
      </c>
      <c r="B32" s="41">
        <v>228542.01939163124</v>
      </c>
      <c r="C32" s="42">
        <f t="shared" si="3"/>
        <v>0.30732357284587958</v>
      </c>
      <c r="D32" s="42"/>
      <c r="E32" s="42"/>
      <c r="F32" s="48"/>
      <c r="G32" s="49"/>
      <c r="H32" s="44"/>
      <c r="I32" s="45"/>
      <c r="J32" s="46">
        <f t="shared" si="4"/>
        <v>228187.75283806559</v>
      </c>
      <c r="K32" s="47">
        <f t="shared" si="5"/>
        <v>6.9147803890322906E-2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106</v>
      </c>
      <c r="B33" s="53">
        <v>202591.95734132768</v>
      </c>
      <c r="C33" s="54">
        <f t="shared" si="3"/>
        <v>0.27237399432695225</v>
      </c>
      <c r="D33" s="54"/>
      <c r="E33" s="54"/>
      <c r="F33" s="55"/>
      <c r="G33" s="56"/>
      <c r="H33" s="57"/>
      <c r="I33" s="58"/>
      <c r="J33" s="46">
        <f t="shared" si="4"/>
        <v>202237.69078776203</v>
      </c>
      <c r="K33" s="47">
        <f t="shared" si="5"/>
        <v>6.1284148723564247E-2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107</v>
      </c>
      <c r="B34" s="60">
        <v>515.95056640064502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108</v>
      </c>
      <c r="B35" s="41">
        <v>192.58254073069196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1.125" defaultRowHeight="15" customHeight="1" x14ac:dyDescent="0.25"/>
  <cols>
    <col min="1" max="1" width="20.875" customWidth="1"/>
    <col min="2" max="2" width="14" customWidth="1"/>
    <col min="3" max="3" width="20.375" customWidth="1"/>
    <col min="4" max="4" width="17.125" customWidth="1"/>
    <col min="5" max="5" width="18.5" customWidth="1"/>
    <col min="6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109</v>
      </c>
      <c r="C1" s="1" t="s">
        <v>2</v>
      </c>
      <c r="D1" s="3">
        <v>44606</v>
      </c>
      <c r="E1" s="1" t="s">
        <v>3</v>
      </c>
      <c r="F1" s="2" t="s">
        <v>110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44608</v>
      </c>
      <c r="E4" s="15" t="s">
        <v>9</v>
      </c>
      <c r="F4" s="17" t="s">
        <v>111</v>
      </c>
      <c r="G4" s="15"/>
      <c r="H4" s="15" t="s">
        <v>11</v>
      </c>
      <c r="I4" s="18">
        <v>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44608</v>
      </c>
      <c r="E5" s="15" t="s">
        <v>14</v>
      </c>
      <c r="F5" s="17" t="s">
        <v>112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113</v>
      </c>
      <c r="B14" s="41">
        <v>1717.3278175502012</v>
      </c>
      <c r="C14" s="42">
        <f t="shared" ref="C14:C16" si="0">((B14-AVERAGEA($B$17:$B$18))*$E$7)/($B$7*$I$21)</f>
        <v>5.0557533899534173E-3</v>
      </c>
      <c r="D14" s="42">
        <f>AVERAGEA(C14:C16)</f>
        <v>5.6956725251941396E-3</v>
      </c>
      <c r="E14" s="42">
        <f>STDEVA(C14:C16)</f>
        <v>7.4374577262861991E-4</v>
      </c>
      <c r="F14" s="43">
        <f>(E14/D14)*100</f>
        <v>13.058085227666227</v>
      </c>
      <c r="G14" s="42">
        <f>(D14*24)</f>
        <v>0.13669614060465934</v>
      </c>
      <c r="H14" s="44" t="str">
        <f>IF(F14&gt;20,"     EDIT","")</f>
        <v/>
      </c>
      <c r="I14" s="45"/>
      <c r="J14" s="46">
        <f t="shared" ref="J14:J16" si="1">B14-(AVERAGE($B$17:$B$18))</f>
        <v>1668.3986186846275</v>
      </c>
      <c r="K14" s="47">
        <f t="shared" ref="K14:K16" si="2">J14/$B$7</f>
        <v>1.2639383474883541E-3</v>
      </c>
      <c r="L14" s="47">
        <f>AVERAGE(K14:K16)</f>
        <v>1.4239181312985349E-3</v>
      </c>
      <c r="M14" s="47">
        <f>STDEV(K14:K16)</f>
        <v>1.8593644315715511E-4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114</v>
      </c>
      <c r="B15" s="41">
        <v>1870.4013361364141</v>
      </c>
      <c r="C15" s="42">
        <f t="shared" si="0"/>
        <v>5.5196125371843657E-3</v>
      </c>
      <c r="D15" s="42"/>
      <c r="E15" s="42"/>
      <c r="F15" s="48"/>
      <c r="G15" s="49"/>
      <c r="H15" s="44"/>
      <c r="I15" s="45"/>
      <c r="J15" s="46">
        <f t="shared" si="1"/>
        <v>1821.4721372708404</v>
      </c>
      <c r="K15" s="47">
        <f t="shared" si="2"/>
        <v>1.3799031342960912E-3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115</v>
      </c>
      <c r="B16" s="53">
        <v>2197.7742428523038</v>
      </c>
      <c r="C16" s="54">
        <f t="shared" si="0"/>
        <v>6.5116516484446368E-3</v>
      </c>
      <c r="D16" s="54"/>
      <c r="E16" s="54"/>
      <c r="F16" s="55"/>
      <c r="G16" s="56"/>
      <c r="H16" s="57"/>
      <c r="I16" s="58"/>
      <c r="J16" s="46">
        <f t="shared" si="1"/>
        <v>2148.8450439867302</v>
      </c>
      <c r="K16" s="47">
        <f t="shared" si="2"/>
        <v>1.6279129121111592E-3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116</v>
      </c>
      <c r="B17" s="60">
        <v>49.973950442774495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117</v>
      </c>
      <c r="B18" s="41">
        <v>47.884447288372776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44608</v>
      </c>
      <c r="E21" s="15" t="s">
        <v>9</v>
      </c>
      <c r="F21" s="17" t="s">
        <v>111</v>
      </c>
      <c r="G21" s="15"/>
      <c r="H21" s="15" t="s">
        <v>11</v>
      </c>
      <c r="I21" s="18">
        <v>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44608</v>
      </c>
      <c r="E22" s="15" t="s">
        <v>14</v>
      </c>
      <c r="F22" s="17" t="s">
        <v>112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113</v>
      </c>
      <c r="B31" s="41">
        <v>126303.43102296423</v>
      </c>
      <c r="C31" s="42">
        <f t="shared" ref="C31:C33" si="3">((B31-AVERAGEA($B$34:$B$35))*$E$24)/($B$24*$I$21)</f>
        <v>0.15280325507215101</v>
      </c>
      <c r="D31" s="42">
        <f>AVERAGEA(C31:C33)</f>
        <v>0.15349154585364791</v>
      </c>
      <c r="E31" s="42">
        <f>STDEVA(C31:C33)</f>
        <v>6.5538528441960826E-3</v>
      </c>
      <c r="F31" s="43">
        <f>(E31/D31)*100</f>
        <v>4.2698461389170532</v>
      </c>
      <c r="G31" s="77">
        <f>(D31*24)</f>
        <v>3.68379710048755</v>
      </c>
      <c r="H31" s="44" t="str">
        <f>IF(F31&gt;20,"     EDIT","")</f>
        <v/>
      </c>
      <c r="I31" s="45"/>
      <c r="J31" s="46">
        <f t="shared" ref="J31:J33" si="4">B31-(AVERAGE($B$34:$B$35))</f>
        <v>126062.68543452458</v>
      </c>
      <c r="K31" s="47">
        <f t="shared" ref="K31:K33" si="5">J31/$B$24</f>
        <v>3.8200813768037752E-2</v>
      </c>
      <c r="L31" s="47">
        <f>AVERAGE(K31:K33)</f>
        <v>3.8372886463411977E-2</v>
      </c>
      <c r="M31" s="47">
        <f>STDEV(K31:K33)</f>
        <v>1.6384632110490206E-3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114</v>
      </c>
      <c r="B32" s="41">
        <v>132539.70990001273</v>
      </c>
      <c r="C32" s="42">
        <f t="shared" si="3"/>
        <v>0.16036238098372493</v>
      </c>
      <c r="D32" s="42"/>
      <c r="E32" s="42"/>
      <c r="F32" s="48"/>
      <c r="G32" s="49"/>
      <c r="H32" s="44"/>
      <c r="I32" s="45"/>
      <c r="J32" s="46">
        <f t="shared" si="4"/>
        <v>132298.96431157307</v>
      </c>
      <c r="K32" s="47">
        <f t="shared" si="5"/>
        <v>4.0090595245931233E-2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115</v>
      </c>
      <c r="B33" s="53">
        <v>121770.67183012057</v>
      </c>
      <c r="C33" s="54">
        <f t="shared" si="3"/>
        <v>0.14730900150506779</v>
      </c>
      <c r="D33" s="54"/>
      <c r="E33" s="54"/>
      <c r="F33" s="55"/>
      <c r="G33" s="56"/>
      <c r="H33" s="57"/>
      <c r="I33" s="58"/>
      <c r="J33" s="46">
        <f t="shared" si="4"/>
        <v>121529.92624168092</v>
      </c>
      <c r="K33" s="47">
        <f t="shared" si="5"/>
        <v>3.6827250376266947E-2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116</v>
      </c>
      <c r="B34" s="60">
        <v>183.54543958790453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117</v>
      </c>
      <c r="B35" s="41">
        <v>297.94573729139876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4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118</v>
      </c>
      <c r="C1" s="1" t="s">
        <v>2</v>
      </c>
      <c r="D1" s="3">
        <v>44607</v>
      </c>
      <c r="E1" s="1" t="s">
        <v>3</v>
      </c>
      <c r="F1" s="2" t="s">
        <v>119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44608</v>
      </c>
      <c r="E4" s="15" t="s">
        <v>9</v>
      </c>
      <c r="F4" s="17" t="s">
        <v>111</v>
      </c>
      <c r="G4" s="15"/>
      <c r="H4" s="15" t="s">
        <v>11</v>
      </c>
      <c r="I4" s="18">
        <v>5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44608</v>
      </c>
      <c r="E5" s="15" t="s">
        <v>14</v>
      </c>
      <c r="F5" s="17" t="s">
        <v>112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120</v>
      </c>
      <c r="B14" s="41">
        <v>316.05476462954698</v>
      </c>
      <c r="C14" s="42">
        <f t="shared" ref="C14:C16" si="0">((B14-AVERAGEA($B$17:$B$18))*$E$7)/($B$7*$I$21)</f>
        <v>8.237180238223552E-4</v>
      </c>
      <c r="D14" s="42">
        <f>AVERAGEA(C14:C16)</f>
        <v>8.6874435442225756E-4</v>
      </c>
      <c r="E14" s="42">
        <f>STDEVA(C14:C16)</f>
        <v>7.7987892277424267E-5</v>
      </c>
      <c r="F14" s="43">
        <f>(E14/D14)*100</f>
        <v>8.97708190912949</v>
      </c>
      <c r="G14" s="42">
        <f>(D14*24)</f>
        <v>2.0849864506134182E-2</v>
      </c>
      <c r="H14" s="44" t="str">
        <f>IF(F14&gt;20,"     EDIT","")</f>
        <v/>
      </c>
      <c r="I14" s="45"/>
      <c r="J14" s="46">
        <f t="shared" ref="J14:J16" si="1">B14-(AVERAGE($B$17:$B$18))</f>
        <v>271.82694786137722</v>
      </c>
      <c r="K14" s="47">
        <f t="shared" ref="K14:K16" si="2">J14/$B$7</f>
        <v>2.059295059555888E-4</v>
      </c>
      <c r="L14" s="47">
        <f>AVERAGE(K14:K16)</f>
        <v>2.1718608860556439E-4</v>
      </c>
      <c r="M14" s="47">
        <f>STDEV(K14:K16)</f>
        <v>1.9496973069356067E-5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121</v>
      </c>
      <c r="B15" s="41">
        <v>360.63083192345039</v>
      </c>
      <c r="C15" s="42">
        <f t="shared" si="0"/>
        <v>9.5879701562206251E-4</v>
      </c>
      <c r="D15" s="42"/>
      <c r="E15" s="42"/>
      <c r="F15" s="48"/>
      <c r="G15" s="49"/>
      <c r="H15" s="44"/>
      <c r="I15" s="45"/>
      <c r="J15" s="46">
        <f t="shared" si="1"/>
        <v>316.40301515528063</v>
      </c>
      <c r="K15" s="47">
        <f t="shared" si="2"/>
        <v>2.3969925390551563E-4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122</v>
      </c>
      <c r="B16" s="53">
        <v>316.05476462954698</v>
      </c>
      <c r="C16" s="54">
        <f t="shared" si="0"/>
        <v>8.237180238223552E-4</v>
      </c>
      <c r="D16" s="54"/>
      <c r="E16" s="54"/>
      <c r="F16" s="55"/>
      <c r="G16" s="56"/>
      <c r="H16" s="57"/>
      <c r="I16" s="58"/>
      <c r="J16" s="46">
        <f t="shared" si="1"/>
        <v>271.82694786137722</v>
      </c>
      <c r="K16" s="47">
        <f t="shared" si="2"/>
        <v>2.059295059555888E-4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123</v>
      </c>
      <c r="B17" s="60">
        <v>43.531315716702522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124</v>
      </c>
      <c r="B18" s="41">
        <v>44.924317819637004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44608</v>
      </c>
      <c r="E21" s="15" t="s">
        <v>9</v>
      </c>
      <c r="F21" s="17" t="s">
        <v>111</v>
      </c>
      <c r="G21" s="15"/>
      <c r="H21" s="15" t="s">
        <v>11</v>
      </c>
      <c r="I21" s="18">
        <v>5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44608</v>
      </c>
      <c r="E22" s="15" t="s">
        <v>14</v>
      </c>
      <c r="F22" s="17" t="s">
        <v>112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120</v>
      </c>
      <c r="B31" s="104">
        <v>16812.124967789961</v>
      </c>
      <c r="C31" s="42">
        <f t="shared" ref="C31:C33" si="3">((B31-AVERAGEA($B$34:$B$35))*$E$24)/($B$24*$I$21)</f>
        <v>2.0081243936701382E-2</v>
      </c>
      <c r="D31" s="42">
        <f>AVERAGEA(C31:C33)</f>
        <v>1.8806442986955801E-2</v>
      </c>
      <c r="E31" s="42">
        <f>STDEVA(C31:C33)</f>
        <v>1.7240376543376898E-3</v>
      </c>
      <c r="F31" s="43">
        <f>(E31/D31)*100</f>
        <v>9.1672713204378251</v>
      </c>
      <c r="G31" s="77">
        <f>(D31*24)</f>
        <v>0.45135463168693923</v>
      </c>
      <c r="H31" s="44" t="str">
        <f>IF(F31&gt;20,"     EDIT","")</f>
        <v/>
      </c>
      <c r="I31" s="45"/>
      <c r="J31" s="46">
        <f t="shared" ref="J31:J33" si="4">B31-(AVERAGE($B$34:$B$35))</f>
        <v>16567.026247778638</v>
      </c>
      <c r="K31" s="47">
        <f t="shared" ref="K31:K33" si="5">J31/$B$24</f>
        <v>5.0203109841753446E-3</v>
      </c>
      <c r="L31" s="47">
        <f>AVERAGE(K31:K33)</f>
        <v>4.7016107467389504E-3</v>
      </c>
      <c r="M31" s="47">
        <f>STDEV(K31:K33)</f>
        <v>4.3100941358442262E-4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121</v>
      </c>
      <c r="B32" s="104">
        <v>16327.011985443029</v>
      </c>
      <c r="C32" s="42">
        <f t="shared" si="3"/>
        <v>1.949322820052328E-2</v>
      </c>
      <c r="D32" s="42"/>
      <c r="E32" s="42"/>
      <c r="F32" s="48"/>
      <c r="G32" s="49"/>
      <c r="H32" s="44"/>
      <c r="I32" s="45"/>
      <c r="J32" s="46">
        <f t="shared" si="4"/>
        <v>16081.913265431707</v>
      </c>
      <c r="K32" s="47">
        <f t="shared" si="5"/>
        <v>4.87330705013082E-3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122</v>
      </c>
      <c r="B33" s="105">
        <v>14142.105599516583</v>
      </c>
      <c r="C33" s="54">
        <f t="shared" si="3"/>
        <v>1.6844856823642743E-2</v>
      </c>
      <c r="D33" s="54"/>
      <c r="E33" s="54"/>
      <c r="F33" s="55"/>
      <c r="G33" s="56"/>
      <c r="H33" s="57"/>
      <c r="I33" s="58"/>
      <c r="J33" s="46">
        <f t="shared" si="4"/>
        <v>13897.006879505261</v>
      </c>
      <c r="K33" s="47">
        <f t="shared" si="5"/>
        <v>4.2112142059106848E-3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123</v>
      </c>
      <c r="B34" s="106">
        <v>263.46893524377037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124</v>
      </c>
      <c r="B35" s="104">
        <v>226.72850477887343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125</v>
      </c>
      <c r="C1" s="1" t="s">
        <v>2</v>
      </c>
      <c r="D1" s="3">
        <v>44608</v>
      </c>
      <c r="E1" s="1" t="s">
        <v>3</v>
      </c>
      <c r="F1" s="2" t="s">
        <v>126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44616</v>
      </c>
      <c r="E4" s="15" t="s">
        <v>9</v>
      </c>
      <c r="F4" s="17" t="s">
        <v>127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44616</v>
      </c>
      <c r="E5" s="15" t="s">
        <v>14</v>
      </c>
      <c r="F5" s="17" t="s">
        <v>128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129</v>
      </c>
      <c r="B14" s="41">
        <v>472.0535876319222</v>
      </c>
      <c r="C14" s="42">
        <f t="shared" ref="C14:C16" si="0">((B14-AVERAGEA($B$17:$B$18))*$E$7)/($B$7*$I$21)</f>
        <v>1.5971375910302295E-3</v>
      </c>
      <c r="D14" s="42">
        <f>AVERAGEA(C14:C16)</f>
        <v>1.79764546948292E-3</v>
      </c>
      <c r="E14" s="42">
        <f>STDEVA(C14:C16)</f>
        <v>3.645601143101089E-4</v>
      </c>
      <c r="F14" s="43">
        <f>(E14/D14)*100</f>
        <v>20.279867220702425</v>
      </c>
      <c r="G14" s="42">
        <f>(D14*24)</f>
        <v>4.3143491267590081E-2</v>
      </c>
      <c r="H14" s="44" t="str">
        <f>IF(F14&gt;20,"     EDIT","")</f>
        <v xml:space="preserve">     EDIT</v>
      </c>
      <c r="I14" s="45"/>
      <c r="J14" s="46">
        <f t="shared" ref="J14:J16" si="1">B14-(AVERAGE($B$17:$B$18))</f>
        <v>421.64432403198066</v>
      </c>
      <c r="K14" s="47">
        <f t="shared" ref="K14:K16" si="2">J14/$B$7</f>
        <v>3.1942751820604595E-4</v>
      </c>
      <c r="L14" s="47">
        <f>AVERAGE(K14:K16)</f>
        <v>3.5952909389658406E-4</v>
      </c>
      <c r="M14" s="47">
        <f>STDEV(K14:K16)</f>
        <v>7.2912022862021815E-5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130</v>
      </c>
      <c r="B15" s="41">
        <v>636.07958525245726</v>
      </c>
      <c r="C15" s="42">
        <f t="shared" si="0"/>
        <v>2.218448188077711E-3</v>
      </c>
      <c r="D15" s="42"/>
      <c r="E15" s="42"/>
      <c r="F15" s="48"/>
      <c r="G15" s="49"/>
      <c r="H15" s="44"/>
      <c r="I15" s="45"/>
      <c r="J15" s="46">
        <f t="shared" si="1"/>
        <v>585.67032165251578</v>
      </c>
      <c r="K15" s="47">
        <f t="shared" si="2"/>
        <v>4.4368963761554227E-4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131</v>
      </c>
      <c r="B16" s="53">
        <v>466.82982974591789</v>
      </c>
      <c r="C16" s="54">
        <f t="shared" si="0"/>
        <v>1.5773506293408194E-3</v>
      </c>
      <c r="D16" s="54"/>
      <c r="E16" s="54"/>
      <c r="F16" s="55"/>
      <c r="G16" s="56"/>
      <c r="H16" s="57"/>
      <c r="I16" s="58"/>
      <c r="J16" s="46">
        <f t="shared" si="1"/>
        <v>416.42056614597635</v>
      </c>
      <c r="K16" s="47">
        <f t="shared" si="2"/>
        <v>3.1547012586816391E-4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132</v>
      </c>
      <c r="B17" s="60">
        <v>56.242459905979658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133</v>
      </c>
      <c r="B18" s="41">
        <v>44.576067293903385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44616</v>
      </c>
      <c r="E21" s="15" t="s">
        <v>9</v>
      </c>
      <c r="F21" s="17" t="s">
        <v>127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44616</v>
      </c>
      <c r="E22" s="15" t="s">
        <v>14</v>
      </c>
      <c r="F22" s="17" t="s">
        <v>128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129</v>
      </c>
      <c r="B31" s="104">
        <v>13901.952036970679</v>
      </c>
      <c r="C31" s="42">
        <f t="shared" ref="C31:C33" si="3">((B31-AVERAGEA($B$34:$B$35))*$E$24)/($B$24*$I$21)</f>
        <v>2.0576012956352748E-2</v>
      </c>
      <c r="D31" s="42">
        <f>AVERAGEA(C31:C33)</f>
        <v>2.0235158357188369E-2</v>
      </c>
      <c r="E31" s="42">
        <f>STDEVA(C31:C33)</f>
        <v>2.2359873657122652E-3</v>
      </c>
      <c r="F31" s="43">
        <f>(E31/D31)*100</f>
        <v>11.050011698662836</v>
      </c>
      <c r="G31" s="77">
        <f>(D31*24)</f>
        <v>0.48564380057252088</v>
      </c>
      <c r="H31" s="44" t="str">
        <f>IF(F31&gt;20,"     EDIT","")</f>
        <v/>
      </c>
      <c r="I31" s="45"/>
      <c r="J31" s="46">
        <f t="shared" ref="J31:J33" si="4">B31-(AVERAGE($B$34:$B$35))</f>
        <v>13580.168551192814</v>
      </c>
      <c r="K31" s="47">
        <f t="shared" ref="K31:K33" si="5">J31/$B$24</f>
        <v>4.11520259127055E-3</v>
      </c>
      <c r="L31" s="47">
        <f>AVERAGE(K31:K33)</f>
        <v>4.0470316714376741E-3</v>
      </c>
      <c r="M31" s="47">
        <f>STDEV(K31:K33)</f>
        <v>4.471974731424532E-4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130</v>
      </c>
      <c r="B32" s="104">
        <v>15027.341023405159</v>
      </c>
      <c r="C32" s="42">
        <f t="shared" si="3"/>
        <v>2.2281147784283778E-2</v>
      </c>
      <c r="D32" s="42"/>
      <c r="E32" s="42"/>
      <c r="F32" s="48"/>
      <c r="G32" s="49"/>
      <c r="H32" s="44"/>
      <c r="I32" s="45"/>
      <c r="J32" s="46">
        <f t="shared" si="4"/>
        <v>14705.557537627294</v>
      </c>
      <c r="K32" s="47">
        <f t="shared" si="5"/>
        <v>4.4562295568567559E-3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131</v>
      </c>
      <c r="B33" s="105">
        <v>12101.670944190728</v>
      </c>
      <c r="C33" s="54">
        <f t="shared" si="3"/>
        <v>1.784831433092858E-2</v>
      </c>
      <c r="D33" s="54"/>
      <c r="E33" s="54"/>
      <c r="F33" s="55"/>
      <c r="G33" s="56"/>
      <c r="H33" s="57"/>
      <c r="I33" s="58"/>
      <c r="J33" s="46">
        <f t="shared" si="4"/>
        <v>11779.887458412863</v>
      </c>
      <c r="K33" s="47">
        <f t="shared" si="5"/>
        <v>3.569662866185716E-3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132</v>
      </c>
      <c r="B34" s="106">
        <v>286.61018267876943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133</v>
      </c>
      <c r="B35" s="104">
        <v>356.95678887696067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134</v>
      </c>
      <c r="C1" s="1" t="s">
        <v>2</v>
      </c>
      <c r="D1" s="3">
        <v>44608</v>
      </c>
      <c r="E1" s="1" t="s">
        <v>3</v>
      </c>
      <c r="F1" s="2" t="s">
        <v>53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44616</v>
      </c>
      <c r="E4" s="15" t="s">
        <v>9</v>
      </c>
      <c r="F4" s="17" t="s">
        <v>127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44616</v>
      </c>
      <c r="E5" s="15" t="s">
        <v>14</v>
      </c>
      <c r="F5" s="17" t="s">
        <v>128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135</v>
      </c>
      <c r="B14" s="41">
        <v>2053.319924777998</v>
      </c>
      <c r="C14" s="42">
        <f t="shared" ref="C14:C16" si="0">((B14-AVERAGEA($B$17:$B$18))*$E$7)/($B$7*$I$21)</f>
        <v>7.5109327876832334E-3</v>
      </c>
      <c r="D14" s="42">
        <f>AVERAGEA(C14:C16)</f>
        <v>7.4951032183317038E-3</v>
      </c>
      <c r="E14" s="42">
        <f>STDEVA(C14:C16)</f>
        <v>3.3599856090493231E-4</v>
      </c>
      <c r="F14" s="43">
        <f>(E14/D14)*100</f>
        <v>4.482907721445903</v>
      </c>
      <c r="G14" s="42">
        <f>(D14*24)</f>
        <v>0.1798824772399609</v>
      </c>
      <c r="H14" s="44" t="str">
        <f>IF(F14&gt;20,"     EDIT","")</f>
        <v/>
      </c>
      <c r="I14" s="45"/>
      <c r="J14" s="46">
        <f t="shared" ref="J14:J16" si="1">B14-(AVERAGE($B$17:$B$18))</f>
        <v>1982.8862559483734</v>
      </c>
      <c r="K14" s="47">
        <f t="shared" ref="K14:K16" si="2">J14/$B$7</f>
        <v>1.5021865575366466E-3</v>
      </c>
      <c r="L14" s="47">
        <f>AVERAGE(K14:K16)</f>
        <v>1.4990206436663409E-3</v>
      </c>
      <c r="M14" s="47">
        <f>STDEV(K14:K16)</f>
        <v>6.7199712180986444E-5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136</v>
      </c>
      <c r="B15" s="41">
        <v>2135.6811741139991</v>
      </c>
      <c r="C15" s="42">
        <f t="shared" si="0"/>
        <v>7.8229072169862662E-3</v>
      </c>
      <c r="D15" s="42"/>
      <c r="E15" s="42"/>
      <c r="F15" s="48"/>
      <c r="G15" s="49"/>
      <c r="H15" s="44"/>
      <c r="I15" s="45"/>
      <c r="J15" s="46">
        <f t="shared" si="1"/>
        <v>2065.2475052843743</v>
      </c>
      <c r="K15" s="47">
        <f t="shared" si="2"/>
        <v>1.5645814433972532E-3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137</v>
      </c>
      <c r="B16" s="53">
        <v>1958.4216565155866</v>
      </c>
      <c r="C16" s="54">
        <f t="shared" si="0"/>
        <v>7.1514696503256142E-3</v>
      </c>
      <c r="D16" s="54"/>
      <c r="E16" s="54"/>
      <c r="F16" s="55"/>
      <c r="G16" s="56"/>
      <c r="H16" s="57"/>
      <c r="I16" s="58"/>
      <c r="J16" s="46">
        <f t="shared" si="1"/>
        <v>1887.987987685962</v>
      </c>
      <c r="K16" s="47">
        <f t="shared" si="2"/>
        <v>1.4302939300651228E-3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138</v>
      </c>
      <c r="B17" s="60">
        <v>68.082977780922747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139</v>
      </c>
      <c r="B18" s="41">
        <v>72.784359878326612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44616</v>
      </c>
      <c r="E21" s="15" t="s">
        <v>9</v>
      </c>
      <c r="F21" s="17" t="s">
        <v>127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44616</v>
      </c>
      <c r="E22" s="15" t="s">
        <v>14</v>
      </c>
      <c r="F22" s="17" t="s">
        <v>128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135</v>
      </c>
      <c r="B31" s="104">
        <v>199107.01433031133</v>
      </c>
      <c r="C31" s="42">
        <f t="shared" ref="C31:C33" si="3">((B31-AVERAGEA($B$34:$B$35))*$E$24)/($B$24*$I$21)</f>
        <v>0.30104160531732382</v>
      </c>
      <c r="D31" s="42">
        <f>AVERAGEA(C31:C33)</f>
        <v>0.32493721967397521</v>
      </c>
      <c r="E31" s="42">
        <f>STDEVA(C31:C33)</f>
        <v>2.2055858889105742E-2</v>
      </c>
      <c r="F31" s="43">
        <f>(E31/D31)*100</f>
        <v>6.7877293069828761</v>
      </c>
      <c r="G31" s="77">
        <f>(D31*24)</f>
        <v>7.7984932721754046</v>
      </c>
      <c r="H31" s="44" t="str">
        <f>IF(F31&gt;20,"     EDIT","")</f>
        <v/>
      </c>
      <c r="I31" s="45"/>
      <c r="J31" s="46">
        <f t="shared" ref="J31:J33" si="4">B31-(AVERAGE($B$34:$B$35))</f>
        <v>198687.45950943374</v>
      </c>
      <c r="K31" s="47">
        <f t="shared" ref="K31:K33" si="5">J31/$B$24</f>
        <v>6.020832106346477E-2</v>
      </c>
      <c r="L31" s="47">
        <f>AVERAGE(K31:K33)</f>
        <v>6.4987443934795039E-2</v>
      </c>
      <c r="M31" s="47">
        <f>STDEV(K31:K33)</f>
        <v>4.4111717778211445E-3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136</v>
      </c>
      <c r="B32" s="104">
        <v>217728.14406655089</v>
      </c>
      <c r="C32" s="42">
        <f t="shared" si="3"/>
        <v>0.32925543825102016</v>
      </c>
      <c r="D32" s="42"/>
      <c r="E32" s="42"/>
      <c r="F32" s="48"/>
      <c r="G32" s="49"/>
      <c r="H32" s="44"/>
      <c r="I32" s="45"/>
      <c r="J32" s="46">
        <f t="shared" si="4"/>
        <v>217308.5892456733</v>
      </c>
      <c r="K32" s="47">
        <f t="shared" si="5"/>
        <v>6.5851087650204032E-2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137</v>
      </c>
      <c r="B33" s="105">
        <v>227799.20102024142</v>
      </c>
      <c r="C33" s="54">
        <f t="shared" si="3"/>
        <v>0.34451461545358159</v>
      </c>
      <c r="D33" s="54"/>
      <c r="E33" s="54"/>
      <c r="F33" s="55"/>
      <c r="G33" s="56"/>
      <c r="H33" s="57"/>
      <c r="I33" s="58"/>
      <c r="J33" s="46">
        <f t="shared" si="4"/>
        <v>227379.64619936384</v>
      </c>
      <c r="K33" s="47">
        <f t="shared" si="5"/>
        <v>6.8902923090716314E-2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138</v>
      </c>
      <c r="B34" s="106">
        <v>432.35302769828951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139</v>
      </c>
      <c r="B35" s="104">
        <v>406.75661405686839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140</v>
      </c>
      <c r="C1" s="1" t="s">
        <v>2</v>
      </c>
      <c r="D1" s="3">
        <v>44612</v>
      </c>
      <c r="E1" s="1" t="s">
        <v>3</v>
      </c>
      <c r="F1" s="2" t="s">
        <v>66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44612</v>
      </c>
      <c r="E4" s="15" t="s">
        <v>9</v>
      </c>
      <c r="F4" s="17" t="s">
        <v>10</v>
      </c>
      <c r="G4" s="15"/>
      <c r="H4" s="15" t="s">
        <v>11</v>
      </c>
      <c r="I4" s="107">
        <v>0.23958333333333334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44612</v>
      </c>
      <c r="E5" s="15" t="s">
        <v>14</v>
      </c>
      <c r="F5" s="17" t="s">
        <v>15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141</v>
      </c>
      <c r="B14" s="41">
        <v>327.37290671588966</v>
      </c>
      <c r="C14" s="42">
        <f t="shared" ref="C14:C16" si="0">((B14-AVERAGEA($B$17:$B$18))*$E$7)/($B$7*$I$21)</f>
        <v>1.7333791385210798E-2</v>
      </c>
      <c r="D14" s="42">
        <f>AVERAGEA(C14,C16)</f>
        <v>1.4453635653807532E-2</v>
      </c>
      <c r="E14" s="42">
        <f>STDEVA(C14,C16)</f>
        <v>4.0731552970971006E-3</v>
      </c>
      <c r="F14" s="43">
        <f>(E14/D14)*100</f>
        <v>28.180835567306602</v>
      </c>
      <c r="G14" s="42">
        <f>(D14*24)</f>
        <v>0.34688725569138079</v>
      </c>
      <c r="H14" s="44" t="str">
        <f>IF(F14&gt;20,"     EDIT","")</f>
        <v xml:space="preserve">     EDIT</v>
      </c>
      <c r="I14" s="45"/>
      <c r="J14" s="46">
        <f t="shared" ref="J14:J16" si="1">B14-(AVERAGE($B$17:$B$18))</f>
        <v>274.09057627864576</v>
      </c>
      <c r="K14" s="47">
        <f t="shared" ref="K14:K16" si="2">J14/$B$7</f>
        <v>2.0764437596867104E-4</v>
      </c>
      <c r="L14" s="47">
        <f>AVERAGE(K14:K16)</f>
        <v>2.1999583716546069E-4</v>
      </c>
      <c r="M14" s="47">
        <f>STDEV(K14:K16)</f>
        <v>8.8182092297725917E-5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142</v>
      </c>
      <c r="B15" s="41">
        <v>467.36961806080501</v>
      </c>
      <c r="C15" s="42">
        <f t="shared" si="0"/>
        <v>2.6187338347735092E-2</v>
      </c>
      <c r="D15" s="42"/>
      <c r="E15" s="42"/>
      <c r="F15" s="48"/>
      <c r="G15" s="49"/>
      <c r="H15" s="44"/>
      <c r="I15" s="45" t="s">
        <v>143</v>
      </c>
      <c r="J15" s="46">
        <f t="shared" si="1"/>
        <v>414.08728762356111</v>
      </c>
      <c r="K15" s="47">
        <f t="shared" si="2"/>
        <v>3.1370249062390995E-4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144</v>
      </c>
      <c r="B16" s="53">
        <v>236.28798171026128</v>
      </c>
      <c r="C16" s="54">
        <f t="shared" si="0"/>
        <v>1.1573479922404263E-2</v>
      </c>
      <c r="D16" s="54"/>
      <c r="E16" s="54"/>
      <c r="F16" s="55"/>
      <c r="G16" s="56"/>
      <c r="H16" s="57"/>
      <c r="I16" s="58"/>
      <c r="J16" s="46">
        <f t="shared" si="1"/>
        <v>183.00565127301741</v>
      </c>
      <c r="K16" s="47">
        <f t="shared" si="2"/>
        <v>1.3864064490380106E-4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145</v>
      </c>
      <c r="B17" s="60">
        <v>54.501207277311565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146</v>
      </c>
      <c r="B18" s="41">
        <v>52.063453597176213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44612</v>
      </c>
      <c r="E21" s="15" t="s">
        <v>9</v>
      </c>
      <c r="F21" s="17" t="s">
        <v>10</v>
      </c>
      <c r="G21" s="15"/>
      <c r="H21" s="15" t="s">
        <v>11</v>
      </c>
      <c r="I21" s="107">
        <v>0.23958333333333334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44612</v>
      </c>
      <c r="E22" s="15" t="s">
        <v>14</v>
      </c>
      <c r="F22" s="17" t="s">
        <v>15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141</v>
      </c>
      <c r="B31" s="104">
        <v>4600.6854578879966</v>
      </c>
      <c r="C31" s="42">
        <f t="shared" ref="C31:C33" si="3">((B31-AVERAGEA($B$34:$B$35))*$E$24)/($B$24*$I$21)</f>
        <v>0.10874291973600138</v>
      </c>
      <c r="D31" s="42">
        <f>AVERAGEA(C31:C33)</f>
        <v>0.11660422340876216</v>
      </c>
      <c r="E31" s="42">
        <f>STDEVA(C31:C33)</f>
        <v>7.9981860008847324E-3</v>
      </c>
      <c r="F31" s="43">
        <f>(E31/D31)*100</f>
        <v>6.8592592678626021</v>
      </c>
      <c r="G31" s="77">
        <f>(D31*24)</f>
        <v>2.7985013618102919</v>
      </c>
      <c r="H31" s="44" t="str">
        <f>IF(F31&gt;20,"     EDIT","")</f>
        <v/>
      </c>
      <c r="I31" s="45"/>
      <c r="J31" s="46">
        <f t="shared" ref="J31:J33" si="4">B31-(AVERAGE($B$34:$B$35))</f>
        <v>4298.7435458138043</v>
      </c>
      <c r="K31" s="47">
        <f t="shared" ref="K31:K33" si="5">J31/$B$24</f>
        <v>1.3026495593375165E-3</v>
      </c>
      <c r="L31" s="47">
        <f>AVERAGE(K31:K33)</f>
        <v>1.3968214262507965E-3</v>
      </c>
      <c r="M31" s="47">
        <f>STDEV(K31:K33)</f>
        <v>9.581160313559829E-5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142</v>
      </c>
      <c r="B32" s="104">
        <v>5232.7775746208035</v>
      </c>
      <c r="C32" s="42">
        <f t="shared" si="3"/>
        <v>0.12473260174030953</v>
      </c>
      <c r="D32" s="42"/>
      <c r="E32" s="42"/>
      <c r="F32" s="48"/>
      <c r="G32" s="49"/>
      <c r="H32" s="44"/>
      <c r="I32" s="45"/>
      <c r="J32" s="46">
        <f t="shared" si="4"/>
        <v>4930.8356625466113</v>
      </c>
      <c r="K32" s="47">
        <f t="shared" si="5"/>
        <v>1.4941926250141245E-3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144</v>
      </c>
      <c r="B33" s="105">
        <v>4900.8948235966636</v>
      </c>
      <c r="C33" s="54">
        <f t="shared" si="3"/>
        <v>0.11633714874997557</v>
      </c>
      <c r="D33" s="54"/>
      <c r="E33" s="54"/>
      <c r="F33" s="55"/>
      <c r="G33" s="56"/>
      <c r="H33" s="57"/>
      <c r="I33" s="58"/>
      <c r="J33" s="46">
        <f t="shared" si="4"/>
        <v>4598.9529115224714</v>
      </c>
      <c r="K33" s="47">
        <f t="shared" si="5"/>
        <v>1.3936220944007489E-3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145</v>
      </c>
      <c r="B34" s="106">
        <v>274.24728901522587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146</v>
      </c>
      <c r="B35" s="104">
        <v>329.63653513315819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147</v>
      </c>
      <c r="C1" s="1" t="s">
        <v>2</v>
      </c>
      <c r="D1" s="3">
        <v>44601</v>
      </c>
      <c r="E1" s="1" t="s">
        <v>3</v>
      </c>
      <c r="F1" s="2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44602</v>
      </c>
      <c r="E4" s="15" t="s">
        <v>9</v>
      </c>
      <c r="F4" s="17" t="s">
        <v>148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44602</v>
      </c>
      <c r="E5" s="15" t="s">
        <v>14</v>
      </c>
      <c r="F5" s="17" t="s">
        <v>149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150</v>
      </c>
      <c r="B14" s="41">
        <v>4878.136651739972</v>
      </c>
      <c r="C14" s="42">
        <f t="shared" ref="C14:C16" si="0">((B14-AVERAGEA($B$17:$B$18))*$E$7)/($B$7*$I$21)</f>
        <v>1.8209677016608385E-2</v>
      </c>
      <c r="D14" s="42">
        <f>AVERAGEA(C14:C16)</f>
        <v>1.8284054007047579E-2</v>
      </c>
      <c r="E14" s="42">
        <f>STDEVA(C14:C16)</f>
        <v>1.093512422648539E-3</v>
      </c>
      <c r="F14" s="43">
        <f>(E14/D14)*100</f>
        <v>5.9806890869335936</v>
      </c>
      <c r="G14" s="42">
        <f>(D14*24)</f>
        <v>0.43881729616914189</v>
      </c>
      <c r="H14" s="44" t="str">
        <f>IF(F14&gt;20,"     EDIT","")</f>
        <v/>
      </c>
      <c r="I14" s="45"/>
      <c r="J14" s="46">
        <f t="shared" ref="J14:J16" si="1">B14-(AVERAGE($B$17:$B$18))</f>
        <v>4807.3547323846133</v>
      </c>
      <c r="K14" s="47">
        <f t="shared" ref="K14:K16" si="2">J14/$B$7</f>
        <v>3.6419354033216766E-3</v>
      </c>
      <c r="L14" s="47">
        <f>AVERAGE(K14:K16)</f>
        <v>3.6568108014095151E-3</v>
      </c>
      <c r="M14" s="47">
        <f>STDEV(K14:K16)</f>
        <v>2.1870248452970768E-4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151</v>
      </c>
      <c r="B15" s="41">
        <v>5195.7759562616066</v>
      </c>
      <c r="C15" s="42">
        <f t="shared" si="0"/>
        <v>1.9412856200402454E-2</v>
      </c>
      <c r="D15" s="42"/>
      <c r="E15" s="42"/>
      <c r="F15" s="48"/>
      <c r="G15" s="49"/>
      <c r="H15" s="44"/>
      <c r="I15" s="45"/>
      <c r="J15" s="46">
        <f t="shared" si="1"/>
        <v>5124.9940369062479</v>
      </c>
      <c r="K15" s="47">
        <f t="shared" si="2"/>
        <v>3.8825712400804907E-3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152</v>
      </c>
      <c r="B16" s="53">
        <v>4619.4039236461786</v>
      </c>
      <c r="C16" s="54">
        <f t="shared" si="0"/>
        <v>1.7229628804131893E-2</v>
      </c>
      <c r="D16" s="54"/>
      <c r="E16" s="54"/>
      <c r="F16" s="55"/>
      <c r="G16" s="56"/>
      <c r="H16" s="57"/>
      <c r="I16" s="58"/>
      <c r="J16" s="46">
        <f t="shared" si="1"/>
        <v>4548.6220042908199</v>
      </c>
      <c r="K16" s="47">
        <f t="shared" si="2"/>
        <v>3.4459257608263788E-3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153</v>
      </c>
      <c r="B17" s="60">
        <v>62.510969369184821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154</v>
      </c>
      <c r="B18" s="41">
        <v>79.052869341531775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44602</v>
      </c>
      <c r="E21" s="15" t="s">
        <v>9</v>
      </c>
      <c r="F21" s="17" t="s">
        <v>148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44602</v>
      </c>
      <c r="E22" s="15" t="s">
        <v>14</v>
      </c>
      <c r="F22" s="17" t="s">
        <v>149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150</v>
      </c>
      <c r="B31" s="104">
        <v>274045.82608608896</v>
      </c>
      <c r="C31" s="42">
        <f t="shared" ref="C31:C33" si="3">((B31-AVERAGEA($B$34:$B$35))*$E$24)/($B$24*$I$21)</f>
        <v>0.41399898500919513</v>
      </c>
      <c r="D31" s="42">
        <f>AVERAGEA(C31:C33)</f>
        <v>0.37642222563022582</v>
      </c>
      <c r="E31" s="42">
        <f>STDEVA(C31:C33)</f>
        <v>3.8973533131970106E-2</v>
      </c>
      <c r="F31" s="43">
        <f>(E31/D31)*100</f>
        <v>10.353674804063063</v>
      </c>
      <c r="G31" s="77">
        <f>(D31*24)</f>
        <v>9.0341334151254191</v>
      </c>
      <c r="H31" s="44" t="str">
        <f>IF(F31&gt;20,"     EDIT","")</f>
        <v/>
      </c>
      <c r="I31" s="45"/>
      <c r="J31" s="46">
        <f t="shared" ref="J31:J33" si="4">B31-(AVERAGE($B$34:$B$35))</f>
        <v>273239.33010606875</v>
      </c>
      <c r="K31" s="47">
        <f t="shared" ref="K31:K33" si="5">J31/$B$24</f>
        <v>8.2799797001839009E-2</v>
      </c>
      <c r="L31" s="47">
        <f>AVERAGE(K31:K33)</f>
        <v>7.5284445126045152E-2</v>
      </c>
      <c r="M31" s="47">
        <f>STDEV(K31:K33)</f>
        <v>7.7947066263940089E-3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151</v>
      </c>
      <c r="B32" s="104">
        <v>250999.12866882663</v>
      </c>
      <c r="C32" s="42">
        <f t="shared" si="3"/>
        <v>0.37907974649819159</v>
      </c>
      <c r="D32" s="42"/>
      <c r="E32" s="42"/>
      <c r="F32" s="48"/>
      <c r="G32" s="49"/>
      <c r="H32" s="44"/>
      <c r="I32" s="45"/>
      <c r="J32" s="46">
        <f t="shared" si="4"/>
        <v>250192.63268880642</v>
      </c>
      <c r="K32" s="47">
        <f t="shared" si="5"/>
        <v>7.5815949299638308E-2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152</v>
      </c>
      <c r="B33" s="105">
        <v>222690.53993299211</v>
      </c>
      <c r="C33" s="54">
        <f t="shared" si="3"/>
        <v>0.33618794538329072</v>
      </c>
      <c r="D33" s="54"/>
      <c r="E33" s="54"/>
      <c r="F33" s="55"/>
      <c r="G33" s="56"/>
      <c r="H33" s="57"/>
      <c r="I33" s="58"/>
      <c r="J33" s="46">
        <f t="shared" si="4"/>
        <v>221884.0439529719</v>
      </c>
      <c r="K33" s="47">
        <f t="shared" si="5"/>
        <v>6.7237589076658152E-2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153</v>
      </c>
      <c r="B34" s="106">
        <v>803.27466265716828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154</v>
      </c>
      <c r="B35" s="104">
        <v>809.71729738324029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155</v>
      </c>
      <c r="C1" s="1" t="s">
        <v>2</v>
      </c>
      <c r="D1" s="3">
        <v>44619</v>
      </c>
      <c r="E1" s="1" t="s">
        <v>3</v>
      </c>
      <c r="F1" s="2" t="s">
        <v>88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44624</v>
      </c>
      <c r="E4" s="15" t="s">
        <v>9</v>
      </c>
      <c r="F4" s="17" t="s">
        <v>156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44624</v>
      </c>
      <c r="E5" s="15" t="s">
        <v>14</v>
      </c>
      <c r="F5" s="17" t="s">
        <v>81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157</v>
      </c>
      <c r="B14" s="41">
        <v>2967.773567775625</v>
      </c>
      <c r="C14" s="42">
        <f t="shared" ref="C14:C16" si="0">((B14-AVERAGEA($B$17:$B$18))*$E$7)/($B$7*$I$21)</f>
        <v>1.1050952146996654E-2</v>
      </c>
      <c r="D14" s="42">
        <f>AVERAGEA(C14:C16)</f>
        <v>1.1182909195952032E-2</v>
      </c>
      <c r="E14" s="42">
        <f>STDEVA(C14:C16)</f>
        <v>1.1528064059920226E-4</v>
      </c>
      <c r="F14" s="43">
        <f>(E14/D14)*100</f>
        <v>1.0308644966994038</v>
      </c>
      <c r="G14" s="42">
        <f>(D14*24)</f>
        <v>0.26838982070284878</v>
      </c>
      <c r="H14" s="44" t="str">
        <f>IF(F14&gt;20,"     EDIT","")</f>
        <v/>
      </c>
      <c r="I14" s="45"/>
      <c r="J14" s="46">
        <f t="shared" ref="J14:J16" si="1">B14-(AVERAGE($B$17:$B$18))</f>
        <v>2917.4513668071168</v>
      </c>
      <c r="K14" s="47">
        <f t="shared" ref="K14:K16" si="2">J14/$B$7</f>
        <v>2.2101904293993307E-3</v>
      </c>
      <c r="L14" s="47">
        <f>AVERAGE(K14:K16)</f>
        <v>2.236581839190406E-3</v>
      </c>
      <c r="M14" s="47">
        <f>STDEV(K14:K16)</f>
        <v>2.3056128119840472E-5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158</v>
      </c>
      <c r="B15" s="41">
        <v>3024.0334402078911</v>
      </c>
      <c r="C15" s="42">
        <f t="shared" si="0"/>
        <v>1.1264057724391601E-2</v>
      </c>
      <c r="D15" s="42"/>
      <c r="E15" s="42"/>
      <c r="F15" s="48"/>
      <c r="G15" s="49"/>
      <c r="H15" s="44"/>
      <c r="I15" s="45"/>
      <c r="J15" s="46">
        <f t="shared" si="1"/>
        <v>2973.7112392393828</v>
      </c>
      <c r="K15" s="47">
        <f t="shared" si="2"/>
        <v>2.2528115448783204E-3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159</v>
      </c>
      <c r="B16" s="53">
        <v>3016.0236781160174</v>
      </c>
      <c r="C16" s="54">
        <f t="shared" si="0"/>
        <v>1.1233717716467839E-2</v>
      </c>
      <c r="D16" s="54"/>
      <c r="E16" s="54"/>
      <c r="F16" s="55"/>
      <c r="G16" s="56"/>
      <c r="H16" s="57"/>
      <c r="I16" s="58"/>
      <c r="J16" s="46">
        <f t="shared" si="1"/>
        <v>2965.7014771475092</v>
      </c>
      <c r="K16" s="47">
        <f t="shared" si="2"/>
        <v>2.2467435432935675E-3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160</v>
      </c>
      <c r="B17" s="60">
        <v>51.541077808575793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161</v>
      </c>
      <c r="B18" s="41">
        <v>49.103324128440448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44624</v>
      </c>
      <c r="E21" s="15" t="s">
        <v>9</v>
      </c>
      <c r="F21" s="17" t="s">
        <v>156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44624</v>
      </c>
      <c r="E22" s="15" t="s">
        <v>14</v>
      </c>
      <c r="F22" s="17" t="s">
        <v>81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157</v>
      </c>
      <c r="B31" s="104">
        <v>99915.757362023782</v>
      </c>
      <c r="C31" s="42">
        <f t="shared" ref="C31:C33" si="3">((B31-AVERAGEA($B$34:$B$35))*$E$24)/($B$24*$I$21)</f>
        <v>0.15087803646500256</v>
      </c>
      <c r="D31" s="42">
        <f>AVERAGEA(C31:C33)</f>
        <v>0.17467041564686636</v>
      </c>
      <c r="E31" s="42">
        <f>STDEVA(C31:C33)</f>
        <v>2.1581362863324016E-2</v>
      </c>
      <c r="F31" s="43">
        <f>(E31/D31)*100</f>
        <v>12.355476903974031</v>
      </c>
      <c r="G31" s="77">
        <f>(D31*24)</f>
        <v>4.1920899755247927</v>
      </c>
      <c r="H31" s="44" t="str">
        <f>IF(F31&gt;20,"     EDIT","")</f>
        <v/>
      </c>
      <c r="I31" s="45"/>
      <c r="J31" s="46">
        <f t="shared" ref="J31:J33" si="4">B31-(AVERAGE($B$34:$B$35))</f>
        <v>99579.504066901689</v>
      </c>
      <c r="K31" s="47">
        <f t="shared" ref="K31:K33" si="5">J31/$B$24</f>
        <v>3.0175607293000513E-2</v>
      </c>
      <c r="L31" s="47">
        <f>AVERAGE(K31:K33)</f>
        <v>3.4934083129373267E-2</v>
      </c>
      <c r="M31" s="47">
        <f>STDEV(K31:K33)</f>
        <v>4.3162725726648048E-3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158</v>
      </c>
      <c r="B32" s="104">
        <v>127706.42791598725</v>
      </c>
      <c r="C32" s="42">
        <f t="shared" si="3"/>
        <v>0.19298511306191693</v>
      </c>
      <c r="D32" s="42"/>
      <c r="E32" s="42"/>
      <c r="F32" s="48"/>
      <c r="G32" s="49"/>
      <c r="H32" s="44"/>
      <c r="I32" s="45"/>
      <c r="J32" s="46">
        <f t="shared" si="4"/>
        <v>127370.17462086516</v>
      </c>
      <c r="K32" s="47">
        <f t="shared" si="5"/>
        <v>3.8597022612383382E-2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159</v>
      </c>
      <c r="B33" s="105">
        <v>119233.99758815061</v>
      </c>
      <c r="C33" s="54">
        <f t="shared" si="3"/>
        <v>0.18014809741367957</v>
      </c>
      <c r="D33" s="54"/>
      <c r="E33" s="54"/>
      <c r="F33" s="55"/>
      <c r="G33" s="56"/>
      <c r="H33" s="57"/>
      <c r="I33" s="58"/>
      <c r="J33" s="46">
        <f t="shared" si="4"/>
        <v>118897.74429302852</v>
      </c>
      <c r="K33" s="47">
        <f t="shared" si="5"/>
        <v>3.6029619482735913E-2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160</v>
      </c>
      <c r="B34" s="106">
        <v>381.87411399320121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161</v>
      </c>
      <c r="B35" s="104">
        <v>290.63247625099274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162</v>
      </c>
      <c r="C1" s="1" t="s">
        <v>2</v>
      </c>
      <c r="D1" s="3">
        <v>44620</v>
      </c>
      <c r="E1" s="1" t="s">
        <v>3</v>
      </c>
      <c r="F1" s="2" t="s">
        <v>88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44624</v>
      </c>
      <c r="E4" s="15" t="s">
        <v>9</v>
      </c>
      <c r="F4" s="17" t="s">
        <v>156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44624</v>
      </c>
      <c r="E5" s="15" t="s">
        <v>14</v>
      </c>
      <c r="F5" s="17" t="s">
        <v>81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163</v>
      </c>
      <c r="B14" s="41">
        <v>885.82744978232301</v>
      </c>
      <c r="C14" s="42">
        <f t="shared" ref="C14:C16" si="0">((B14-AVERAGEA($B$17:$B$18))*$E$7)/($B$7*$I$21)</f>
        <v>3.1021338971267726E-3</v>
      </c>
      <c r="D14" s="42">
        <f>AVERAGEA(C14:C16)</f>
        <v>2.602623042034105E-3</v>
      </c>
      <c r="E14" s="42">
        <f>STDEVA(C14:C16)</f>
        <v>4.4574829212304747E-4</v>
      </c>
      <c r="F14" s="43">
        <f>(E14/D14)*100</f>
        <v>17.126886411282545</v>
      </c>
      <c r="G14" s="42">
        <f>(D14*24)</f>
        <v>6.2462953008818517E-2</v>
      </c>
      <c r="H14" s="44" t="str">
        <f>IF(F14&gt;20,"     EDIT","")</f>
        <v/>
      </c>
      <c r="I14" s="45"/>
      <c r="J14" s="46">
        <f t="shared" ref="J14:J16" si="1">B14-(AVERAGE($B$17:$B$18))</f>
        <v>818.96334884146791</v>
      </c>
      <c r="K14" s="47">
        <f t="shared" ref="K14:K16" si="2">J14/$B$7</f>
        <v>6.2042677942535443E-4</v>
      </c>
      <c r="L14" s="47">
        <f>AVERAGE(K14:K16)</f>
        <v>5.2052460840682098E-4</v>
      </c>
      <c r="M14" s="47">
        <f>STDEV(K14:K16)</f>
        <v>8.9149658424609441E-5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164</v>
      </c>
      <c r="B15" s="41">
        <v>659.63873331833668</v>
      </c>
      <c r="C15" s="42">
        <f t="shared" si="0"/>
        <v>2.245358455975309E-3</v>
      </c>
      <c r="D15" s="42"/>
      <c r="E15" s="42"/>
      <c r="F15" s="48"/>
      <c r="G15" s="49"/>
      <c r="H15" s="44"/>
      <c r="I15" s="45"/>
      <c r="J15" s="46">
        <f t="shared" si="1"/>
        <v>592.77463237748157</v>
      </c>
      <c r="K15" s="47">
        <f t="shared" si="2"/>
        <v>4.490716911950618E-4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165</v>
      </c>
      <c r="B16" s="53">
        <v>716.40356901291682</v>
      </c>
      <c r="C16" s="54">
        <f t="shared" si="0"/>
        <v>2.4603767730002339E-3</v>
      </c>
      <c r="D16" s="54"/>
      <c r="E16" s="54"/>
      <c r="F16" s="55"/>
      <c r="G16" s="56"/>
      <c r="H16" s="57"/>
      <c r="I16" s="58"/>
      <c r="J16" s="46">
        <f t="shared" si="1"/>
        <v>649.53946807206171</v>
      </c>
      <c r="K16" s="47">
        <f t="shared" si="2"/>
        <v>4.9207535460004672E-4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166</v>
      </c>
      <c r="B17" s="60">
        <v>78.008117764330919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167</v>
      </c>
      <c r="B18" s="41">
        <v>55.72008411737923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44624</v>
      </c>
      <c r="E21" s="15" t="s">
        <v>9</v>
      </c>
      <c r="F21" s="17" t="s">
        <v>156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44624</v>
      </c>
      <c r="E22" s="15" t="s">
        <v>14</v>
      </c>
      <c r="F22" s="17" t="s">
        <v>81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163</v>
      </c>
      <c r="B31" s="104">
        <v>64137.961000359719</v>
      </c>
      <c r="C31" s="42">
        <f t="shared" ref="C31:C33" si="3">((B31-AVERAGEA($B$34:$B$35))*$E$24)/($B$24*$I$21)</f>
        <v>9.672162359078286E-2</v>
      </c>
      <c r="D31" s="42">
        <f>AVERAGEA(C31:C33)</f>
        <v>8.4382368750804293E-2</v>
      </c>
      <c r="E31" s="42">
        <f>STDEVA(C31:C33)</f>
        <v>1.9283948259016186E-2</v>
      </c>
      <c r="F31" s="43">
        <f>(E31/D31)*100</f>
        <v>22.853053954867057</v>
      </c>
      <c r="G31" s="77">
        <f>(D31*24)</f>
        <v>2.025176850019303</v>
      </c>
      <c r="H31" s="44" t="str">
        <f>IF(F31&gt;20,"     EDIT","")</f>
        <v xml:space="preserve">     EDIT</v>
      </c>
      <c r="I31" s="45"/>
      <c r="J31" s="46">
        <f t="shared" ref="J31:J33" si="4">B31-(AVERAGE($B$34:$B$35))</f>
        <v>63836.271569916687</v>
      </c>
      <c r="K31" s="47">
        <f t="shared" ref="K31:K33" si="5">J31/$B$24</f>
        <v>1.9344324718156572E-2</v>
      </c>
      <c r="L31" s="47">
        <f>AVERAGE(K31:K33)</f>
        <v>1.6876473750160863E-2</v>
      </c>
      <c r="M31" s="47">
        <f>STDEV(K31:K33)</f>
        <v>3.8567896518032223E-3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164</v>
      </c>
      <c r="B32" s="104">
        <v>62516.645852754285</v>
      </c>
      <c r="C32" s="42">
        <f t="shared" si="3"/>
        <v>9.4265085488350386E-2</v>
      </c>
      <c r="D32" s="42"/>
      <c r="E32" s="42"/>
      <c r="F32" s="48"/>
      <c r="G32" s="49"/>
      <c r="H32" s="44"/>
      <c r="I32" s="45"/>
      <c r="J32" s="46">
        <f t="shared" si="4"/>
        <v>62214.956422311254</v>
      </c>
      <c r="K32" s="47">
        <f t="shared" si="5"/>
        <v>1.8853017097670077E-2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165</v>
      </c>
      <c r="B33" s="105">
        <v>41327.551564807603</v>
      </c>
      <c r="C33" s="54">
        <f t="shared" si="3"/>
        <v>6.2160397173279654E-2</v>
      </c>
      <c r="D33" s="54"/>
      <c r="E33" s="54"/>
      <c r="F33" s="55"/>
      <c r="G33" s="56"/>
      <c r="H33" s="57"/>
      <c r="I33" s="58"/>
      <c r="J33" s="46">
        <f t="shared" si="4"/>
        <v>41025.862134364572</v>
      </c>
      <c r="K33" s="47">
        <f t="shared" si="5"/>
        <v>1.2432079434655931E-2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166</v>
      </c>
      <c r="B34" s="106">
        <v>317.97014252108193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167</v>
      </c>
      <c r="B35" s="104">
        <v>285.40871836498843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168</v>
      </c>
      <c r="C1" s="1" t="s">
        <v>2</v>
      </c>
      <c r="D1" s="3">
        <v>44619</v>
      </c>
      <c r="E1" s="1" t="s">
        <v>3</v>
      </c>
      <c r="F1" s="2" t="s">
        <v>88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44624</v>
      </c>
      <c r="E4" s="15" t="s">
        <v>9</v>
      </c>
      <c r="F4" s="17" t="s">
        <v>156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44624</v>
      </c>
      <c r="E5" s="15" t="s">
        <v>14</v>
      </c>
      <c r="F5" s="17" t="s">
        <v>81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169</v>
      </c>
      <c r="B14" s="41">
        <v>4014.0226222371398</v>
      </c>
      <c r="C14" s="42">
        <f t="shared" ref="C14:C16" si="0">((B14-AVERAGEA($B$17:$B$18))*$E$7)/($B$7*$I$21)</f>
        <v>1.5005772179859078E-2</v>
      </c>
      <c r="D14" s="42">
        <f>AVERAGEA(C14:C16)</f>
        <v>1.4465148415478414E-2</v>
      </c>
      <c r="E14" s="42">
        <f>STDEVA(C14:C16)</f>
        <v>7.1017223414659937E-4</v>
      </c>
      <c r="F14" s="43">
        <f>(E14/D14)*100</f>
        <v>4.9095399075662467</v>
      </c>
      <c r="G14" s="42">
        <f>(D14*24)</f>
        <v>0.34716356197148196</v>
      </c>
      <c r="H14" s="44" t="str">
        <f>IF(F14&gt;20,"     EDIT","")</f>
        <v/>
      </c>
      <c r="I14" s="45"/>
      <c r="J14" s="46">
        <f t="shared" ref="J14:J16" si="1">B14-(AVERAGE($B$17:$B$18))</f>
        <v>3961.5238554827965</v>
      </c>
      <c r="K14" s="47">
        <f t="shared" ref="K14:K16" si="2">J14/$B$7</f>
        <v>3.0011544359718157E-3</v>
      </c>
      <c r="L14" s="47">
        <f>AVERAGE(K14:K16)</f>
        <v>2.8930296830956825E-3</v>
      </c>
      <c r="M14" s="47">
        <f>STDEV(K14:K16)</f>
        <v>1.4203444682931994E-4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170</v>
      </c>
      <c r="B15" s="41">
        <v>3658.9637987254278</v>
      </c>
      <c r="C15" s="42">
        <f t="shared" si="0"/>
        <v>1.3660852393829866E-2</v>
      </c>
      <c r="D15" s="42"/>
      <c r="E15" s="42"/>
      <c r="F15" s="48"/>
      <c r="G15" s="49"/>
      <c r="H15" s="44"/>
      <c r="I15" s="45"/>
      <c r="J15" s="46">
        <f t="shared" si="1"/>
        <v>3606.4650319710845</v>
      </c>
      <c r="K15" s="47">
        <f t="shared" si="2"/>
        <v>2.732170478765973E-3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171</v>
      </c>
      <c r="B16" s="53">
        <v>3940.9074243593664</v>
      </c>
      <c r="C16" s="54">
        <f t="shared" si="0"/>
        <v>1.4728820672746301E-2</v>
      </c>
      <c r="D16" s="54"/>
      <c r="E16" s="54"/>
      <c r="F16" s="55"/>
      <c r="G16" s="56"/>
      <c r="H16" s="57"/>
      <c r="I16" s="58"/>
      <c r="J16" s="46">
        <f t="shared" si="1"/>
        <v>3888.4086576050231</v>
      </c>
      <c r="K16" s="47">
        <f t="shared" si="2"/>
        <v>2.9457641345492598E-3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172</v>
      </c>
      <c r="B17" s="60">
        <v>52.585829385776648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173</v>
      </c>
      <c r="B18" s="41">
        <v>52.411704122909839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44624</v>
      </c>
      <c r="E21" s="15" t="s">
        <v>9</v>
      </c>
      <c r="F21" s="17" t="s">
        <v>156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44624</v>
      </c>
      <c r="E22" s="15" t="s">
        <v>14</v>
      </c>
      <c r="F22" s="17" t="s">
        <v>81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169</v>
      </c>
      <c r="B31" s="104">
        <v>180864.95529133285</v>
      </c>
      <c r="C31" s="42">
        <f t="shared" ref="C31:C33" si="3">((B31-AVERAGEA($B$34:$B$35))*$E$24)/($B$24*$I$21)</f>
        <v>0.27361167904053085</v>
      </c>
      <c r="D31" s="42">
        <f>AVERAGEA(C31:C33)</f>
        <v>0.24408731606022158</v>
      </c>
      <c r="E31" s="42">
        <f>STDEVA(C31:C33)</f>
        <v>2.7427306271614514E-2</v>
      </c>
      <c r="F31" s="43">
        <f>(E31/D31)*100</f>
        <v>11.23667821594122</v>
      </c>
      <c r="G31" s="77">
        <f>(D31*24)</f>
        <v>5.8580955854453176</v>
      </c>
      <c r="H31" s="44" t="str">
        <f>IF(F31&gt;20,"     EDIT","")</f>
        <v/>
      </c>
      <c r="I31" s="45"/>
      <c r="J31" s="46">
        <f t="shared" ref="J31:J33" si="4">B31-(AVERAGE($B$34:$B$35))</f>
        <v>180583.70816675038</v>
      </c>
      <c r="K31" s="47">
        <f t="shared" ref="K31:K33" si="5">J31/$B$24</f>
        <v>5.4722335808106176E-2</v>
      </c>
      <c r="L31" s="47">
        <f>AVERAGE(K31:K33)</f>
        <v>4.8817463212044311E-2</v>
      </c>
      <c r="M31" s="47">
        <f>STDEV(K31:K33)</f>
        <v>5.4854612543229053E-3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170</v>
      </c>
      <c r="B32" s="104">
        <v>145085.81816514471</v>
      </c>
      <c r="C32" s="42">
        <f t="shared" si="3"/>
        <v>0.21940086521297308</v>
      </c>
      <c r="D32" s="42"/>
      <c r="E32" s="42"/>
      <c r="F32" s="48"/>
      <c r="G32" s="49"/>
      <c r="H32" s="44"/>
      <c r="I32" s="45"/>
      <c r="J32" s="46">
        <f t="shared" si="4"/>
        <v>144804.57104056224</v>
      </c>
      <c r="K32" s="47">
        <f t="shared" si="5"/>
        <v>4.3880173042594617E-2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171</v>
      </c>
      <c r="B33" s="105">
        <v>158185.85371650857</v>
      </c>
      <c r="C33" s="54">
        <f t="shared" si="3"/>
        <v>0.23924940392716076</v>
      </c>
      <c r="D33" s="54"/>
      <c r="E33" s="54"/>
      <c r="F33" s="55"/>
      <c r="G33" s="56"/>
      <c r="H33" s="57"/>
      <c r="I33" s="58"/>
      <c r="J33" s="46">
        <f t="shared" si="4"/>
        <v>157904.6065919261</v>
      </c>
      <c r="K33" s="47">
        <f t="shared" si="5"/>
        <v>4.7849880785432154E-2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172</v>
      </c>
      <c r="B34" s="106">
        <v>312.41554663563068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173</v>
      </c>
      <c r="B35" s="104">
        <v>250.07870252931266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174</v>
      </c>
      <c r="C1" s="1" t="s">
        <v>2</v>
      </c>
      <c r="D1" s="3">
        <v>44606</v>
      </c>
      <c r="E1" s="1" t="s">
        <v>3</v>
      </c>
      <c r="F1" s="2" t="s">
        <v>126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44616</v>
      </c>
      <c r="E4" s="15" t="s">
        <v>9</v>
      </c>
      <c r="F4" s="17" t="s">
        <v>127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44616</v>
      </c>
      <c r="E5" s="15" t="s">
        <v>14</v>
      </c>
      <c r="F5" s="17" t="s">
        <v>128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175</v>
      </c>
      <c r="B14" s="41">
        <v>1056.6791577072372</v>
      </c>
      <c r="C14" s="42">
        <f t="shared" ref="C14:C16" si="0">((B14-AVERAGEA($B$17:$B$18))*$E$7)/($B$7*$I$21)</f>
        <v>3.7473207612794763E-3</v>
      </c>
      <c r="D14" s="42">
        <f>AVERAGEA(C14:C16)</f>
        <v>3.7235764072521839E-3</v>
      </c>
      <c r="E14" s="42">
        <f>STDEVA(C14:C16)</f>
        <v>6.7829494307837762E-5</v>
      </c>
      <c r="F14" s="43">
        <f>(E14/D14)*100</f>
        <v>1.8216221956861252</v>
      </c>
      <c r="G14" s="42">
        <f>(D14*24)</f>
        <v>8.9365833774052411E-2</v>
      </c>
      <c r="H14" s="44" t="str">
        <f>IF(F14&gt;20,"     EDIT","")</f>
        <v/>
      </c>
      <c r="I14" s="45"/>
      <c r="J14" s="46">
        <f t="shared" ref="J14:J16" si="1">B14-(AVERAGE($B$17:$B$18))</f>
        <v>989.29268097778174</v>
      </c>
      <c r="K14" s="47">
        <f t="shared" ref="K14:K16" si="2">J14/$B$7</f>
        <v>7.4946415225589521E-4</v>
      </c>
      <c r="L14" s="47">
        <f>AVERAGE(K14:K16)</f>
        <v>7.447152814504367E-4</v>
      </c>
      <c r="M14" s="47">
        <f>STDEV(K14:K16)</f>
        <v>1.3565898861567499E-5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176</v>
      </c>
      <c r="B15" s="41">
        <v>1030.2121177514819</v>
      </c>
      <c r="C15" s="42">
        <f t="shared" si="0"/>
        <v>3.64706682205313E-3</v>
      </c>
      <c r="D15" s="42"/>
      <c r="E15" s="42"/>
      <c r="F15" s="48"/>
      <c r="G15" s="49"/>
      <c r="H15" s="44"/>
      <c r="I15" s="45"/>
      <c r="J15" s="46">
        <f t="shared" si="1"/>
        <v>962.82564102202639</v>
      </c>
      <c r="K15" s="47">
        <f t="shared" si="2"/>
        <v>7.2941336441062607E-4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177</v>
      </c>
      <c r="B16" s="53">
        <v>1064.3406692733768</v>
      </c>
      <c r="C16" s="54">
        <f t="shared" si="0"/>
        <v>3.7763416384239443E-3</v>
      </c>
      <c r="D16" s="54"/>
      <c r="E16" s="54"/>
      <c r="F16" s="55"/>
      <c r="G16" s="56"/>
      <c r="H16" s="57"/>
      <c r="I16" s="58"/>
      <c r="J16" s="46">
        <f t="shared" si="1"/>
        <v>996.95419254392129</v>
      </c>
      <c r="K16" s="47">
        <f t="shared" si="2"/>
        <v>7.5526832768478883E-4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178</v>
      </c>
      <c r="B17" s="60">
        <v>59.724965163315858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179</v>
      </c>
      <c r="B18" s="41">
        <v>75.047988295595161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44616</v>
      </c>
      <c r="E21" s="15" t="s">
        <v>9</v>
      </c>
      <c r="F21" s="17" t="s">
        <v>127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44616</v>
      </c>
      <c r="E22" s="15" t="s">
        <v>14</v>
      </c>
      <c r="F22" s="17" t="s">
        <v>128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175</v>
      </c>
      <c r="B31" s="104">
        <v>59816.74658937296</v>
      </c>
      <c r="C31" s="42">
        <f t="shared" ref="C31:C33" si="3">((B31-AVERAGEA($B$34:$B$35))*$E$24)/($B$24*$I$21)</f>
        <v>9.01059848630065E-2</v>
      </c>
      <c r="D31" s="42">
        <f>AVERAGEA(C31:C33)</f>
        <v>8.6181904974404214E-2</v>
      </c>
      <c r="E31" s="42">
        <f>STDEVA(C31:C33)</f>
        <v>8.2603947120922436E-3</v>
      </c>
      <c r="F31" s="43">
        <f>(E31/D31)*100</f>
        <v>9.5848365321531919</v>
      </c>
      <c r="G31" s="77">
        <f>(D31*24)</f>
        <v>2.0683657193857012</v>
      </c>
      <c r="H31" s="44" t="str">
        <f>IF(F31&gt;20,"     EDIT","")</f>
        <v/>
      </c>
      <c r="I31" s="45"/>
      <c r="J31" s="46">
        <f t="shared" ref="J31:J33" si="4">B31-(AVERAGE($B$34:$B$35))</f>
        <v>59469.950009584281</v>
      </c>
      <c r="K31" s="47">
        <f t="shared" ref="K31:K33" si="5">J31/$B$24</f>
        <v>1.8021196972601298E-2</v>
      </c>
      <c r="L31" s="47">
        <f>AVERAGE(K31:K33)</f>
        <v>1.7236380994880843E-2</v>
      </c>
      <c r="M31" s="47">
        <f>STDEV(K31:K33)</f>
        <v>1.6520789424184482E-3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176</v>
      </c>
      <c r="B32" s="104">
        <v>60901.024601244593</v>
      </c>
      <c r="C32" s="42">
        <f t="shared" si="3"/>
        <v>9.1748830335539266E-2</v>
      </c>
      <c r="D32" s="42"/>
      <c r="E32" s="42"/>
      <c r="F32" s="48"/>
      <c r="G32" s="49"/>
      <c r="H32" s="44"/>
      <c r="I32" s="45"/>
      <c r="J32" s="46">
        <f t="shared" si="4"/>
        <v>60554.228021455914</v>
      </c>
      <c r="K32" s="47">
        <f t="shared" si="5"/>
        <v>1.8349766067107854E-2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177</v>
      </c>
      <c r="B33" s="105">
        <v>50962.790398068828</v>
      </c>
      <c r="C33" s="54">
        <f t="shared" si="3"/>
        <v>7.6690899724666889E-2</v>
      </c>
      <c r="D33" s="54"/>
      <c r="E33" s="54"/>
      <c r="F33" s="55"/>
      <c r="G33" s="56"/>
      <c r="H33" s="57"/>
      <c r="I33" s="58"/>
      <c r="J33" s="46">
        <f t="shared" si="4"/>
        <v>50615.993818280149</v>
      </c>
      <c r="K33" s="47">
        <f t="shared" si="5"/>
        <v>1.5338179944933378E-2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178</v>
      </c>
      <c r="B34" s="106">
        <v>385.54815703969092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179</v>
      </c>
      <c r="B35" s="104">
        <v>308.04500253767372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topLeftCell="A10" workbookViewId="0">
      <selection activeCell="G14" sqref="G14"/>
    </sheetView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180</v>
      </c>
      <c r="C1" s="1" t="s">
        <v>2</v>
      </c>
      <c r="D1" s="3">
        <v>44609</v>
      </c>
      <c r="E1" s="1" t="s">
        <v>3</v>
      </c>
      <c r="F1" s="2" t="s">
        <v>181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44616</v>
      </c>
      <c r="E4" s="15" t="s">
        <v>9</v>
      </c>
      <c r="F4" s="17" t="s">
        <v>127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44616</v>
      </c>
      <c r="E5" s="15" t="s">
        <v>14</v>
      </c>
      <c r="F5" s="17" t="s">
        <v>128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182</v>
      </c>
      <c r="B14" s="41">
        <v>274.45623933066611</v>
      </c>
      <c r="C14" s="42">
        <f t="shared" ref="C14:C16" si="0">((B14-AVERAGEA($B$17:$B$18))*$E$7)/($B$7*$I$21)</f>
        <v>8.3415234828657114E-4</v>
      </c>
      <c r="D14" s="42">
        <f>AVERAGEA(C14:C16)</f>
        <v>8.222581857599367E-4</v>
      </c>
      <c r="E14" s="42">
        <f>STDEVA(C14:C16)</f>
        <v>9.3600214735010899E-5</v>
      </c>
      <c r="F14" s="43">
        <f>(E14/D14)*100</f>
        <v>11.383312000537268</v>
      </c>
      <c r="G14" s="42">
        <f>(D14*24)</f>
        <v>1.9734196458238481E-2</v>
      </c>
      <c r="H14" s="44" t="str">
        <f>IF(F14&gt;20,"     EDIT","")</f>
        <v/>
      </c>
      <c r="I14" s="45"/>
      <c r="J14" s="46">
        <f t="shared" ref="J14:J16" si="1">B14-(AVERAGE($B$17:$B$18))</f>
        <v>220.21621994765476</v>
      </c>
      <c r="K14" s="47">
        <f t="shared" ref="K14:K16" si="2">J14/$B$7</f>
        <v>1.6683046965731421E-4</v>
      </c>
      <c r="L14" s="47">
        <f>AVERAGE(K14:K16)</f>
        <v>1.6445163715198734E-4</v>
      </c>
      <c r="M14" s="47">
        <f>STDEV(K14:K16)</f>
        <v>1.8720042947002173E-5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183</v>
      </c>
      <c r="B15" s="41">
        <v>294.30651929748245</v>
      </c>
      <c r="C15" s="42">
        <f t="shared" si="0"/>
        <v>9.0934280270632995E-4</v>
      </c>
      <c r="D15" s="42"/>
      <c r="E15" s="42"/>
      <c r="F15" s="48"/>
      <c r="G15" s="49"/>
      <c r="H15" s="44"/>
      <c r="I15" s="45"/>
      <c r="J15" s="46">
        <f t="shared" si="1"/>
        <v>240.06649991447111</v>
      </c>
      <c r="K15" s="47">
        <f t="shared" si="2"/>
        <v>1.8186856054126598E-4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184</v>
      </c>
      <c r="B16" s="53">
        <v>245.1857826427553</v>
      </c>
      <c r="C16" s="54">
        <f t="shared" si="0"/>
        <v>7.2327940628690891E-4</v>
      </c>
      <c r="D16" s="54"/>
      <c r="E16" s="54"/>
      <c r="F16" s="55"/>
      <c r="G16" s="56"/>
      <c r="H16" s="57"/>
      <c r="I16" s="58"/>
      <c r="J16" s="46">
        <f t="shared" si="1"/>
        <v>190.94576325974396</v>
      </c>
      <c r="K16" s="47">
        <f t="shared" si="2"/>
        <v>1.4465588125738178E-4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185</v>
      </c>
      <c r="B17" s="60">
        <v>50.844576757108548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186</v>
      </c>
      <c r="B18" s="41">
        <v>57.635462008914146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44616</v>
      </c>
      <c r="E21" s="15" t="s">
        <v>9</v>
      </c>
      <c r="F21" s="17" t="s">
        <v>127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44616</v>
      </c>
      <c r="E22" s="15" t="s">
        <v>14</v>
      </c>
      <c r="F22" s="17" t="s">
        <v>128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182</v>
      </c>
      <c r="B31" s="104">
        <v>3941.8477007788474</v>
      </c>
      <c r="C31" s="42">
        <f t="shared" ref="C31:C33" si="3">((B31-AVERAGEA($B$34:$B$35))*$E$24)/($B$24*$I$21)</f>
        <v>5.4422850909021511E-3</v>
      </c>
      <c r="D31" s="42">
        <f>AVERAGEA(C31:C33)</f>
        <v>4.9158375852962994E-3</v>
      </c>
      <c r="E31" s="42">
        <f>STDEVA(C31:C33)</f>
        <v>4.7657288668662422E-4</v>
      </c>
      <c r="F31" s="43">
        <f>(E31/D31)*100</f>
        <v>9.6946426405969035</v>
      </c>
      <c r="G31" s="77">
        <f>(D31*24)</f>
        <v>0.11798010204711118</v>
      </c>
      <c r="H31" s="44" t="str">
        <f>IF(F31&gt;20,"     EDIT","")</f>
        <v/>
      </c>
      <c r="I31" s="45"/>
      <c r="J31" s="46">
        <f t="shared" ref="J31:J33" si="4">B31-(AVERAGE($B$34:$B$35))</f>
        <v>3591.9081599954193</v>
      </c>
      <c r="K31" s="47">
        <f t="shared" ref="K31:K33" si="5">J31/$B$24</f>
        <v>1.0884570181804302E-3</v>
      </c>
      <c r="L31" s="47">
        <f>AVERAGE(K31:K33)</f>
        <v>9.8316751705925984E-4</v>
      </c>
      <c r="M31" s="47">
        <f>STDEV(K31:K33)</f>
        <v>9.5314577337324814E-5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183</v>
      </c>
      <c r="B32" s="104">
        <v>3329.0660756979692</v>
      </c>
      <c r="C32" s="42">
        <f t="shared" si="3"/>
        <v>4.5138280832038502E-3</v>
      </c>
      <c r="D32" s="42"/>
      <c r="E32" s="42"/>
      <c r="F32" s="48"/>
      <c r="G32" s="49"/>
      <c r="H32" s="44"/>
      <c r="I32" s="45"/>
      <c r="J32" s="46">
        <f t="shared" si="4"/>
        <v>2979.126534914541</v>
      </c>
      <c r="K32" s="47">
        <f t="shared" si="5"/>
        <v>9.0276561664077006E-4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184</v>
      </c>
      <c r="B33" s="105">
        <v>3512.2632647601395</v>
      </c>
      <c r="C33" s="54">
        <f t="shared" si="3"/>
        <v>4.7913995817828962E-3</v>
      </c>
      <c r="D33" s="54"/>
      <c r="E33" s="54"/>
      <c r="F33" s="55"/>
      <c r="G33" s="56"/>
      <c r="H33" s="57"/>
      <c r="I33" s="58"/>
      <c r="J33" s="46">
        <f t="shared" si="4"/>
        <v>3162.3237239767113</v>
      </c>
      <c r="K33" s="47">
        <f t="shared" si="5"/>
        <v>9.5827991635657919E-4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185</v>
      </c>
      <c r="B34" s="106">
        <v>335.92245712265003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186</v>
      </c>
      <c r="B35" s="104">
        <v>363.95662444420645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C5E7-B5B9-4E73-9176-1B2D571CA151}">
  <dimension ref="A2:W92"/>
  <sheetViews>
    <sheetView tabSelected="1" workbookViewId="0">
      <selection activeCell="C21" sqref="C20:C21"/>
    </sheetView>
  </sheetViews>
  <sheetFormatPr defaultRowHeight="15.75" x14ac:dyDescent="0.25"/>
  <cols>
    <col min="2" max="2" width="17.75" bestFit="1" customWidth="1"/>
    <col min="3" max="3" width="26.625" bestFit="1" customWidth="1"/>
    <col min="4" max="4" width="25.125" bestFit="1" customWidth="1"/>
    <col min="5" max="5" width="13.5" bestFit="1" customWidth="1"/>
    <col min="6" max="6" width="13" bestFit="1" customWidth="1"/>
    <col min="7" max="7" width="14.5" bestFit="1" customWidth="1"/>
    <col min="8" max="9" width="12.625" bestFit="1" customWidth="1"/>
    <col min="10" max="10" width="12.375" bestFit="1" customWidth="1"/>
    <col min="18" max="18" width="10.75" bestFit="1" customWidth="1"/>
    <col min="19" max="19" width="13.875" bestFit="1" customWidth="1"/>
    <col min="20" max="20" width="10.875" bestFit="1" customWidth="1"/>
    <col min="21" max="21" width="13" bestFit="1" customWidth="1"/>
  </cols>
  <sheetData>
    <row r="2" spans="1:23" s="129" customFormat="1" ht="15" x14ac:dyDescent="0.25">
      <c r="B2" s="130" t="s">
        <v>245</v>
      </c>
      <c r="C2" s="130" t="s">
        <v>246</v>
      </c>
      <c r="D2" s="130" t="s">
        <v>247</v>
      </c>
      <c r="E2" s="130" t="s">
        <v>248</v>
      </c>
      <c r="F2" s="130" t="s">
        <v>249</v>
      </c>
      <c r="H2" s="130" t="s">
        <v>250</v>
      </c>
      <c r="I2" s="130" t="s">
        <v>250</v>
      </c>
      <c r="J2" s="130" t="s">
        <v>33</v>
      </c>
      <c r="M2" s="130" t="str">
        <f>'[1]Carbon conversions'!H1</f>
        <v>ngC/L*d</v>
      </c>
      <c r="N2" s="130" t="s">
        <v>258</v>
      </c>
      <c r="O2" s="130" t="s">
        <v>251</v>
      </c>
      <c r="P2" s="130" t="s">
        <v>252</v>
      </c>
      <c r="Q2" s="130" t="s">
        <v>253</v>
      </c>
      <c r="R2" s="130" t="s">
        <v>254</v>
      </c>
      <c r="S2" s="130" t="s">
        <v>255</v>
      </c>
      <c r="T2" s="130" t="s">
        <v>249</v>
      </c>
      <c r="U2" s="130" t="s">
        <v>256</v>
      </c>
      <c r="V2" s="130" t="s">
        <v>257</v>
      </c>
      <c r="W2" s="130" t="s">
        <v>33</v>
      </c>
    </row>
    <row r="3" spans="1:23" x14ac:dyDescent="0.25">
      <c r="A3" s="131" t="s">
        <v>1</v>
      </c>
      <c r="B3" s="131">
        <f>('carbon conversions'!D5)/1000</f>
        <v>206848.35800272643</v>
      </c>
      <c r="C3" s="132">
        <v>1213333.3333333333</v>
      </c>
      <c r="D3" s="132">
        <f>B3/C3</f>
        <v>0.17047941593631299</v>
      </c>
      <c r="E3" s="132"/>
      <c r="H3" s="133">
        <f>LN(2)/D3</f>
        <v>4.0658702210646265</v>
      </c>
      <c r="I3" s="133"/>
      <c r="J3" s="133"/>
      <c r="L3" s="131" t="s">
        <v>1</v>
      </c>
      <c r="M3">
        <f>'carbon conversions'!H5</f>
        <v>2275.3319380299909</v>
      </c>
      <c r="N3" s="132">
        <f>C3</f>
        <v>1213333.3333333333</v>
      </c>
      <c r="O3" s="132">
        <f>N3*1000</f>
        <v>1213333333.3333333</v>
      </c>
      <c r="P3" s="132">
        <f>O3/M3</f>
        <v>533255.52771164081</v>
      </c>
      <c r="Q3" s="132">
        <f>P3/10^6</f>
        <v>0.53325552771164086</v>
      </c>
      <c r="R3" s="132">
        <f>P3*1000</f>
        <v>533255527.71164083</v>
      </c>
      <c r="U3" s="132">
        <f>R3/12.01</f>
        <v>44400959.842767768</v>
      </c>
    </row>
    <row r="4" spans="1:23" x14ac:dyDescent="0.25">
      <c r="A4" s="131" t="s">
        <v>45</v>
      </c>
      <c r="B4" s="131">
        <f>('carbon conversions'!D6)/1000</f>
        <v>136545.19658527273</v>
      </c>
      <c r="C4" s="132">
        <v>2163333.3333333335</v>
      </c>
      <c r="D4" s="132">
        <f t="shared" ref="D4" si="0">B4/C4</f>
        <v>6.3117964523238548E-2</v>
      </c>
      <c r="H4" s="133">
        <f t="shared" ref="H4:H21" si="1">LN(2)/D4</f>
        <v>10.981773347661502</v>
      </c>
      <c r="I4" s="133"/>
      <c r="J4" s="133"/>
      <c r="L4" s="131" t="s">
        <v>45</v>
      </c>
      <c r="M4">
        <f>'carbon conversions'!H6</f>
        <v>1501.997162438</v>
      </c>
      <c r="N4" s="132">
        <f t="shared" ref="N4:N21" si="2">C4</f>
        <v>2163333.3333333335</v>
      </c>
      <c r="O4" s="132">
        <f t="shared" ref="O4:O21" si="3">N4*1000</f>
        <v>2163333333.3333335</v>
      </c>
      <c r="P4" s="132">
        <f t="shared" ref="P4:P21" si="4">O4/M4</f>
        <v>1440304.5408034399</v>
      </c>
      <c r="Q4" s="132">
        <f t="shared" ref="Q4:Q21" si="5">P4/10^6</f>
        <v>1.4403045408034398</v>
      </c>
      <c r="R4" s="132">
        <f t="shared" ref="R4:R21" si="6">P4*1000</f>
        <v>1440304540.8034399</v>
      </c>
      <c r="U4" s="132">
        <f t="shared" ref="U4:U21" si="7">R4/12.01</f>
        <v>119925440.53317568</v>
      </c>
    </row>
    <row r="5" spans="1:23" x14ac:dyDescent="0.25">
      <c r="A5" s="131" t="s">
        <v>224</v>
      </c>
      <c r="B5" s="131">
        <f>('carbon conversions'!D7)/1000</f>
        <v>185420.16630110104</v>
      </c>
      <c r="C5" s="132">
        <v>2990000</v>
      </c>
      <c r="D5" s="132">
        <f t="shared" ref="D5:D21" si="8">B5/C5</f>
        <v>6.2013433545518741E-2</v>
      </c>
      <c r="H5" s="133">
        <f t="shared" si="1"/>
        <v>11.177371432774569</v>
      </c>
      <c r="I5" s="133"/>
      <c r="J5" s="133"/>
      <c r="L5" s="131" t="s">
        <v>224</v>
      </c>
      <c r="M5">
        <f>'carbon conversions'!H7</f>
        <v>2039.6218293121112</v>
      </c>
      <c r="N5" s="132">
        <f t="shared" si="2"/>
        <v>2990000</v>
      </c>
      <c r="O5" s="132">
        <f t="shared" si="3"/>
        <v>2990000000</v>
      </c>
      <c r="P5" s="132">
        <f t="shared" si="4"/>
        <v>1465958.0305670763</v>
      </c>
      <c r="Q5" s="132">
        <f t="shared" si="5"/>
        <v>1.4659580305670763</v>
      </c>
      <c r="R5" s="132">
        <f t="shared" si="6"/>
        <v>1465958030.5670762</v>
      </c>
      <c r="U5" s="132">
        <f t="shared" si="7"/>
        <v>122061451.33780818</v>
      </c>
    </row>
    <row r="6" spans="1:23" s="141" customFormat="1" x14ac:dyDescent="0.25">
      <c r="A6" s="139" t="s">
        <v>225</v>
      </c>
      <c r="B6" s="139">
        <f>('carbon conversions'!D8)/1000</f>
        <v>197299.46113337128</v>
      </c>
      <c r="C6" s="140">
        <v>1233333.3333333333</v>
      </c>
      <c r="D6" s="140">
        <f t="shared" si="8"/>
        <v>0.15997253605408485</v>
      </c>
      <c r="H6" s="142">
        <f t="shared" si="1"/>
        <v>4.3329136216581592</v>
      </c>
      <c r="I6" s="142"/>
      <c r="J6" s="142"/>
      <c r="L6" s="139" t="s">
        <v>225</v>
      </c>
      <c r="M6" s="141">
        <f>'carbon conversions'!H8</f>
        <v>2170.2940724670843</v>
      </c>
      <c r="N6" s="140">
        <f t="shared" si="2"/>
        <v>1233333.3333333333</v>
      </c>
      <c r="O6" s="140">
        <f t="shared" si="3"/>
        <v>1233333333.3333333</v>
      </c>
      <c r="P6" s="140">
        <f t="shared" si="4"/>
        <v>568279.36314240587</v>
      </c>
      <c r="Q6" s="140">
        <f t="shared" si="5"/>
        <v>0.5682793631424059</v>
      </c>
      <c r="R6" s="140">
        <f t="shared" si="6"/>
        <v>568279363.14240587</v>
      </c>
      <c r="U6" s="140">
        <f t="shared" si="7"/>
        <v>47317182.60969241</v>
      </c>
    </row>
    <row r="7" spans="1:23" x14ac:dyDescent="0.25">
      <c r="A7" s="131" t="s">
        <v>226</v>
      </c>
      <c r="B7" s="131">
        <f>('carbon conversions'!D9)/1000</f>
        <v>82807.875827755706</v>
      </c>
      <c r="C7" s="132">
        <v>1973333.3333333333</v>
      </c>
      <c r="D7" s="132">
        <f t="shared" si="8"/>
        <v>4.1963450588389718E-2</v>
      </c>
      <c r="H7" s="133">
        <f t="shared" si="1"/>
        <v>16.517878554813663</v>
      </c>
      <c r="I7" s="133"/>
      <c r="J7" s="133"/>
      <c r="L7" s="131" t="s">
        <v>226</v>
      </c>
      <c r="M7">
        <f>'carbon conversions'!H9</f>
        <v>910.88663410531274</v>
      </c>
      <c r="N7" s="132">
        <f t="shared" si="2"/>
        <v>1973333.3333333333</v>
      </c>
      <c r="O7" s="132">
        <f t="shared" si="3"/>
        <v>1973333333.3333333</v>
      </c>
      <c r="P7" s="132">
        <f t="shared" si="4"/>
        <v>2166387.4070032574</v>
      </c>
      <c r="Q7" s="132">
        <f t="shared" si="5"/>
        <v>2.1663874070032576</v>
      </c>
      <c r="R7" s="132">
        <f t="shared" si="6"/>
        <v>2166387407.0032573</v>
      </c>
      <c r="U7" s="132">
        <f t="shared" si="7"/>
        <v>180381965.61226124</v>
      </c>
    </row>
    <row r="8" spans="1:23" x14ac:dyDescent="0.25">
      <c r="A8" s="131" t="s">
        <v>227</v>
      </c>
      <c r="B8" s="131">
        <f>('carbon conversions'!D10)/1000</f>
        <v>311802.885549789</v>
      </c>
      <c r="C8" s="132">
        <v>1666666.6666666667</v>
      </c>
      <c r="D8" s="132">
        <f t="shared" si="8"/>
        <v>0.18708173132987338</v>
      </c>
      <c r="H8" s="133">
        <f t="shared" si="1"/>
        <v>3.7050500635882395</v>
      </c>
      <c r="I8" s="133"/>
      <c r="J8" s="133"/>
      <c r="L8" s="131" t="s">
        <v>227</v>
      </c>
      <c r="M8">
        <f>'carbon conversions'!H10</f>
        <v>3429.8317410476789</v>
      </c>
      <c r="N8" s="132">
        <f t="shared" si="2"/>
        <v>1666666.6666666667</v>
      </c>
      <c r="O8" s="132">
        <f t="shared" si="3"/>
        <v>1666666666.6666667</v>
      </c>
      <c r="P8" s="132">
        <f t="shared" si="4"/>
        <v>485932.48663491744</v>
      </c>
      <c r="Q8" s="132">
        <f t="shared" si="5"/>
        <v>0.48593248663491745</v>
      </c>
      <c r="R8" s="132">
        <f t="shared" si="6"/>
        <v>485932486.63491744</v>
      </c>
      <c r="U8" s="132">
        <f t="shared" si="7"/>
        <v>40460656.672349498</v>
      </c>
    </row>
    <row r="9" spans="1:23" x14ac:dyDescent="0.25">
      <c r="A9" s="131" t="s">
        <v>94</v>
      </c>
      <c r="B9" s="131">
        <f>('carbon conversions'!D11)/1000</f>
        <v>685035.74550957477</v>
      </c>
      <c r="C9" s="132">
        <v>1853333.3333333333</v>
      </c>
      <c r="D9" s="132">
        <f t="shared" si="8"/>
        <v>0.36962360369221664</v>
      </c>
      <c r="H9" s="133">
        <f t="shared" si="1"/>
        <v>1.8752784552610033</v>
      </c>
      <c r="I9" s="133"/>
      <c r="J9" s="133"/>
      <c r="L9" s="131" t="s">
        <v>94</v>
      </c>
      <c r="M9">
        <f>'carbon conversions'!H11</f>
        <v>7535.3932006053228</v>
      </c>
      <c r="N9" s="132">
        <f t="shared" si="2"/>
        <v>1853333.3333333333</v>
      </c>
      <c r="O9" s="132">
        <f t="shared" si="3"/>
        <v>1853333333.3333333</v>
      </c>
      <c r="P9" s="132">
        <f t="shared" si="4"/>
        <v>245950.44797190593</v>
      </c>
      <c r="Q9" s="132">
        <f t="shared" si="5"/>
        <v>0.24595044797190593</v>
      </c>
      <c r="R9" s="132">
        <f t="shared" si="6"/>
        <v>245950447.97190592</v>
      </c>
      <c r="U9" s="132">
        <f t="shared" si="7"/>
        <v>20478804.99349758</v>
      </c>
    </row>
    <row r="10" spans="1:23" x14ac:dyDescent="0.25">
      <c r="A10" s="131" t="s">
        <v>228</v>
      </c>
      <c r="B10" s="131">
        <f>('carbon conversions'!D12)/1000</f>
        <v>966338.38943377312</v>
      </c>
      <c r="C10" s="132">
        <v>3116666.6666666665</v>
      </c>
      <c r="D10" s="132">
        <f t="shared" si="8"/>
        <v>0.31005509821404487</v>
      </c>
      <c r="H10" s="133">
        <f t="shared" si="1"/>
        <v>2.2355613068533868</v>
      </c>
      <c r="I10" s="133"/>
      <c r="J10" s="133"/>
      <c r="L10" s="131" t="s">
        <v>228</v>
      </c>
      <c r="M10">
        <f>'carbon conversions'!H12</f>
        <v>10629.722283771505</v>
      </c>
      <c r="N10" s="132">
        <f t="shared" si="2"/>
        <v>3116666.6666666665</v>
      </c>
      <c r="O10" s="132">
        <f t="shared" si="3"/>
        <v>3116666666.6666665</v>
      </c>
      <c r="P10" s="132">
        <f t="shared" si="4"/>
        <v>293203.01918187551</v>
      </c>
      <c r="Q10" s="132">
        <f t="shared" si="5"/>
        <v>0.29320301918187552</v>
      </c>
      <c r="R10" s="132">
        <f t="shared" si="6"/>
        <v>293203019.18187553</v>
      </c>
      <c r="U10" s="132">
        <f t="shared" si="7"/>
        <v>24413240.564685725</v>
      </c>
    </row>
    <row r="11" spans="1:23" x14ac:dyDescent="0.25">
      <c r="A11" s="131" t="s">
        <v>109</v>
      </c>
      <c r="B11" s="131">
        <f>('carbon conversions'!D13)/1000</f>
        <v>515731.59406825696</v>
      </c>
      <c r="C11" s="132">
        <v>1443333.3333333333</v>
      </c>
      <c r="D11" s="132">
        <f t="shared" si="8"/>
        <v>0.35731981113274158</v>
      </c>
      <c r="H11" s="133">
        <f t="shared" si="1"/>
        <v>1.9398509653371736</v>
      </c>
      <c r="I11" s="133"/>
      <c r="J11" s="133"/>
      <c r="L11" s="131" t="s">
        <v>109</v>
      </c>
      <c r="M11">
        <f>'carbon conversions'!H13</f>
        <v>5673.0475347508263</v>
      </c>
      <c r="N11" s="132">
        <f t="shared" si="2"/>
        <v>1443333.3333333333</v>
      </c>
      <c r="O11" s="132">
        <f t="shared" si="3"/>
        <v>1443333333.3333333</v>
      </c>
      <c r="P11" s="132">
        <f t="shared" si="4"/>
        <v>254419.39706869173</v>
      </c>
      <c r="Q11" s="132">
        <f t="shared" si="5"/>
        <v>0.25441939706869171</v>
      </c>
      <c r="R11" s="132">
        <f t="shared" si="6"/>
        <v>254419397.06869173</v>
      </c>
      <c r="U11" s="132">
        <f t="shared" si="7"/>
        <v>21183963.119791154</v>
      </c>
    </row>
    <row r="12" spans="1:23" x14ac:dyDescent="0.25">
      <c r="A12" s="131" t="s">
        <v>229</v>
      </c>
      <c r="B12" s="131">
        <f>('carbon conversions'!D14)/1000</f>
        <v>63189.64843617149</v>
      </c>
      <c r="C12" s="132">
        <v>1896666.6666666667</v>
      </c>
      <c r="D12" s="132">
        <f t="shared" si="8"/>
        <v>3.3316159105187079E-2</v>
      </c>
      <c r="H12" s="133">
        <f t="shared" si="1"/>
        <v>20.805134780738499</v>
      </c>
      <c r="I12" s="133"/>
      <c r="J12" s="133"/>
      <c r="L12" s="131" t="s">
        <v>229</v>
      </c>
      <c r="M12">
        <f>'carbon conversions'!H14</f>
        <v>695.08613279788631</v>
      </c>
      <c r="N12" s="132">
        <f t="shared" si="2"/>
        <v>1896666.6666666667</v>
      </c>
      <c r="O12" s="132">
        <f t="shared" si="3"/>
        <v>1896666666.6666667</v>
      </c>
      <c r="P12" s="132">
        <f t="shared" si="4"/>
        <v>2728678.6157452664</v>
      </c>
      <c r="Q12" s="132">
        <f t="shared" si="5"/>
        <v>2.7286786157452663</v>
      </c>
      <c r="R12" s="132">
        <f t="shared" si="6"/>
        <v>2728678615.7452664</v>
      </c>
      <c r="U12" s="132">
        <f t="shared" si="7"/>
        <v>227200550.85306132</v>
      </c>
    </row>
    <row r="13" spans="1:23" s="141" customFormat="1" x14ac:dyDescent="0.25">
      <c r="A13" s="139" t="s">
        <v>230</v>
      </c>
      <c r="B13" s="139">
        <f>('carbon conversions'!D15)/1000</f>
        <v>67990.132080152922</v>
      </c>
      <c r="C13" s="140">
        <v>3526666.6666666665</v>
      </c>
      <c r="D13" s="140">
        <f t="shared" si="8"/>
        <v>1.9278865429154895E-2</v>
      </c>
      <c r="H13" s="142">
        <f t="shared" si="1"/>
        <v>35.953733019564417</v>
      </c>
      <c r="I13" s="142"/>
      <c r="J13" s="142"/>
      <c r="L13" s="139" t="s">
        <v>230</v>
      </c>
      <c r="M13" s="141">
        <f>'carbon conversions'!H15</f>
        <v>747.89145288168208</v>
      </c>
      <c r="N13" s="140">
        <f t="shared" si="2"/>
        <v>3526666.6666666665</v>
      </c>
      <c r="O13" s="140">
        <f t="shared" si="3"/>
        <v>3526666666.6666665</v>
      </c>
      <c r="P13" s="140">
        <f t="shared" si="4"/>
        <v>4715479.3026155792</v>
      </c>
      <c r="Q13" s="140">
        <f t="shared" si="5"/>
        <v>4.715479302615579</v>
      </c>
      <c r="R13" s="140">
        <f t="shared" si="6"/>
        <v>4715479302.6155796</v>
      </c>
      <c r="U13" s="140">
        <f t="shared" si="7"/>
        <v>392629417.37015653</v>
      </c>
    </row>
    <row r="14" spans="1:23" s="145" customFormat="1" x14ac:dyDescent="0.25">
      <c r="A14" s="143" t="s">
        <v>134</v>
      </c>
      <c r="B14" s="143">
        <f>('carbon conversions'!D16)/1000</f>
        <v>1091789.0581045565</v>
      </c>
      <c r="C14" s="144">
        <v>1423333.3333333333</v>
      </c>
      <c r="D14" s="144">
        <f t="shared" si="8"/>
        <v>0.76706491201725291</v>
      </c>
      <c r="H14" s="146">
        <f t="shared" si="1"/>
        <v>0.90363562418346532</v>
      </c>
      <c r="I14" s="146"/>
      <c r="J14" s="146"/>
      <c r="L14" s="143" t="s">
        <v>134</v>
      </c>
      <c r="M14" s="145">
        <f>'carbon conversions'!H16</f>
        <v>12009.679639150123</v>
      </c>
      <c r="N14" s="144">
        <f t="shared" si="2"/>
        <v>1423333.3333333333</v>
      </c>
      <c r="O14" s="144">
        <f t="shared" si="3"/>
        <v>1423333333.3333333</v>
      </c>
      <c r="P14" s="144">
        <f t="shared" si="4"/>
        <v>118515.51216182623</v>
      </c>
      <c r="Q14" s="144">
        <f t="shared" si="5"/>
        <v>0.11851551216182624</v>
      </c>
      <c r="R14" s="144">
        <f t="shared" si="6"/>
        <v>118515512.16182624</v>
      </c>
      <c r="U14" s="144">
        <f t="shared" si="7"/>
        <v>9868069.2890779544</v>
      </c>
    </row>
    <row r="15" spans="1:23" s="141" customFormat="1" ht="15" customHeight="1" x14ac:dyDescent="0.25">
      <c r="A15" s="139" t="s">
        <v>231</v>
      </c>
      <c r="B15" s="139">
        <f>('carbon conversions'!D17)/1000</f>
        <v>391790.19065344083</v>
      </c>
      <c r="C15" s="140">
        <v>1288000</v>
      </c>
      <c r="D15" s="140">
        <f t="shared" si="8"/>
        <v>0.30418493063155344</v>
      </c>
      <c r="H15" s="142">
        <f t="shared" si="1"/>
        <v>2.2787032188636775</v>
      </c>
      <c r="I15" s="142"/>
      <c r="J15" s="142"/>
      <c r="L15" s="139" t="s">
        <v>231</v>
      </c>
      <c r="M15" s="141">
        <f>'carbon conversions'!H17</f>
        <v>4309.692097187849</v>
      </c>
      <c r="N15" s="140">
        <f t="shared" si="2"/>
        <v>1288000</v>
      </c>
      <c r="O15" s="140">
        <f t="shared" si="3"/>
        <v>1288000000</v>
      </c>
      <c r="P15" s="140">
        <f t="shared" si="4"/>
        <v>298861.25759203144</v>
      </c>
      <c r="Q15" s="140">
        <f t="shared" si="5"/>
        <v>0.29886125759203142</v>
      </c>
      <c r="R15" s="140">
        <f t="shared" si="6"/>
        <v>298861257.59203142</v>
      </c>
      <c r="U15" s="140">
        <f t="shared" si="7"/>
        <v>24884367.826147497</v>
      </c>
    </row>
    <row r="16" spans="1:23" x14ac:dyDescent="0.25">
      <c r="A16" s="131" t="s">
        <v>233</v>
      </c>
      <c r="B16" s="131">
        <f>('carbon conversions'!D19)/1000</f>
        <v>586892.59657347098</v>
      </c>
      <c r="C16" s="132">
        <v>2593333.3333333335</v>
      </c>
      <c r="D16" s="132">
        <f t="shared" si="8"/>
        <v>0.22630819919285511</v>
      </c>
      <c r="H16" s="133">
        <f t="shared" si="1"/>
        <v>3.0628460790731658</v>
      </c>
      <c r="I16" s="133"/>
      <c r="J16" s="133"/>
      <c r="L16" s="131" t="s">
        <v>233</v>
      </c>
      <c r="M16">
        <f>'carbon conversions'!H18</f>
        <v>13912.565459293144</v>
      </c>
      <c r="N16" s="132">
        <f t="shared" si="2"/>
        <v>2593333.3333333335</v>
      </c>
      <c r="O16" s="132">
        <f t="shared" si="3"/>
        <v>2593333333.3333335</v>
      </c>
      <c r="P16" s="132">
        <f t="shared" si="4"/>
        <v>186402.23766933443</v>
      </c>
      <c r="Q16" s="132">
        <f t="shared" si="5"/>
        <v>0.18640223766933442</v>
      </c>
      <c r="R16" s="132">
        <f t="shared" si="6"/>
        <v>186402237.66933444</v>
      </c>
      <c r="U16" s="132">
        <f t="shared" si="7"/>
        <v>15520585.984124433</v>
      </c>
    </row>
    <row r="17" spans="1:23" x14ac:dyDescent="0.25">
      <c r="A17" s="131" t="s">
        <v>234</v>
      </c>
      <c r="B17" s="131">
        <f>('carbon conversions'!D20)/1000</f>
        <v>283524.75900270243</v>
      </c>
      <c r="C17" s="132">
        <v>1526666.6666666667</v>
      </c>
      <c r="D17" s="132">
        <f t="shared" si="8"/>
        <v>0.18571490764369153</v>
      </c>
      <c r="H17" s="133">
        <f t="shared" si="1"/>
        <v>3.7323184732687262</v>
      </c>
      <c r="I17" s="133"/>
      <c r="J17" s="133"/>
      <c r="L17" s="131" t="s">
        <v>234</v>
      </c>
      <c r="M17">
        <f>'carbon conversions'!H19</f>
        <v>6455.8185623081799</v>
      </c>
      <c r="N17" s="132">
        <f t="shared" si="2"/>
        <v>1526666.6666666667</v>
      </c>
      <c r="O17" s="132">
        <f t="shared" si="3"/>
        <v>1526666666.6666667</v>
      </c>
      <c r="P17" s="132">
        <f t="shared" si="4"/>
        <v>236479.17795893419</v>
      </c>
      <c r="Q17" s="132">
        <f t="shared" si="5"/>
        <v>0.23647917795893419</v>
      </c>
      <c r="R17" s="132">
        <f t="shared" si="6"/>
        <v>236479177.95893419</v>
      </c>
      <c r="U17" s="132">
        <f t="shared" si="7"/>
        <v>19690189.671851307</v>
      </c>
    </row>
    <row r="18" spans="1:23" x14ac:dyDescent="0.25">
      <c r="A18" s="131" t="s">
        <v>168</v>
      </c>
      <c r="B18" s="131">
        <f>('carbon conversions'!D21)/1000</f>
        <v>820133.3819623444</v>
      </c>
      <c r="C18" s="132">
        <v>2610000</v>
      </c>
      <c r="D18" s="132">
        <f t="shared" si="8"/>
        <v>0.31422734941085995</v>
      </c>
      <c r="H18" s="133">
        <f t="shared" si="1"/>
        <v>2.2058779474782075</v>
      </c>
      <c r="I18" s="133"/>
      <c r="J18" s="133"/>
      <c r="L18" s="131" t="s">
        <v>168</v>
      </c>
      <c r="M18">
        <f>'carbon conversions'!H20</f>
        <v>3118.7723490297262</v>
      </c>
      <c r="N18" s="132">
        <f t="shared" si="2"/>
        <v>2610000</v>
      </c>
      <c r="O18" s="132">
        <f t="shared" si="3"/>
        <v>2610000000</v>
      </c>
      <c r="P18" s="132">
        <f t="shared" si="4"/>
        <v>836867.75048265094</v>
      </c>
      <c r="Q18" s="132">
        <f t="shared" si="5"/>
        <v>0.83686775048265094</v>
      </c>
      <c r="R18" s="132">
        <f t="shared" si="6"/>
        <v>836867750.482651</v>
      </c>
      <c r="U18" s="132">
        <f t="shared" si="7"/>
        <v>69680911.780403912</v>
      </c>
    </row>
    <row r="19" spans="1:23" x14ac:dyDescent="0.25">
      <c r="A19" s="131" t="s">
        <v>235</v>
      </c>
      <c r="B19" s="131">
        <f>('carbon conversions'!D22)/1000</f>
        <v>289571.20071399811</v>
      </c>
      <c r="C19" s="132">
        <v>5530000</v>
      </c>
      <c r="D19" s="132">
        <f t="shared" si="8"/>
        <v>5.236368909837217E-2</v>
      </c>
      <c r="H19" s="133">
        <f t="shared" si="1"/>
        <v>13.237172408876233</v>
      </c>
      <c r="I19" s="133"/>
      <c r="J19" s="133"/>
      <c r="L19" s="131" t="s">
        <v>235</v>
      </c>
      <c r="M19">
        <f>'carbon conversions'!H21</f>
        <v>9021.4672015857886</v>
      </c>
      <c r="N19" s="132">
        <f t="shared" si="2"/>
        <v>5530000</v>
      </c>
      <c r="O19" s="132">
        <f t="shared" si="3"/>
        <v>5530000000</v>
      </c>
      <c r="P19" s="132">
        <f t="shared" si="4"/>
        <v>612982.33163536189</v>
      </c>
      <c r="Q19" s="132">
        <f t="shared" si="5"/>
        <v>0.61298233163536187</v>
      </c>
      <c r="R19" s="132">
        <f t="shared" si="6"/>
        <v>612982331.63536191</v>
      </c>
      <c r="U19" s="132">
        <f t="shared" si="7"/>
        <v>51039328.196116731</v>
      </c>
    </row>
    <row r="20" spans="1:23" s="145" customFormat="1" x14ac:dyDescent="0.25">
      <c r="A20" s="143" t="s">
        <v>180</v>
      </c>
      <c r="B20" s="143">
        <f>('carbon conversions'!D23)/1000</f>
        <v>16517.214286595561</v>
      </c>
      <c r="C20" s="144">
        <v>1077666.6666666667</v>
      </c>
      <c r="D20" s="144">
        <f t="shared" si="8"/>
        <v>1.5326830454620069E-2</v>
      </c>
      <c r="H20" s="146">
        <f t="shared" si="1"/>
        <v>45.224430622640917</v>
      </c>
      <c r="I20" s="146"/>
      <c r="J20" s="146"/>
      <c r="L20" s="143" t="s">
        <v>180</v>
      </c>
      <c r="M20" s="145">
        <f>'carbon conversions'!H22</f>
        <v>3185.2832078539795</v>
      </c>
      <c r="N20" s="144">
        <f t="shared" si="2"/>
        <v>1077666.6666666667</v>
      </c>
      <c r="O20" s="144">
        <f t="shared" si="3"/>
        <v>1077666666.6666667</v>
      </c>
      <c r="P20" s="144">
        <f t="shared" si="4"/>
        <v>338326.79744440148</v>
      </c>
      <c r="Q20" s="144">
        <f t="shared" si="5"/>
        <v>0.33832679744440147</v>
      </c>
      <c r="R20" s="144">
        <f t="shared" si="6"/>
        <v>338326797.4444015</v>
      </c>
      <c r="U20" s="144">
        <f t="shared" si="7"/>
        <v>28170424.433339011</v>
      </c>
    </row>
    <row r="21" spans="1:23" s="141" customFormat="1" x14ac:dyDescent="0.25">
      <c r="A21" s="139" t="s">
        <v>237</v>
      </c>
      <c r="B21" s="139">
        <f>('carbon conversions'!D24)/1000</f>
        <v>41238.430034053868</v>
      </c>
      <c r="C21" s="140">
        <v>718666.66666666663</v>
      </c>
      <c r="D21" s="140">
        <f t="shared" si="8"/>
        <v>5.7381859973173292E-2</v>
      </c>
      <c r="H21" s="142">
        <f t="shared" si="1"/>
        <v>12.079552333856029</v>
      </c>
      <c r="I21" s="142">
        <f>AVERAGE(H3:H21)</f>
        <v>10.33236591987135</v>
      </c>
      <c r="J21" s="142">
        <f>STDEV(H3:H21)</f>
        <v>12.196046246438442</v>
      </c>
      <c r="L21" s="139" t="s">
        <v>237</v>
      </c>
      <c r="M21" s="141">
        <f>'carbon conversions'!H23</f>
        <v>181.68935715255117</v>
      </c>
      <c r="N21" s="140">
        <f t="shared" si="2"/>
        <v>718666.66666666663</v>
      </c>
      <c r="O21" s="140">
        <f t="shared" si="3"/>
        <v>718666666.66666663</v>
      </c>
      <c r="P21" s="140">
        <f t="shared" si="4"/>
        <v>3955469.2576916059</v>
      </c>
      <c r="Q21" s="140">
        <f t="shared" si="5"/>
        <v>3.9554692576916057</v>
      </c>
      <c r="R21" s="140">
        <f t="shared" si="6"/>
        <v>3955469257.691606</v>
      </c>
      <c r="S21" s="140">
        <f>AVERAGE(R3:R21)</f>
        <v>1130618550.5832739</v>
      </c>
      <c r="T21" s="141">
        <f>+STDEV(R3:R21)</f>
        <v>1341546787.1180351</v>
      </c>
      <c r="U21" s="140">
        <f t="shared" si="7"/>
        <v>329347981.48972571</v>
      </c>
      <c r="V21" s="140">
        <f>AVERAGE(U3:U21)</f>
        <v>94139762.746317565</v>
      </c>
      <c r="W21" s="141">
        <f>+STDEV(U3:U21)</f>
        <v>111702480.19300875</v>
      </c>
    </row>
    <row r="22" spans="1:23" x14ac:dyDescent="0.25">
      <c r="A22" s="131"/>
      <c r="B22" s="131"/>
      <c r="C22" s="132"/>
      <c r="D22" s="132"/>
      <c r="E22" s="132">
        <f>AVERAGE(D3:D21)</f>
        <v>0.19456814463016539</v>
      </c>
      <c r="F22">
        <f>STDEV(D3:D21)</f>
        <v>0.18461848195862995</v>
      </c>
    </row>
    <row r="23" spans="1:23" x14ac:dyDescent="0.25">
      <c r="A23" s="131"/>
      <c r="B23" s="131"/>
      <c r="C23" s="132"/>
      <c r="D23" s="132"/>
      <c r="E23" s="132"/>
    </row>
    <row r="24" spans="1:23" x14ac:dyDescent="0.25">
      <c r="A24" s="131"/>
      <c r="B24" s="131"/>
      <c r="C24" s="132"/>
      <c r="D24" s="132"/>
      <c r="E24" s="132"/>
    </row>
    <row r="25" spans="1:23" x14ac:dyDescent="0.25">
      <c r="B25" s="130" t="s">
        <v>245</v>
      </c>
      <c r="C25" s="130" t="s">
        <v>246</v>
      </c>
      <c r="D25" s="130" t="s">
        <v>247</v>
      </c>
    </row>
    <row r="26" spans="1:23" x14ac:dyDescent="0.25">
      <c r="A26" s="131" t="s">
        <v>1</v>
      </c>
      <c r="B26" s="131">
        <f>('carbon conversions'!D31)/1000</f>
        <v>38662.140184172451</v>
      </c>
      <c r="C26" s="132">
        <v>1213333.3333333333</v>
      </c>
      <c r="D26" s="132">
        <f>B26/C26</f>
        <v>3.1864401250691579E-2</v>
      </c>
      <c r="H26" s="133">
        <f>LN(2)/D26</f>
        <v>21.753026994188424</v>
      </c>
      <c r="I26" s="133"/>
      <c r="J26" s="133"/>
      <c r="L26" s="131" t="s">
        <v>1</v>
      </c>
      <c r="M26">
        <f>'carbon conversions'!H31</f>
        <v>425.28354202589696</v>
      </c>
      <c r="N26" s="132">
        <f>C26</f>
        <v>1213333.3333333333</v>
      </c>
      <c r="O26" s="132">
        <f>N26*1000</f>
        <v>1213333333.3333333</v>
      </c>
      <c r="P26" s="132">
        <f>O26/M26</f>
        <v>2852998.560803581</v>
      </c>
      <c r="Q26" s="132">
        <f>P26/10^6</f>
        <v>2.8529985608035808</v>
      </c>
      <c r="R26" s="132">
        <f>P26*1000</f>
        <v>2852998560.8035812</v>
      </c>
    </row>
    <row r="27" spans="1:23" x14ac:dyDescent="0.25">
      <c r="A27" s="131" t="s">
        <v>45</v>
      </c>
      <c r="B27" s="131">
        <f>('carbon conversions'!D32)/1000</f>
        <v>129505.29490057178</v>
      </c>
      <c r="C27" s="132">
        <v>2163333.3333333335</v>
      </c>
      <c r="D27" s="132">
        <f t="shared" ref="D27" si="9">B27/C27</f>
        <v>5.9863772681312065E-2</v>
      </c>
      <c r="H27" s="133">
        <f t="shared" ref="H27:H44" si="10">LN(2)/D27</f>
        <v>11.578742025664681</v>
      </c>
      <c r="I27" s="133"/>
      <c r="J27" s="133"/>
      <c r="L27" s="131" t="s">
        <v>45</v>
      </c>
      <c r="M27">
        <f>'carbon conversions'!H32</f>
        <v>1424.5582439062896</v>
      </c>
      <c r="N27" s="132">
        <f t="shared" ref="N27:N44" si="11">C27</f>
        <v>2163333.3333333335</v>
      </c>
      <c r="O27" s="132">
        <f t="shared" ref="O27:O44" si="12">N27*1000</f>
        <v>2163333333.3333335</v>
      </c>
      <c r="P27" s="132">
        <f t="shared" ref="P27:P44" si="13">O27/M27</f>
        <v>1518599.4272871879</v>
      </c>
      <c r="Q27" s="132">
        <f t="shared" ref="Q27:Q44" si="14">P27/10^6</f>
        <v>1.5185994272871879</v>
      </c>
      <c r="R27" s="132">
        <f t="shared" ref="R27:R44" si="15">P27*1000</f>
        <v>1518599427.2871878</v>
      </c>
    </row>
    <row r="28" spans="1:23" x14ac:dyDescent="0.25">
      <c r="A28" s="131" t="s">
        <v>224</v>
      </c>
      <c r="B28" s="131">
        <f>('carbon conversions'!D33)/1000</f>
        <v>146333.60454771909</v>
      </c>
      <c r="C28" s="132">
        <v>2990000</v>
      </c>
      <c r="D28" s="132">
        <f t="shared" ref="D28:D44" si="16">B28/C28</f>
        <v>4.8941004865457889E-2</v>
      </c>
      <c r="H28" s="133">
        <f t="shared" si="10"/>
        <v>14.162912724523197</v>
      </c>
      <c r="I28" s="133"/>
      <c r="J28" s="133"/>
      <c r="L28" s="131" t="s">
        <v>224</v>
      </c>
      <c r="M28">
        <f>'carbon conversions'!H33</f>
        <v>1609.66965002491</v>
      </c>
      <c r="N28" s="132">
        <f t="shared" si="11"/>
        <v>2990000</v>
      </c>
      <c r="O28" s="132">
        <f t="shared" si="12"/>
        <v>2990000000</v>
      </c>
      <c r="P28" s="132">
        <f t="shared" si="13"/>
        <v>1857523.9956557106</v>
      </c>
      <c r="Q28" s="132">
        <f t="shared" si="14"/>
        <v>1.8575239956557106</v>
      </c>
      <c r="R28" s="132">
        <f t="shared" si="15"/>
        <v>1857523995.6557105</v>
      </c>
    </row>
    <row r="29" spans="1:23" s="141" customFormat="1" x14ac:dyDescent="0.25">
      <c r="A29" s="139" t="s">
        <v>225</v>
      </c>
      <c r="B29" s="139">
        <f>('carbon conversions'!D34)/1000</f>
        <v>74763.056047267644</v>
      </c>
      <c r="C29" s="140">
        <v>1233333.3333333333</v>
      </c>
      <c r="D29" s="140">
        <f t="shared" si="16"/>
        <v>6.0618694092379174E-2</v>
      </c>
      <c r="H29" s="142">
        <f t="shared" si="10"/>
        <v>11.434544919486907</v>
      </c>
      <c r="I29" s="142"/>
      <c r="J29" s="142"/>
      <c r="L29" s="139" t="s">
        <v>225</v>
      </c>
      <c r="M29" s="141">
        <f>'carbon conversions'!H34</f>
        <v>822.39361651994409</v>
      </c>
      <c r="N29" s="140">
        <f t="shared" si="11"/>
        <v>1233333.3333333333</v>
      </c>
      <c r="O29" s="140">
        <f t="shared" si="12"/>
        <v>1233333333.3333333</v>
      </c>
      <c r="P29" s="140">
        <f t="shared" si="13"/>
        <v>1499687.3863787139</v>
      </c>
      <c r="Q29" s="140">
        <f t="shared" si="14"/>
        <v>1.4996873863787139</v>
      </c>
      <c r="R29" s="140">
        <f t="shared" si="15"/>
        <v>1499687386.3787138</v>
      </c>
    </row>
    <row r="30" spans="1:23" x14ac:dyDescent="0.25">
      <c r="A30" s="131" t="s">
        <v>226</v>
      </c>
      <c r="B30" s="131">
        <f>('carbon conversions'!D35)/1000</f>
        <v>146238.01740004972</v>
      </c>
      <c r="C30" s="132">
        <v>1973333.3333333333</v>
      </c>
      <c r="D30" s="132">
        <f t="shared" si="16"/>
        <v>7.4107103412187361E-2</v>
      </c>
      <c r="H30" s="133">
        <f t="shared" si="10"/>
        <v>9.3533163306171403</v>
      </c>
      <c r="I30" s="133"/>
      <c r="J30" s="133"/>
      <c r="L30" s="131" t="s">
        <v>226</v>
      </c>
      <c r="M30">
        <f>'carbon conversions'!H35</f>
        <v>1608.6181914005467</v>
      </c>
      <c r="N30" s="132">
        <f t="shared" si="11"/>
        <v>1973333.3333333333</v>
      </c>
      <c r="O30" s="132">
        <f t="shared" si="12"/>
        <v>1973333333.3333333</v>
      </c>
      <c r="P30" s="132">
        <f t="shared" si="13"/>
        <v>1226725.7350951915</v>
      </c>
      <c r="Q30" s="132">
        <f t="shared" si="14"/>
        <v>1.2267257350951914</v>
      </c>
      <c r="R30" s="132">
        <f t="shared" si="15"/>
        <v>1226725735.0951915</v>
      </c>
    </row>
    <row r="31" spans="1:23" x14ac:dyDescent="0.25">
      <c r="A31" s="131" t="s">
        <v>227</v>
      </c>
      <c r="B31" s="131">
        <f>('carbon conversions'!D36)/1000</f>
        <v>345801.28095869633</v>
      </c>
      <c r="C31" s="132">
        <v>1666666.6666666667</v>
      </c>
      <c r="D31" s="132">
        <f t="shared" si="16"/>
        <v>0.2074807685752178</v>
      </c>
      <c r="H31" s="133">
        <f t="shared" si="10"/>
        <v>3.3407779685790944</v>
      </c>
      <c r="I31" s="133"/>
      <c r="J31" s="133"/>
      <c r="L31" s="131" t="s">
        <v>227</v>
      </c>
      <c r="M31">
        <f>'carbon conversions'!H36</f>
        <v>3803.8140905456594</v>
      </c>
      <c r="N31" s="132">
        <f t="shared" si="11"/>
        <v>1666666.6666666667</v>
      </c>
      <c r="O31" s="132">
        <f t="shared" si="12"/>
        <v>1666666666.6666667</v>
      </c>
      <c r="P31" s="132">
        <f t="shared" si="13"/>
        <v>438156.70981637866</v>
      </c>
      <c r="Q31" s="132">
        <f t="shared" si="14"/>
        <v>0.43815670981637866</v>
      </c>
      <c r="R31" s="132">
        <f t="shared" si="15"/>
        <v>438156709.81637865</v>
      </c>
    </row>
    <row r="32" spans="1:23" x14ac:dyDescent="0.25">
      <c r="A32" s="131" t="s">
        <v>94</v>
      </c>
      <c r="B32" s="131">
        <f>('carbon conversions'!D37)/1000</f>
        <v>196490.68551948035</v>
      </c>
      <c r="C32" s="132">
        <v>1853333.3333333333</v>
      </c>
      <c r="D32" s="132">
        <f t="shared" si="16"/>
        <v>0.10602015405727358</v>
      </c>
      <c r="H32" s="133">
        <f t="shared" si="10"/>
        <v>6.5378812804355801</v>
      </c>
      <c r="I32" s="133"/>
      <c r="J32" s="133"/>
      <c r="L32" s="131" t="s">
        <v>94</v>
      </c>
      <c r="M32">
        <f>'carbon conversions'!H37</f>
        <v>2161.3975407142839</v>
      </c>
      <c r="N32" s="132">
        <f t="shared" si="11"/>
        <v>1853333.3333333333</v>
      </c>
      <c r="O32" s="132">
        <f t="shared" si="12"/>
        <v>1853333333.3333333</v>
      </c>
      <c r="P32" s="132">
        <f t="shared" si="13"/>
        <v>857469.90010956349</v>
      </c>
      <c r="Q32" s="132">
        <f t="shared" si="14"/>
        <v>0.85746990010956348</v>
      </c>
      <c r="R32" s="132">
        <f t="shared" si="15"/>
        <v>857469900.10956347</v>
      </c>
    </row>
    <row r="33" spans="1:18" x14ac:dyDescent="0.25">
      <c r="A33" s="131" t="s">
        <v>228</v>
      </c>
      <c r="B33" s="131">
        <f>('carbon conversions'!D38)/1000</f>
        <v>200516.32088967791</v>
      </c>
      <c r="C33" s="132">
        <v>3116666.6666666665</v>
      </c>
      <c r="D33" s="132">
        <f t="shared" si="16"/>
        <v>6.4336787451233557E-2</v>
      </c>
      <c r="H33" s="133">
        <f t="shared" si="10"/>
        <v>10.773730054291905</v>
      </c>
      <c r="I33" s="133"/>
      <c r="J33" s="133"/>
      <c r="L33" s="131" t="s">
        <v>228</v>
      </c>
      <c r="M33">
        <f>'carbon conversions'!H38</f>
        <v>2205.6795297864574</v>
      </c>
      <c r="N33" s="132">
        <f t="shared" si="11"/>
        <v>3116666.6666666665</v>
      </c>
      <c r="O33" s="132">
        <f t="shared" si="12"/>
        <v>3116666666.6666665</v>
      </c>
      <c r="P33" s="132">
        <f t="shared" si="13"/>
        <v>1413018.811018483</v>
      </c>
      <c r="Q33" s="132">
        <f t="shared" si="14"/>
        <v>1.4130188110184829</v>
      </c>
      <c r="R33" s="132">
        <f t="shared" si="15"/>
        <v>1413018811.0184829</v>
      </c>
    </row>
    <row r="34" spans="1:18" x14ac:dyDescent="0.25">
      <c r="A34" s="131" t="s">
        <v>109</v>
      </c>
      <c r="B34" s="131">
        <f>('carbon conversions'!D39)/1000</f>
        <v>273392.28120931872</v>
      </c>
      <c r="C34" s="132">
        <v>1443333.3333333333</v>
      </c>
      <c r="D34" s="132">
        <f t="shared" si="16"/>
        <v>0.18941728490253029</v>
      </c>
      <c r="H34" s="133">
        <f t="shared" si="10"/>
        <v>3.6593660442162004</v>
      </c>
      <c r="I34" s="133"/>
      <c r="J34" s="133"/>
      <c r="L34" s="131" t="s">
        <v>109</v>
      </c>
      <c r="M34">
        <f>'carbon conversions'!H39</f>
        <v>3007.3150933025054</v>
      </c>
      <c r="N34" s="132">
        <f t="shared" si="11"/>
        <v>1443333.3333333333</v>
      </c>
      <c r="O34" s="132">
        <f t="shared" si="12"/>
        <v>1443333333.3333333</v>
      </c>
      <c r="P34" s="132">
        <f t="shared" si="13"/>
        <v>479940.84043528873</v>
      </c>
      <c r="Q34" s="132">
        <f t="shared" si="14"/>
        <v>0.47994084043528873</v>
      </c>
      <c r="R34" s="132">
        <f t="shared" si="15"/>
        <v>479940840.43528873</v>
      </c>
    </row>
    <row r="35" spans="1:18" x14ac:dyDescent="0.25">
      <c r="A35" s="131" t="s">
        <v>229</v>
      </c>
      <c r="B35" s="131">
        <f>('carbon conversions'!D40)/1000</f>
        <v>41699.72901226837</v>
      </c>
      <c r="C35" s="132">
        <v>1896666.6666666667</v>
      </c>
      <c r="D35" s="132">
        <f t="shared" si="16"/>
        <v>2.1985797370264518E-2</v>
      </c>
      <c r="H35" s="133">
        <f t="shared" si="10"/>
        <v>31.527043067240175</v>
      </c>
      <c r="I35" s="133"/>
      <c r="J35" s="133"/>
      <c r="L35" s="131" t="s">
        <v>229</v>
      </c>
      <c r="M35">
        <f>'carbon conversions'!H40</f>
        <v>458.69701913495209</v>
      </c>
      <c r="N35" s="132">
        <f t="shared" si="11"/>
        <v>1896666.6666666667</v>
      </c>
      <c r="O35" s="132">
        <f t="shared" si="12"/>
        <v>1896666666.6666667</v>
      </c>
      <c r="P35" s="132">
        <f t="shared" si="13"/>
        <v>4134900.7897272888</v>
      </c>
      <c r="Q35" s="132">
        <f t="shared" si="14"/>
        <v>4.1349007897272889</v>
      </c>
      <c r="R35" s="132">
        <f t="shared" si="15"/>
        <v>4134900789.7272887</v>
      </c>
    </row>
    <row r="36" spans="1:18" s="141" customFormat="1" x14ac:dyDescent="0.25">
      <c r="A36" s="139" t="s">
        <v>230</v>
      </c>
      <c r="B36" s="139">
        <f>('carbon conversions'!D41)/1000</f>
        <v>86286.98253518017</v>
      </c>
      <c r="C36" s="140">
        <v>3526666.6666666665</v>
      </c>
      <c r="D36" s="140">
        <f t="shared" si="16"/>
        <v>2.4467008280296836E-2</v>
      </c>
      <c r="H36" s="142">
        <f t="shared" si="10"/>
        <v>28.329870682151743</v>
      </c>
      <c r="I36" s="142"/>
      <c r="J36" s="142"/>
      <c r="L36" s="139" t="s">
        <v>230</v>
      </c>
      <c r="M36" s="141">
        <f>'carbon conversions'!H41</f>
        <v>949.15680788698182</v>
      </c>
      <c r="N36" s="140">
        <f t="shared" si="11"/>
        <v>3526666.6666666665</v>
      </c>
      <c r="O36" s="140">
        <f t="shared" si="12"/>
        <v>3526666666.6666665</v>
      </c>
      <c r="P36" s="140">
        <f t="shared" si="13"/>
        <v>3715578.5401969054</v>
      </c>
      <c r="Q36" s="140">
        <f t="shared" si="14"/>
        <v>3.7155785401969053</v>
      </c>
      <c r="R36" s="140">
        <f t="shared" si="15"/>
        <v>3715578540.1969056</v>
      </c>
    </row>
    <row r="37" spans="1:18" s="145" customFormat="1" x14ac:dyDescent="0.25">
      <c r="A37" s="143" t="s">
        <v>134</v>
      </c>
      <c r="B37" s="143">
        <f>('carbon conversions'!D42)/1000</f>
        <v>359764.95447992184</v>
      </c>
      <c r="C37" s="144">
        <v>1423333.3333333333</v>
      </c>
      <c r="D37" s="144">
        <f t="shared" si="16"/>
        <v>0.2527622631006477</v>
      </c>
      <c r="H37" s="146">
        <f t="shared" si="10"/>
        <v>2.7422890270765623</v>
      </c>
      <c r="I37" s="146"/>
      <c r="J37" s="146"/>
      <c r="L37" s="143" t="s">
        <v>134</v>
      </c>
      <c r="M37" s="145">
        <f>'carbon conversions'!H42</f>
        <v>3957.4144992791398</v>
      </c>
      <c r="N37" s="144">
        <f t="shared" si="11"/>
        <v>1423333.3333333333</v>
      </c>
      <c r="O37" s="144">
        <f t="shared" si="12"/>
        <v>1423333333.3333333</v>
      </c>
      <c r="P37" s="144">
        <f t="shared" si="13"/>
        <v>359662.43454977981</v>
      </c>
      <c r="Q37" s="144">
        <f t="shared" si="14"/>
        <v>0.35966243454977981</v>
      </c>
      <c r="R37" s="144">
        <f t="shared" si="15"/>
        <v>359662434.54977983</v>
      </c>
    </row>
    <row r="38" spans="1:18" s="141" customFormat="1" x14ac:dyDescent="0.25">
      <c r="A38" s="139" t="s">
        <v>231</v>
      </c>
      <c r="B38" s="139">
        <f>('carbon conversions'!D43)/1000</f>
        <v>693774.51138276164</v>
      </c>
      <c r="C38" s="140">
        <v>1288000</v>
      </c>
      <c r="D38" s="140">
        <f t="shared" si="16"/>
        <v>0.53864480697419381</v>
      </c>
      <c r="H38" s="142">
        <f t="shared" si="10"/>
        <v>1.2868353534375643</v>
      </c>
      <c r="I38" s="142"/>
      <c r="J38" s="142"/>
      <c r="L38" s="139" t="s">
        <v>231</v>
      </c>
      <c r="M38" s="141">
        <f>'carbon conversions'!H43</f>
        <v>7631.5196252103769</v>
      </c>
      <c r="N38" s="140">
        <f t="shared" si="11"/>
        <v>1288000</v>
      </c>
      <c r="O38" s="140">
        <f t="shared" si="12"/>
        <v>1288000000</v>
      </c>
      <c r="P38" s="140">
        <f t="shared" si="13"/>
        <v>168773.72571317916</v>
      </c>
      <c r="Q38" s="140">
        <f t="shared" si="14"/>
        <v>0.16877372571317917</v>
      </c>
      <c r="R38" s="140">
        <f t="shared" si="15"/>
        <v>168773725.71317914</v>
      </c>
    </row>
    <row r="39" spans="1:18" x14ac:dyDescent="0.25">
      <c r="A39" s="131" t="s">
        <v>233</v>
      </c>
      <c r="B39" s="131">
        <f>('carbon conversions'!D44)/1000</f>
        <v>877634.5923382839</v>
      </c>
      <c r="C39" s="132">
        <v>2593333.3333333335</v>
      </c>
      <c r="D39" s="132">
        <f t="shared" si="16"/>
        <v>0.33841950861373415</v>
      </c>
      <c r="H39" s="133">
        <f t="shared" si="10"/>
        <v>2.0481891939364845</v>
      </c>
      <c r="I39" s="133"/>
      <c r="J39" s="133"/>
      <c r="L39" s="131" t="s">
        <v>233</v>
      </c>
      <c r="M39">
        <f>'carbon conversions'!H44</f>
        <v>9653.9805157211231</v>
      </c>
      <c r="N39" s="132">
        <f t="shared" si="11"/>
        <v>2593333.3333333335</v>
      </c>
      <c r="O39" s="132">
        <f t="shared" si="12"/>
        <v>2593333333.3333335</v>
      </c>
      <c r="P39" s="132">
        <f t="shared" si="13"/>
        <v>268628.39935404813</v>
      </c>
      <c r="Q39" s="132">
        <f t="shared" si="14"/>
        <v>0.26862839935404814</v>
      </c>
      <c r="R39" s="132">
        <f t="shared" si="15"/>
        <v>268628399.35404813</v>
      </c>
    </row>
    <row r="40" spans="1:18" x14ac:dyDescent="0.25">
      <c r="A40" s="131" t="s">
        <v>234</v>
      </c>
      <c r="B40" s="131">
        <f>('carbon conversions'!D45)/1000</f>
        <v>536779.64140569768</v>
      </c>
      <c r="C40" s="132">
        <v>1526666.6666666667</v>
      </c>
      <c r="D40" s="132">
        <f t="shared" si="16"/>
        <v>0.35160238520023862</v>
      </c>
      <c r="H40" s="133">
        <f t="shared" si="10"/>
        <v>1.9713949897273759</v>
      </c>
      <c r="I40" s="133"/>
      <c r="J40" s="133"/>
      <c r="L40" s="131" t="s">
        <v>234</v>
      </c>
      <c r="M40">
        <f>'carbon conversions'!H45</f>
        <v>5904.576055462674</v>
      </c>
      <c r="N40" s="132">
        <f t="shared" si="11"/>
        <v>1526666.6666666667</v>
      </c>
      <c r="O40" s="132">
        <f t="shared" si="12"/>
        <v>1526666666.6666667</v>
      </c>
      <c r="P40" s="132">
        <f t="shared" si="13"/>
        <v>258556.52502845766</v>
      </c>
      <c r="Q40" s="132">
        <f t="shared" si="14"/>
        <v>0.25855652502845766</v>
      </c>
      <c r="R40" s="132">
        <f t="shared" si="15"/>
        <v>258556525.02845767</v>
      </c>
    </row>
    <row r="41" spans="1:18" x14ac:dyDescent="0.25">
      <c r="A41" s="131" t="s">
        <v>168</v>
      </c>
      <c r="B41" s="131">
        <f>('carbon conversions'!D46)/1000</f>
        <v>124925.90601763704</v>
      </c>
      <c r="C41" s="132">
        <v>2610000</v>
      </c>
      <c r="D41" s="132">
        <f t="shared" si="16"/>
        <v>4.7864331807523773E-2</v>
      </c>
      <c r="H41" s="133">
        <f t="shared" si="10"/>
        <v>14.481497064396287</v>
      </c>
      <c r="I41" s="133"/>
      <c r="J41" s="133"/>
      <c r="L41" s="131" t="s">
        <v>168</v>
      </c>
      <c r="M41">
        <f>'carbon conversions'!H46</f>
        <v>1374.1849661940073</v>
      </c>
      <c r="N41" s="132">
        <f t="shared" si="11"/>
        <v>2610000</v>
      </c>
      <c r="O41" s="132">
        <f t="shared" si="12"/>
        <v>2610000000</v>
      </c>
      <c r="P41" s="132">
        <f t="shared" si="13"/>
        <v>1899307.6363138733</v>
      </c>
      <c r="Q41" s="132">
        <f t="shared" si="14"/>
        <v>1.8993076363138734</v>
      </c>
      <c r="R41" s="132">
        <f t="shared" si="15"/>
        <v>1899307636.3138733</v>
      </c>
    </row>
    <row r="42" spans="1:18" x14ac:dyDescent="0.25">
      <c r="A42" s="131" t="s">
        <v>235</v>
      </c>
      <c r="B42" s="131">
        <f>('carbon conversions'!D47)/1000</f>
        <v>694327.12394296401</v>
      </c>
      <c r="C42" s="132">
        <v>5530000</v>
      </c>
      <c r="D42" s="132">
        <f t="shared" si="16"/>
        <v>0.12555644194266979</v>
      </c>
      <c r="H42" s="133">
        <f t="shared" si="10"/>
        <v>5.5206022871884386</v>
      </c>
      <c r="I42" s="133"/>
      <c r="J42" s="133"/>
      <c r="L42" s="131" t="s">
        <v>235</v>
      </c>
      <c r="M42">
        <f>'carbon conversions'!H47</f>
        <v>7637.5983633726037</v>
      </c>
      <c r="N42" s="132">
        <f t="shared" si="11"/>
        <v>5530000</v>
      </c>
      <c r="O42" s="132">
        <f t="shared" si="12"/>
        <v>5530000000</v>
      </c>
      <c r="P42" s="132">
        <f t="shared" si="13"/>
        <v>724049.59476791183</v>
      </c>
      <c r="Q42" s="132">
        <f t="shared" si="14"/>
        <v>0.72404959476791186</v>
      </c>
      <c r="R42" s="132">
        <f t="shared" si="15"/>
        <v>724049594.76791179</v>
      </c>
    </row>
    <row r="43" spans="1:18" s="145" customFormat="1" x14ac:dyDescent="0.25">
      <c r="A43" s="143" t="s">
        <v>180</v>
      </c>
      <c r="B43" s="143">
        <f>('carbon conversions'!D48)/1000</f>
        <v>178731.66754810486</v>
      </c>
      <c r="C43" s="144">
        <v>1077666.6666666667</v>
      </c>
      <c r="D43" s="144">
        <f t="shared" si="16"/>
        <v>0.16585060397287799</v>
      </c>
      <c r="H43" s="146">
        <f t="shared" si="10"/>
        <v>4.179346737098995</v>
      </c>
      <c r="I43" s="146"/>
      <c r="J43" s="146"/>
      <c r="L43" s="143" t="s">
        <v>180</v>
      </c>
      <c r="M43" s="145">
        <f>'carbon conversions'!H48</f>
        <v>1966.0483430291536</v>
      </c>
      <c r="N43" s="144">
        <f t="shared" si="11"/>
        <v>1077666.6666666667</v>
      </c>
      <c r="O43" s="144">
        <f t="shared" si="12"/>
        <v>1077666666.6666667</v>
      </c>
      <c r="P43" s="144">
        <f t="shared" si="13"/>
        <v>548138.4374334719</v>
      </c>
      <c r="Q43" s="144">
        <f t="shared" si="14"/>
        <v>0.5481384374334719</v>
      </c>
      <c r="R43" s="144">
        <f t="shared" si="15"/>
        <v>548138437.43347192</v>
      </c>
    </row>
    <row r="44" spans="1:18" s="141" customFormat="1" x14ac:dyDescent="0.25">
      <c r="A44" s="139" t="s">
        <v>237</v>
      </c>
      <c r="B44" s="139">
        <f>('carbon conversions'!D49)/1000</f>
        <v>39468.392916476965</v>
      </c>
      <c r="C44" s="140">
        <v>718666.66666666663</v>
      </c>
      <c r="D44" s="140">
        <f t="shared" si="16"/>
        <v>5.4918914076730475E-2</v>
      </c>
      <c r="H44" s="142">
        <f t="shared" si="10"/>
        <v>12.621283436003637</v>
      </c>
      <c r="I44" s="142">
        <f>AVERAGE(H26:H44)</f>
        <v>10.384350009487388</v>
      </c>
      <c r="J44" s="142">
        <f>STDEV(H26:H44)</f>
        <v>8.7918527704818867</v>
      </c>
      <c r="L44" s="139" t="s">
        <v>237</v>
      </c>
      <c r="M44" s="141">
        <f>'carbon conversions'!H49</f>
        <v>434.15232208124661</v>
      </c>
      <c r="N44" s="140">
        <f t="shared" si="11"/>
        <v>718666.66666666663</v>
      </c>
      <c r="O44" s="140">
        <f t="shared" si="12"/>
        <v>718666666.66666663</v>
      </c>
      <c r="P44" s="140">
        <f t="shared" si="13"/>
        <v>1655333.0020705876</v>
      </c>
      <c r="Q44" s="140">
        <f t="shared" si="14"/>
        <v>1.6553330020705876</v>
      </c>
      <c r="R44" s="140">
        <f t="shared" si="15"/>
        <v>1655333002.0705876</v>
      </c>
    </row>
    <row r="45" spans="1:18" x14ac:dyDescent="0.25">
      <c r="E45" s="132">
        <f>AVERAGE(D26:D44)</f>
        <v>0.14551168592776109</v>
      </c>
      <c r="F45">
        <f>STDEV(D26:D44)</f>
        <v>0.13944472330359478</v>
      </c>
    </row>
    <row r="52" spans="1:7" x14ac:dyDescent="0.25">
      <c r="B52" s="109" t="s">
        <v>259</v>
      </c>
      <c r="C52" s="109" t="s">
        <v>260</v>
      </c>
      <c r="D52" s="109" t="s">
        <v>261</v>
      </c>
      <c r="E52" s="109" t="s">
        <v>262</v>
      </c>
      <c r="F52" s="134" t="s">
        <v>263</v>
      </c>
      <c r="G52" s="109" t="s">
        <v>264</v>
      </c>
    </row>
    <row r="53" spans="1:7" x14ac:dyDescent="0.25">
      <c r="A53" s="131" t="s">
        <v>1</v>
      </c>
      <c r="B53">
        <f>'carbon conversions'!H5</f>
        <v>2275.3319380299909</v>
      </c>
      <c r="C53" s="132">
        <f t="shared" ref="C53:C70" si="17">(C3*11*10^-6)*1000</f>
        <v>13346.666666666666</v>
      </c>
      <c r="D53" s="132">
        <f>B53/C53</f>
        <v>0.17047941593631302</v>
      </c>
      <c r="E53" s="133">
        <f>1/D53</f>
        <v>5.8658108048280493</v>
      </c>
    </row>
    <row r="54" spans="1:7" x14ac:dyDescent="0.25">
      <c r="A54" s="131" t="s">
        <v>45</v>
      </c>
      <c r="B54">
        <f>'carbon conversions'!H6</f>
        <v>1501.997162438</v>
      </c>
      <c r="C54" s="132">
        <f t="shared" si="17"/>
        <v>23796.666666666668</v>
      </c>
      <c r="D54" s="132">
        <f t="shared" ref="D54:D71" si="18">B54/C54</f>
        <v>6.3117964523238548E-2</v>
      </c>
      <c r="E54" s="133">
        <f t="shared" ref="E54:E71" si="19">1/D54</f>
        <v>15.843349948837838</v>
      </c>
    </row>
    <row r="55" spans="1:7" x14ac:dyDescent="0.25">
      <c r="A55" s="131" t="s">
        <v>224</v>
      </c>
      <c r="B55">
        <f>'carbon conversions'!H7</f>
        <v>2039.6218293121112</v>
      </c>
      <c r="C55" s="132">
        <f t="shared" si="17"/>
        <v>32890</v>
      </c>
      <c r="D55" s="132">
        <f t="shared" si="18"/>
        <v>6.2013433545518734E-2</v>
      </c>
      <c r="E55" s="133">
        <f t="shared" si="19"/>
        <v>16.125538336237838</v>
      </c>
    </row>
    <row r="56" spans="1:7" x14ac:dyDescent="0.25">
      <c r="A56" s="131" t="s">
        <v>225</v>
      </c>
      <c r="B56">
        <f>'carbon conversions'!H8</f>
        <v>2170.2940724670843</v>
      </c>
      <c r="C56" s="132">
        <f t="shared" si="17"/>
        <v>13566.666666666664</v>
      </c>
      <c r="D56" s="132">
        <f t="shared" si="18"/>
        <v>0.15997253605408487</v>
      </c>
      <c r="E56" s="133">
        <f t="shared" si="19"/>
        <v>6.2510729945664645</v>
      </c>
    </row>
    <row r="57" spans="1:7" x14ac:dyDescent="0.25">
      <c r="A57" s="131" t="s">
        <v>226</v>
      </c>
      <c r="B57">
        <f>'carbon conversions'!H9</f>
        <v>910.88663410531274</v>
      </c>
      <c r="C57" s="132">
        <f t="shared" si="17"/>
        <v>21706.666666666664</v>
      </c>
      <c r="D57" s="132">
        <f t="shared" si="18"/>
        <v>4.1963450588389718E-2</v>
      </c>
      <c r="E57" s="133">
        <f t="shared" si="19"/>
        <v>23.83026147703583</v>
      </c>
    </row>
    <row r="58" spans="1:7" x14ac:dyDescent="0.25">
      <c r="A58" s="131" t="s">
        <v>227</v>
      </c>
      <c r="B58">
        <f>'carbon conversions'!H10</f>
        <v>3429.8317410476789</v>
      </c>
      <c r="C58" s="132">
        <f t="shared" si="17"/>
        <v>18333.333333333336</v>
      </c>
      <c r="D58" s="132">
        <f t="shared" si="18"/>
        <v>0.18708173132987338</v>
      </c>
      <c r="E58" s="133">
        <f t="shared" si="19"/>
        <v>5.3452573529840919</v>
      </c>
    </row>
    <row r="59" spans="1:7" x14ac:dyDescent="0.25">
      <c r="A59" s="131" t="s">
        <v>94</v>
      </c>
      <c r="B59">
        <f>'carbon conversions'!H11</f>
        <v>7535.3932006053228</v>
      </c>
      <c r="C59" s="132">
        <f t="shared" si="17"/>
        <v>20386.666666666664</v>
      </c>
      <c r="D59" s="132">
        <f t="shared" si="18"/>
        <v>0.36962360369221664</v>
      </c>
      <c r="E59" s="133">
        <f t="shared" si="19"/>
        <v>2.7054549276909654</v>
      </c>
    </row>
    <row r="60" spans="1:7" x14ac:dyDescent="0.25">
      <c r="A60" s="131" t="s">
        <v>228</v>
      </c>
      <c r="B60">
        <f>'carbon conversions'!H12</f>
        <v>10629.722283771505</v>
      </c>
      <c r="C60" s="132">
        <f t="shared" si="17"/>
        <v>34283.333333333321</v>
      </c>
      <c r="D60" s="132">
        <f t="shared" si="18"/>
        <v>0.31005509821404498</v>
      </c>
      <c r="E60" s="133">
        <f t="shared" si="19"/>
        <v>3.2252332110006301</v>
      </c>
    </row>
    <row r="61" spans="1:7" x14ac:dyDescent="0.25">
      <c r="A61" s="131" t="s">
        <v>109</v>
      </c>
      <c r="B61">
        <f>'carbon conversions'!H13</f>
        <v>5673.0475347508263</v>
      </c>
      <c r="C61" s="132">
        <f t="shared" si="17"/>
        <v>15876.666666666664</v>
      </c>
      <c r="D61" s="132">
        <f t="shared" si="18"/>
        <v>0.35731981113274158</v>
      </c>
      <c r="E61" s="133">
        <f t="shared" si="19"/>
        <v>2.7986133677556086</v>
      </c>
    </row>
    <row r="62" spans="1:7" x14ac:dyDescent="0.25">
      <c r="A62" s="131" t="s">
        <v>229</v>
      </c>
      <c r="B62">
        <f>'carbon conversions'!H14</f>
        <v>695.08613279788631</v>
      </c>
      <c r="C62" s="132">
        <f t="shared" si="17"/>
        <v>20863.333333333332</v>
      </c>
      <c r="D62" s="132">
        <f t="shared" si="18"/>
        <v>3.3316159105187072E-2</v>
      </c>
      <c r="E62" s="133">
        <f t="shared" si="19"/>
        <v>30.01546477319793</v>
      </c>
    </row>
    <row r="63" spans="1:7" x14ac:dyDescent="0.25">
      <c r="A63" s="131" t="s">
        <v>230</v>
      </c>
      <c r="B63">
        <f>'carbon conversions'!H15</f>
        <v>747.89145288168208</v>
      </c>
      <c r="C63" s="132">
        <f t="shared" si="17"/>
        <v>38793.333333333328</v>
      </c>
      <c r="D63" s="132">
        <f t="shared" si="18"/>
        <v>1.9278865429154895E-2</v>
      </c>
      <c r="E63" s="133">
        <f t="shared" si="19"/>
        <v>51.870272328771364</v>
      </c>
    </row>
    <row r="64" spans="1:7" x14ac:dyDescent="0.25">
      <c r="A64" s="131" t="s">
        <v>134</v>
      </c>
      <c r="B64">
        <f>'carbon conversions'!H16</f>
        <v>12009.679639150123</v>
      </c>
      <c r="C64" s="132">
        <f t="shared" si="17"/>
        <v>15656.666666666664</v>
      </c>
      <c r="D64" s="132">
        <f t="shared" si="18"/>
        <v>0.76706491201725302</v>
      </c>
      <c r="E64" s="133">
        <f t="shared" si="19"/>
        <v>1.3036706337800885</v>
      </c>
    </row>
    <row r="65" spans="1:5" x14ac:dyDescent="0.25">
      <c r="A65" s="131" t="s">
        <v>231</v>
      </c>
      <c r="B65">
        <f>'carbon conversions'!H17</f>
        <v>4309.692097187849</v>
      </c>
      <c r="C65" s="132">
        <f t="shared" si="17"/>
        <v>14168</v>
      </c>
      <c r="D65" s="132">
        <f t="shared" si="18"/>
        <v>0.30418493063155344</v>
      </c>
      <c r="E65" s="133">
        <f t="shared" si="19"/>
        <v>3.2874738335123457</v>
      </c>
    </row>
    <row r="66" spans="1:5" x14ac:dyDescent="0.25">
      <c r="A66" s="131" t="s">
        <v>233</v>
      </c>
      <c r="B66">
        <f>'carbon conversions'!H18</f>
        <v>13912.565459293144</v>
      </c>
      <c r="C66" s="132">
        <f t="shared" si="17"/>
        <v>28526.666666666668</v>
      </c>
      <c r="D66" s="132">
        <f t="shared" si="18"/>
        <v>0.4877038604566421</v>
      </c>
      <c r="E66" s="133">
        <f t="shared" si="19"/>
        <v>2.0504246143626785</v>
      </c>
    </row>
    <row r="67" spans="1:5" x14ac:dyDescent="0.25">
      <c r="A67" s="131" t="s">
        <v>234</v>
      </c>
      <c r="B67">
        <f>'carbon conversions'!H19</f>
        <v>6455.8185623081799</v>
      </c>
      <c r="C67" s="132">
        <f t="shared" si="17"/>
        <v>16793.333333333336</v>
      </c>
      <c r="D67" s="132">
        <f t="shared" si="18"/>
        <v>0.38442746500445685</v>
      </c>
      <c r="E67" s="133">
        <f t="shared" si="19"/>
        <v>2.6012709575482766</v>
      </c>
    </row>
    <row r="68" spans="1:5" x14ac:dyDescent="0.25">
      <c r="A68" s="131" t="s">
        <v>168</v>
      </c>
      <c r="B68">
        <f>'carbon conversions'!H20</f>
        <v>3118.7723490297262</v>
      </c>
      <c r="C68" s="132">
        <f t="shared" si="17"/>
        <v>28709.999999999996</v>
      </c>
      <c r="D68" s="132">
        <f t="shared" si="18"/>
        <v>0.10863017586310438</v>
      </c>
      <c r="E68" s="133">
        <f t="shared" si="19"/>
        <v>9.2055452553091595</v>
      </c>
    </row>
    <row r="69" spans="1:5" x14ac:dyDescent="0.25">
      <c r="A69" s="131" t="s">
        <v>235</v>
      </c>
      <c r="B69">
        <f>'carbon conversions'!H21</f>
        <v>9021.4672015857886</v>
      </c>
      <c r="C69" s="132">
        <f t="shared" si="17"/>
        <v>60830</v>
      </c>
      <c r="D69" s="132">
        <f t="shared" si="18"/>
        <v>0.148306217353046</v>
      </c>
      <c r="E69" s="133">
        <f t="shared" si="19"/>
        <v>6.7428056479889813</v>
      </c>
    </row>
    <row r="70" spans="1:5" x14ac:dyDescent="0.25">
      <c r="A70" s="131" t="s">
        <v>180</v>
      </c>
      <c r="B70">
        <f>'carbon conversions'!H22</f>
        <v>3185.2832078539795</v>
      </c>
      <c r="C70" s="132">
        <f t="shared" si="17"/>
        <v>11854.333333333332</v>
      </c>
      <c r="D70" s="132">
        <f t="shared" si="18"/>
        <v>0.26870201117908893</v>
      </c>
      <c r="E70" s="133">
        <f t="shared" si="19"/>
        <v>3.7215947718884159</v>
      </c>
    </row>
    <row r="71" spans="1:5" x14ac:dyDescent="0.25">
      <c r="A71" s="131" t="s">
        <v>237</v>
      </c>
      <c r="B71">
        <f>'carbon conversions'!H23</f>
        <v>181.68935715255117</v>
      </c>
      <c r="C71" s="132">
        <f t="shared" ref="C71" si="20">(C21*11*10^-6)*1000</f>
        <v>7905.333333333333</v>
      </c>
      <c r="D71" s="132">
        <f t="shared" si="18"/>
        <v>2.298313676242425E-2</v>
      </c>
      <c r="E71" s="133">
        <f t="shared" si="19"/>
        <v>43.510161834607665</v>
      </c>
    </row>
    <row r="72" spans="1:5" x14ac:dyDescent="0.25">
      <c r="E72" s="133"/>
    </row>
    <row r="73" spans="1:5" x14ac:dyDescent="0.25">
      <c r="E73" s="133"/>
    </row>
    <row r="74" spans="1:5" x14ac:dyDescent="0.25">
      <c r="A74" s="131" t="s">
        <v>1</v>
      </c>
      <c r="B74">
        <f>'carbon conversions'!H31</f>
        <v>425.28354202589696</v>
      </c>
      <c r="C74" s="132">
        <f t="shared" ref="C74:C91" si="21">(C3*11*10^-6)*1000</f>
        <v>13346.666666666666</v>
      </c>
      <c r="D74" s="132">
        <f>B74/C74</f>
        <v>3.1864401250691579E-2</v>
      </c>
      <c r="E74" s="133">
        <f>1/D74</f>
        <v>31.382984168839393</v>
      </c>
    </row>
    <row r="75" spans="1:5" x14ac:dyDescent="0.25">
      <c r="A75" s="131" t="s">
        <v>45</v>
      </c>
      <c r="B75">
        <f>'carbon conversions'!H32</f>
        <v>1424.5582439062896</v>
      </c>
      <c r="C75" s="132">
        <f t="shared" si="21"/>
        <v>23796.666666666668</v>
      </c>
      <c r="D75" s="132">
        <f t="shared" ref="D75:D92" si="22">B75/C75</f>
        <v>5.9863772681312065E-2</v>
      </c>
      <c r="E75" s="133">
        <f t="shared" ref="E75:E92" si="23">1/D75</f>
        <v>16.704593700159066</v>
      </c>
    </row>
    <row r="76" spans="1:5" x14ac:dyDescent="0.25">
      <c r="A76" s="131" t="s">
        <v>224</v>
      </c>
      <c r="B76">
        <f>'carbon conversions'!H33</f>
        <v>1609.66965002491</v>
      </c>
      <c r="C76" s="132">
        <f t="shared" si="21"/>
        <v>32890</v>
      </c>
      <c r="D76" s="132">
        <f t="shared" si="22"/>
        <v>4.8941004865457889E-2</v>
      </c>
      <c r="E76" s="133">
        <f t="shared" si="23"/>
        <v>20.432763952212817</v>
      </c>
    </row>
    <row r="77" spans="1:5" x14ac:dyDescent="0.25">
      <c r="A77" s="131" t="s">
        <v>225</v>
      </c>
      <c r="B77">
        <f>'carbon conversions'!H34</f>
        <v>822.39361651994409</v>
      </c>
      <c r="C77" s="132">
        <f t="shared" si="21"/>
        <v>13566.666666666664</v>
      </c>
      <c r="D77" s="132">
        <f t="shared" si="22"/>
        <v>6.0618694092379181E-2</v>
      </c>
      <c r="E77" s="133">
        <f t="shared" si="23"/>
        <v>16.496561250165851</v>
      </c>
    </row>
    <row r="78" spans="1:5" x14ac:dyDescent="0.25">
      <c r="A78" s="131" t="s">
        <v>226</v>
      </c>
      <c r="B78">
        <f>'carbon conversions'!H35</f>
        <v>1608.6181914005467</v>
      </c>
      <c r="C78" s="132">
        <f t="shared" si="21"/>
        <v>21706.666666666664</v>
      </c>
      <c r="D78" s="132">
        <f t="shared" si="22"/>
        <v>7.4107103412187361E-2</v>
      </c>
      <c r="E78" s="133">
        <f t="shared" si="23"/>
        <v>13.493983086047106</v>
      </c>
    </row>
    <row r="79" spans="1:5" x14ac:dyDescent="0.25">
      <c r="A79" s="131" t="s">
        <v>227</v>
      </c>
      <c r="B79">
        <f>'carbon conversions'!H36</f>
        <v>3803.8140905456594</v>
      </c>
      <c r="C79" s="132">
        <f t="shared" si="21"/>
        <v>18333.333333333336</v>
      </c>
      <c r="D79" s="132">
        <f t="shared" si="22"/>
        <v>0.20748076857521774</v>
      </c>
      <c r="E79" s="133">
        <f t="shared" si="23"/>
        <v>4.8197238079801661</v>
      </c>
    </row>
    <row r="80" spans="1:5" x14ac:dyDescent="0.25">
      <c r="A80" s="131" t="s">
        <v>94</v>
      </c>
      <c r="B80">
        <f>'carbon conversions'!H37</f>
        <v>2161.3975407142839</v>
      </c>
      <c r="C80" s="132">
        <f t="shared" si="21"/>
        <v>20386.666666666664</v>
      </c>
      <c r="D80" s="132">
        <f t="shared" si="22"/>
        <v>0.10602015405727358</v>
      </c>
      <c r="E80" s="133">
        <f t="shared" si="23"/>
        <v>9.4321689012051984</v>
      </c>
    </row>
    <row r="81" spans="1:5" x14ac:dyDescent="0.25">
      <c r="A81" s="131" t="s">
        <v>228</v>
      </c>
      <c r="B81">
        <f>'carbon conversions'!H38</f>
        <v>2205.6795297864574</v>
      </c>
      <c r="C81" s="132">
        <f t="shared" si="21"/>
        <v>34283.333333333321</v>
      </c>
      <c r="D81" s="132">
        <f t="shared" si="22"/>
        <v>6.4336787451233585E-2</v>
      </c>
      <c r="E81" s="133">
        <f t="shared" si="23"/>
        <v>15.543206921203309</v>
      </c>
    </row>
    <row r="82" spans="1:5" x14ac:dyDescent="0.25">
      <c r="A82" s="131" t="s">
        <v>109</v>
      </c>
      <c r="B82">
        <f>'carbon conversions'!H39</f>
        <v>3007.3150933025054</v>
      </c>
      <c r="C82" s="132">
        <f t="shared" si="21"/>
        <v>15876.666666666664</v>
      </c>
      <c r="D82" s="132">
        <f t="shared" si="22"/>
        <v>0.18941728490253029</v>
      </c>
      <c r="E82" s="133">
        <f t="shared" si="23"/>
        <v>5.2793492447881754</v>
      </c>
    </row>
    <row r="83" spans="1:5" x14ac:dyDescent="0.25">
      <c r="A83" s="131" t="s">
        <v>229</v>
      </c>
      <c r="B83">
        <f>'carbon conversions'!H40</f>
        <v>458.69701913495209</v>
      </c>
      <c r="C83" s="132">
        <f t="shared" si="21"/>
        <v>20863.333333333332</v>
      </c>
      <c r="D83" s="132">
        <f t="shared" si="22"/>
        <v>2.1985797370264522E-2</v>
      </c>
      <c r="E83" s="133">
        <f t="shared" si="23"/>
        <v>45.483908687000174</v>
      </c>
    </row>
    <row r="84" spans="1:5" x14ac:dyDescent="0.25">
      <c r="A84" s="131" t="s">
        <v>230</v>
      </c>
      <c r="B84">
        <f>'carbon conversions'!H41</f>
        <v>949.15680788698182</v>
      </c>
      <c r="C84" s="132">
        <f t="shared" si="21"/>
        <v>38793.333333333328</v>
      </c>
      <c r="D84" s="132">
        <f t="shared" si="22"/>
        <v>2.4467008280296836E-2</v>
      </c>
      <c r="E84" s="133">
        <f t="shared" si="23"/>
        <v>40.871363942165956</v>
      </c>
    </row>
    <row r="85" spans="1:5" x14ac:dyDescent="0.25">
      <c r="A85" s="131" t="s">
        <v>134</v>
      </c>
      <c r="B85">
        <f>'carbon conversions'!H42</f>
        <v>3957.4144992791398</v>
      </c>
      <c r="C85" s="132">
        <f t="shared" si="21"/>
        <v>15656.666666666664</v>
      </c>
      <c r="D85" s="132">
        <f t="shared" si="22"/>
        <v>0.2527622631006477</v>
      </c>
      <c r="E85" s="133">
        <f t="shared" si="23"/>
        <v>3.9562867800475772</v>
      </c>
    </row>
    <row r="86" spans="1:5" x14ac:dyDescent="0.25">
      <c r="A86" s="131" t="s">
        <v>231</v>
      </c>
      <c r="B86">
        <f>'carbon conversions'!H43</f>
        <v>7631.5196252103769</v>
      </c>
      <c r="C86" s="132">
        <f t="shared" si="21"/>
        <v>14168</v>
      </c>
      <c r="D86" s="132">
        <f t="shared" si="22"/>
        <v>0.5386448069741937</v>
      </c>
      <c r="E86" s="133">
        <f t="shared" si="23"/>
        <v>1.8565109828449708</v>
      </c>
    </row>
    <row r="87" spans="1:5" x14ac:dyDescent="0.25">
      <c r="A87" s="131" t="s">
        <v>233</v>
      </c>
      <c r="B87">
        <f>'carbon conversions'!H44</f>
        <v>9653.9805157211231</v>
      </c>
      <c r="C87" s="132">
        <f t="shared" si="21"/>
        <v>28526.666666666668</v>
      </c>
      <c r="D87" s="132">
        <f t="shared" si="22"/>
        <v>0.33841950861373415</v>
      </c>
      <c r="E87" s="133">
        <f t="shared" si="23"/>
        <v>2.9549123928945296</v>
      </c>
    </row>
    <row r="88" spans="1:5" x14ac:dyDescent="0.25">
      <c r="A88" s="131" t="s">
        <v>234</v>
      </c>
      <c r="B88">
        <f>'carbon conversions'!H45</f>
        <v>5904.576055462674</v>
      </c>
      <c r="C88" s="132">
        <f t="shared" si="21"/>
        <v>16793.333333333336</v>
      </c>
      <c r="D88" s="132">
        <f t="shared" si="22"/>
        <v>0.35160238520023857</v>
      </c>
      <c r="E88" s="133">
        <f t="shared" si="23"/>
        <v>2.8441217753130346</v>
      </c>
    </row>
    <row r="89" spans="1:5" x14ac:dyDescent="0.25">
      <c r="A89" s="131" t="s">
        <v>168</v>
      </c>
      <c r="B89">
        <f>'carbon conversions'!H46</f>
        <v>1374.1849661940073</v>
      </c>
      <c r="C89" s="132">
        <f t="shared" si="21"/>
        <v>28709.999999999996</v>
      </c>
      <c r="D89" s="132">
        <f t="shared" si="22"/>
        <v>4.7864331807523773E-2</v>
      </c>
      <c r="E89" s="133">
        <f t="shared" si="23"/>
        <v>20.892383999452605</v>
      </c>
    </row>
    <row r="90" spans="1:5" x14ac:dyDescent="0.25">
      <c r="A90" s="131" t="s">
        <v>235</v>
      </c>
      <c r="B90">
        <f>'carbon conversions'!H47</f>
        <v>7637.5983633726037</v>
      </c>
      <c r="C90" s="132">
        <f t="shared" si="21"/>
        <v>60830</v>
      </c>
      <c r="D90" s="132">
        <f t="shared" si="22"/>
        <v>0.12555644194266979</v>
      </c>
      <c r="E90" s="133">
        <f t="shared" si="23"/>
        <v>7.9645455424470297</v>
      </c>
    </row>
    <row r="91" spans="1:5" s="136" customFormat="1" x14ac:dyDescent="0.25">
      <c r="A91" s="135" t="s">
        <v>180</v>
      </c>
      <c r="B91" s="136">
        <f>'carbon conversions'!H48</f>
        <v>1966.0483430291536</v>
      </c>
      <c r="C91" s="137">
        <f t="shared" si="21"/>
        <v>11854.333333333332</v>
      </c>
      <c r="D91" s="137">
        <f t="shared" si="22"/>
        <v>0.16585060397287801</v>
      </c>
      <c r="E91" s="138">
        <f t="shared" si="23"/>
        <v>6.0295228117681905</v>
      </c>
    </row>
    <row r="92" spans="1:5" s="136" customFormat="1" x14ac:dyDescent="0.25">
      <c r="A92" s="135" t="s">
        <v>237</v>
      </c>
      <c r="B92" s="136">
        <f>'carbon conversions'!H49</f>
        <v>434.15232208124661</v>
      </c>
      <c r="C92" s="137">
        <f t="shared" ref="C92" si="24">(C21*11*10^-6)*1000</f>
        <v>7905.333333333333</v>
      </c>
      <c r="D92" s="137">
        <f t="shared" si="22"/>
        <v>5.4918914076730475E-2</v>
      </c>
      <c r="E92" s="138">
        <f t="shared" si="23"/>
        <v>18.208663022776463</v>
      </c>
    </row>
  </sheetData>
  <conditionalFormatting sqref="A3:A21">
    <cfRule type="duplicateValues" dxfId="2" priority="4"/>
  </conditionalFormatting>
  <conditionalFormatting sqref="L3:L21">
    <cfRule type="duplicateValues" dxfId="1" priority="6"/>
  </conditionalFormatting>
  <conditionalFormatting sqref="L26:L44">
    <cfRule type="duplicateValues" dxfId="0" priority="1"/>
  </conditionalFormatting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3.375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187</v>
      </c>
      <c r="C1" s="1" t="s">
        <v>2</v>
      </c>
      <c r="D1" s="3">
        <v>44614</v>
      </c>
      <c r="E1" s="1" t="s">
        <v>3</v>
      </c>
      <c r="F1" s="2" t="s">
        <v>181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44616</v>
      </c>
      <c r="E4" s="15" t="s">
        <v>9</v>
      </c>
      <c r="F4" s="17" t="s">
        <v>127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44616</v>
      </c>
      <c r="E5" s="15" t="s">
        <v>14</v>
      </c>
      <c r="F5" s="17" t="s">
        <v>128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188</v>
      </c>
      <c r="B14" s="41">
        <v>367.63066749069617</v>
      </c>
      <c r="C14" s="42">
        <f t="shared" ref="C14:C16" si="0">((B14-AVERAGEA($B$17:$B$18))*$E$7)/($B$7*$I$21)</f>
        <v>1.2292979732240934E-3</v>
      </c>
      <c r="D14" s="42">
        <f>AVERAGEA(C14:C16)</f>
        <v>1.2945949467991472E-3</v>
      </c>
      <c r="E14" s="42">
        <f>STDEVA(C14:C16)</f>
        <v>8.2703819199184152E-5</v>
      </c>
      <c r="F14" s="43">
        <f>(E14/D14)*100</f>
        <v>6.3883934819664816</v>
      </c>
      <c r="G14" s="42">
        <f>(D14*24)</f>
        <v>3.107027872317953E-2</v>
      </c>
      <c r="H14" s="44" t="str">
        <f>IF(F14&gt;20,"     EDIT","")</f>
        <v/>
      </c>
      <c r="I14" s="45"/>
      <c r="J14" s="46">
        <f t="shared" ref="J14:J16" si="1">B14-(AVERAGE($B$17:$B$18))</f>
        <v>324.53466493116065</v>
      </c>
      <c r="K14" s="47">
        <f t="shared" ref="K14:K16" si="2">J14/$B$7</f>
        <v>2.4585959464481865E-4</v>
      </c>
      <c r="L14" s="47">
        <f>AVERAGE(K14:K16)</f>
        <v>2.5891898935982943E-4</v>
      </c>
      <c r="M14" s="47">
        <f>STDEV(K14:K16)</f>
        <v>1.6540763839836841E-5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189</v>
      </c>
      <c r="B15" s="41">
        <v>409.42073057873057</v>
      </c>
      <c r="C15" s="42">
        <f t="shared" si="0"/>
        <v>1.3875936667393752E-3</v>
      </c>
      <c r="D15" s="42"/>
      <c r="E15" s="42"/>
      <c r="F15" s="48"/>
      <c r="G15" s="49"/>
      <c r="H15" s="44"/>
      <c r="I15" s="45"/>
      <c r="J15" s="46">
        <f t="shared" si="1"/>
        <v>366.32472801919505</v>
      </c>
      <c r="K15" s="47">
        <f t="shared" si="2"/>
        <v>2.7751873334787503E-4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190</v>
      </c>
      <c r="B16" s="53">
        <v>377.55580747410437</v>
      </c>
      <c r="C16" s="54">
        <f t="shared" si="0"/>
        <v>1.2668932004339729E-3</v>
      </c>
      <c r="D16" s="54"/>
      <c r="E16" s="54"/>
      <c r="F16" s="55"/>
      <c r="G16" s="56"/>
      <c r="H16" s="57"/>
      <c r="I16" s="58"/>
      <c r="J16" s="46">
        <f t="shared" si="1"/>
        <v>334.45980491456885</v>
      </c>
      <c r="K16" s="47">
        <f t="shared" si="2"/>
        <v>2.5337864008679456E-4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191</v>
      </c>
      <c r="B17" s="60">
        <v>42.138313613768041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192</v>
      </c>
      <c r="B18" s="41">
        <v>44.053691505302957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44616</v>
      </c>
      <c r="E21" s="15" t="s">
        <v>9</v>
      </c>
      <c r="F21" s="17" t="s">
        <v>127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44616</v>
      </c>
      <c r="E22" s="15" t="s">
        <v>14</v>
      </c>
      <c r="F22" s="17" t="s">
        <v>128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188</v>
      </c>
      <c r="B31" s="104">
        <v>10849.762541757224</v>
      </c>
      <c r="C31" s="42">
        <f t="shared" ref="C31:C33" si="3">((B31-AVERAGEA($B$34:$B$35))*$E$24)/($B$24*$I$21)</f>
        <v>1.601804675727372E-2</v>
      </c>
      <c r="D31" s="42">
        <f>AVERAGEA(C31:C33)</f>
        <v>1.2273342272039843E-2</v>
      </c>
      <c r="E31" s="42">
        <f>STDEVA(C31:C33)</f>
        <v>3.4772536098872644E-3</v>
      </c>
      <c r="F31" s="43">
        <f>(E31/D31)*100</f>
        <v>28.331757827766836</v>
      </c>
      <c r="G31" s="77">
        <f>(D31*24)</f>
        <v>0.29456021452895625</v>
      </c>
      <c r="H31" s="44" t="str">
        <f>IF(F31&gt;20,"     EDIT","")</f>
        <v xml:space="preserve">     EDIT</v>
      </c>
      <c r="I31" s="45"/>
      <c r="J31" s="46">
        <f t="shared" ref="J31:J33" si="4">B31-(AVERAGE($B$34:$B$35))</f>
        <v>10571.910859800655</v>
      </c>
      <c r="K31" s="47">
        <f t="shared" ref="K31:K33" si="5">J31/$B$24</f>
        <v>3.2036093514547438E-3</v>
      </c>
      <c r="L31" s="47">
        <f>AVERAGE(K31:K33)</f>
        <v>2.4546684544079688E-3</v>
      </c>
      <c r="M31" s="47">
        <f>STDEV(K31:K33)</f>
        <v>6.9545072197745277E-4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189</v>
      </c>
      <c r="B32" s="104">
        <v>6314.4262950231414</v>
      </c>
      <c r="C32" s="42">
        <f t="shared" si="3"/>
        <v>9.1463251713129884E-3</v>
      </c>
      <c r="D32" s="42"/>
      <c r="E32" s="42"/>
      <c r="F32" s="48"/>
      <c r="G32" s="49"/>
      <c r="H32" s="44"/>
      <c r="I32" s="45"/>
      <c r="J32" s="46">
        <f t="shared" si="4"/>
        <v>6036.5746130665721</v>
      </c>
      <c r="K32" s="47">
        <f t="shared" si="5"/>
        <v>1.8292650342625976E-3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190</v>
      </c>
      <c r="B33" s="105">
        <v>7970.5839077282326</v>
      </c>
      <c r="C33" s="54">
        <f t="shared" si="3"/>
        <v>1.1655654887532825E-2</v>
      </c>
      <c r="D33" s="54"/>
      <c r="E33" s="54"/>
      <c r="F33" s="55"/>
      <c r="G33" s="56"/>
      <c r="H33" s="57"/>
      <c r="I33" s="58"/>
      <c r="J33" s="46">
        <f t="shared" si="4"/>
        <v>7692.7322257716642</v>
      </c>
      <c r="K33" s="47">
        <f t="shared" si="5"/>
        <v>2.3311309775065651E-3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191</v>
      </c>
      <c r="B34" s="106">
        <v>272.36673617626434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192</v>
      </c>
      <c r="B35" s="104">
        <v>283.33662773687337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activeCell="G31" sqref="G31"/>
    </sheetView>
  </sheetViews>
  <sheetFormatPr defaultColWidth="11.125" defaultRowHeight="15" customHeight="1" x14ac:dyDescent="0.25"/>
  <cols>
    <col min="1" max="1" width="18" customWidth="1"/>
    <col min="2" max="2" width="28.625" customWidth="1"/>
    <col min="3" max="3" width="20.375" customWidth="1"/>
    <col min="4" max="4" width="12.125" customWidth="1"/>
    <col min="5" max="5" width="17.625" customWidth="1"/>
    <col min="6" max="6" width="16.5" customWidth="1"/>
    <col min="7" max="7" width="12.125" customWidth="1"/>
    <col min="8" max="8" width="18" customWidth="1"/>
    <col min="9" max="9" width="23.625" customWidth="1"/>
    <col min="10" max="10" width="23.5" customWidth="1"/>
    <col min="11" max="11" width="11.875" customWidth="1"/>
    <col min="12" max="12" width="12.375" customWidth="1"/>
    <col min="13" max="13" width="11.625" customWidth="1"/>
    <col min="14" max="26" width="21.375" customWidth="1"/>
  </cols>
  <sheetData>
    <row r="1" spans="1:26" ht="18.75" customHeight="1" x14ac:dyDescent="0.3">
      <c r="A1" s="1" t="s">
        <v>0</v>
      </c>
      <c r="B1" s="2" t="s">
        <v>193</v>
      </c>
      <c r="C1" s="1" t="s">
        <v>2</v>
      </c>
      <c r="D1" s="3">
        <v>44614</v>
      </c>
      <c r="E1" s="1" t="s">
        <v>3</v>
      </c>
      <c r="F1" s="2" t="s">
        <v>194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.75" customHeight="1" x14ac:dyDescent="0.3">
      <c r="A2" s="6"/>
      <c r="B2" s="6"/>
      <c r="C2" s="6"/>
      <c r="D2" s="7"/>
      <c r="E2" s="6"/>
      <c r="F2" s="6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.75" customHeight="1" x14ac:dyDescent="0.3">
      <c r="A3" s="9" t="s">
        <v>5</v>
      </c>
      <c r="B3" s="10"/>
      <c r="C3" s="11"/>
      <c r="D3" s="11"/>
      <c r="E3" s="11"/>
      <c r="F3" s="11"/>
      <c r="G3" s="11"/>
      <c r="H3" s="11"/>
      <c r="I3" s="11"/>
      <c r="J3" s="12"/>
      <c r="K3" s="8"/>
      <c r="L3" s="8"/>
      <c r="M3" s="8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6" ht="18.75" customHeight="1" x14ac:dyDescent="0.3">
      <c r="A4" s="13" t="s">
        <v>6</v>
      </c>
      <c r="B4" s="14" t="s">
        <v>7</v>
      </c>
      <c r="C4" s="15" t="s">
        <v>8</v>
      </c>
      <c r="D4" s="16">
        <v>44617</v>
      </c>
      <c r="E4" s="15" t="s">
        <v>9</v>
      </c>
      <c r="F4" s="17" t="s">
        <v>195</v>
      </c>
      <c r="G4" s="15"/>
      <c r="H4" s="15" t="s">
        <v>11</v>
      </c>
      <c r="I4" s="18">
        <v>4</v>
      </c>
      <c r="J4" s="19"/>
      <c r="K4" s="8"/>
      <c r="L4" s="4"/>
      <c r="M4" s="4"/>
      <c r="N4" s="50"/>
      <c r="O4" s="8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6" ht="18.75" customHeight="1" x14ac:dyDescent="0.3">
      <c r="A5" s="13" t="s">
        <v>12</v>
      </c>
      <c r="B5" s="21" t="s">
        <v>7</v>
      </c>
      <c r="C5" s="15" t="s">
        <v>13</v>
      </c>
      <c r="D5" s="16">
        <v>44617</v>
      </c>
      <c r="E5" s="15" t="s">
        <v>14</v>
      </c>
      <c r="F5" s="17" t="s">
        <v>196</v>
      </c>
      <c r="G5" s="15"/>
      <c r="H5" s="15" t="s">
        <v>16</v>
      </c>
      <c r="I5" s="22">
        <v>2</v>
      </c>
      <c r="J5" s="19"/>
      <c r="K5" s="4"/>
      <c r="L5" s="23"/>
      <c r="M5" s="4"/>
      <c r="N5" s="8"/>
      <c r="O5" s="8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8.75" customHeight="1" x14ac:dyDescent="0.3">
      <c r="A6" s="13" t="s">
        <v>17</v>
      </c>
      <c r="B6" s="14" t="s">
        <v>18</v>
      </c>
      <c r="C6" s="15"/>
      <c r="D6" s="15"/>
      <c r="E6" s="15"/>
      <c r="F6" s="24"/>
      <c r="G6" s="15"/>
      <c r="H6" s="15"/>
      <c r="I6" s="15"/>
      <c r="J6" s="8"/>
      <c r="K6" s="4"/>
      <c r="L6" s="4"/>
      <c r="M6" s="4"/>
      <c r="N6" s="25"/>
      <c r="O6" s="25"/>
      <c r="P6" s="26"/>
      <c r="Q6" s="23"/>
      <c r="R6" s="23"/>
      <c r="S6" s="23"/>
      <c r="T6" s="4"/>
      <c r="U6" s="4"/>
      <c r="V6" s="4"/>
      <c r="W6" s="4"/>
      <c r="X6" s="4"/>
      <c r="Y6" s="4"/>
    </row>
    <row r="7" spans="1:26" ht="18.75" customHeight="1" x14ac:dyDescent="0.3">
      <c r="A7" s="13" t="s">
        <v>19</v>
      </c>
      <c r="B7" s="27">
        <f>1000*0.0006*2200000</f>
        <v>1320000</v>
      </c>
      <c r="C7" s="15"/>
      <c r="D7" s="15" t="s">
        <v>20</v>
      </c>
      <c r="E7" s="15">
        <v>20</v>
      </c>
      <c r="F7" s="15"/>
      <c r="G7" s="15"/>
      <c r="H7" s="28"/>
      <c r="I7" s="15"/>
      <c r="J7" s="1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customHeight="1" x14ac:dyDescent="0.3">
      <c r="A8" s="13"/>
      <c r="B8" s="14"/>
      <c r="C8" s="15"/>
      <c r="D8" s="15"/>
      <c r="E8" s="15"/>
      <c r="F8" s="15"/>
      <c r="G8" s="15"/>
      <c r="H8" s="29"/>
      <c r="I8" s="29"/>
      <c r="J8" s="12"/>
      <c r="K8" s="8"/>
      <c r="L8" s="4"/>
      <c r="M8" s="4"/>
      <c r="N8" s="8"/>
      <c r="O8" s="8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8.75" customHeight="1" x14ac:dyDescent="0.3">
      <c r="A9" s="13" t="s">
        <v>21</v>
      </c>
      <c r="B9" s="14"/>
      <c r="C9" s="15"/>
      <c r="D9" s="15"/>
      <c r="E9" s="15"/>
      <c r="F9" s="29"/>
      <c r="G9" s="29"/>
      <c r="H9" s="29"/>
      <c r="I9" s="27"/>
      <c r="J9" s="30"/>
      <c r="K9" s="8"/>
      <c r="L9" s="4"/>
      <c r="M9" s="4"/>
      <c r="N9" s="25"/>
      <c r="O9" s="8"/>
      <c r="P9" s="26"/>
      <c r="Q9" s="23"/>
      <c r="R9" s="23"/>
      <c r="S9" s="23"/>
      <c r="T9" s="4"/>
      <c r="U9" s="4"/>
      <c r="V9" s="4"/>
      <c r="W9" s="4"/>
      <c r="X9" s="4"/>
      <c r="Y9" s="4"/>
    </row>
    <row r="10" spans="1:26" ht="18.75" customHeight="1" x14ac:dyDescent="0.3">
      <c r="A10" s="13"/>
      <c r="B10" s="14"/>
      <c r="C10" s="15"/>
      <c r="D10" s="15"/>
      <c r="E10" s="15"/>
      <c r="F10" s="29"/>
      <c r="G10" s="29"/>
      <c r="H10" s="29"/>
      <c r="I10" s="27"/>
      <c r="J10" s="30"/>
      <c r="K10" s="8"/>
      <c r="L10" s="4"/>
      <c r="M10" s="4"/>
      <c r="N10" s="8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8.75" customHeight="1" x14ac:dyDescent="0.3">
      <c r="A11" s="31"/>
      <c r="B11" s="32"/>
      <c r="C11" s="33"/>
      <c r="D11" s="33"/>
      <c r="E11" s="33"/>
      <c r="F11" s="33"/>
      <c r="G11" s="33"/>
      <c r="H11" s="33"/>
      <c r="I11" s="33"/>
      <c r="J11" s="4" t="s">
        <v>22</v>
      </c>
      <c r="K11" s="4"/>
      <c r="L11" s="4" t="s">
        <v>23</v>
      </c>
      <c r="M11" s="4"/>
      <c r="N11" s="8"/>
      <c r="O11" s="8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8.75" customHeight="1" x14ac:dyDescent="0.3">
      <c r="A12" s="34" t="s">
        <v>24</v>
      </c>
      <c r="B12" s="35" t="s">
        <v>25</v>
      </c>
      <c r="C12" s="36" t="s">
        <v>26</v>
      </c>
      <c r="D12" s="36" t="s">
        <v>26</v>
      </c>
      <c r="E12" s="36" t="s">
        <v>26</v>
      </c>
      <c r="F12" s="36" t="s">
        <v>26</v>
      </c>
      <c r="G12" s="36" t="s">
        <v>27</v>
      </c>
      <c r="H12" s="36" t="s">
        <v>28</v>
      </c>
      <c r="I12" s="36" t="s">
        <v>29</v>
      </c>
      <c r="J12" s="37" t="s">
        <v>30</v>
      </c>
      <c r="K12" s="37" t="s">
        <v>31</v>
      </c>
      <c r="L12" s="37" t="s">
        <v>32</v>
      </c>
      <c r="M12" s="37" t="s">
        <v>33</v>
      </c>
      <c r="N12" s="4"/>
      <c r="O12" s="4"/>
      <c r="P12" s="4"/>
      <c r="Q12" s="28"/>
      <c r="R12" s="4"/>
      <c r="S12" s="4"/>
      <c r="T12" s="4"/>
      <c r="U12" s="4"/>
      <c r="V12" s="4"/>
      <c r="W12" s="4"/>
      <c r="X12" s="4"/>
      <c r="Y12" s="4"/>
    </row>
    <row r="13" spans="1:26" ht="18.75" customHeight="1" x14ac:dyDescent="0.3">
      <c r="A13" s="38"/>
      <c r="B13" s="39"/>
      <c r="C13" s="38"/>
      <c r="D13" s="38" t="s">
        <v>34</v>
      </c>
      <c r="E13" s="38" t="s">
        <v>33</v>
      </c>
      <c r="F13" s="38" t="s">
        <v>35</v>
      </c>
      <c r="G13" s="38"/>
      <c r="H13" s="38"/>
      <c r="I13" s="38"/>
      <c r="O13" s="4"/>
      <c r="P13" s="4"/>
      <c r="Q13" s="28"/>
      <c r="R13" s="4"/>
      <c r="S13" s="4"/>
      <c r="T13" s="4"/>
      <c r="U13" s="4"/>
      <c r="V13" s="4"/>
      <c r="W13" s="4"/>
      <c r="X13" s="4"/>
      <c r="Y13" s="4"/>
    </row>
    <row r="14" spans="1:26" ht="18.75" customHeight="1" x14ac:dyDescent="0.3">
      <c r="A14" s="40" t="s">
        <v>197</v>
      </c>
      <c r="B14" s="41">
        <v>5109.3924133533819</v>
      </c>
      <c r="C14" s="42">
        <f>((B14-AVERAGEA($B$17:$B$18))*$E$7)/($B$7*$I$21)</f>
        <v>1.9140719520634099E-2</v>
      </c>
      <c r="D14" s="42">
        <f>AVERAGEA(C14:C16)</f>
        <v>1.8044016176242045E-2</v>
      </c>
      <c r="E14" s="42">
        <f>STDEVA(C14:C16)</f>
        <v>1.3201381715230612E-3</v>
      </c>
      <c r="F14" s="43">
        <f>(E14/D14)*100</f>
        <v>7.3162103083305983</v>
      </c>
      <c r="G14" s="42">
        <f>(D14*24)</f>
        <v>0.43305638822980907</v>
      </c>
      <c r="H14" s="44" t="str">
        <f>IF(F14&gt;20,"     EDIT","")</f>
        <v/>
      </c>
      <c r="I14" s="45"/>
      <c r="J14" s="46">
        <f t="shared" ref="J14:J16" si="0">B14-(AVERAGE($B$17:$B$18))</f>
        <v>5053.1499534474024</v>
      </c>
      <c r="K14" s="47">
        <f t="shared" ref="K14:K16" si="1">J14/$B$7</f>
        <v>3.8281439041268198E-3</v>
      </c>
      <c r="L14" s="47">
        <f>AVERAGE(K14:K16)</f>
        <v>3.6088032352484087E-3</v>
      </c>
      <c r="M14" s="47">
        <f>STDEV(K14:K16)</f>
        <v>2.640276343046121E-4</v>
      </c>
      <c r="N14" s="4"/>
      <c r="O14" s="4"/>
      <c r="P14" s="4"/>
      <c r="Q14" s="28"/>
      <c r="R14" s="4"/>
      <c r="S14" s="4"/>
      <c r="T14" s="4"/>
      <c r="U14" s="4"/>
      <c r="V14" s="4"/>
      <c r="W14" s="4"/>
      <c r="X14" s="4"/>
      <c r="Y14" s="4"/>
    </row>
    <row r="15" spans="1:26" ht="18.75" customHeight="1" x14ac:dyDescent="0.3">
      <c r="A15" s="40" t="s">
        <v>198</v>
      </c>
      <c r="B15" s="41">
        <v>4433.0376547998312</v>
      </c>
      <c r="C15" s="42">
        <f t="shared" ref="C15:C16" si="2">((B15-AVERAGEA($B$17:$B$18))*$E$7)/($B$7*$I$21)</f>
        <v>1.6578769677628225E-2</v>
      </c>
      <c r="D15" s="42"/>
      <c r="E15" s="42"/>
      <c r="F15" s="48"/>
      <c r="G15" s="49"/>
      <c r="H15" s="44"/>
      <c r="I15" s="45"/>
      <c r="J15" s="46">
        <f t="shared" si="0"/>
        <v>4376.7951948938517</v>
      </c>
      <c r="K15" s="47">
        <f t="shared" si="1"/>
        <v>3.3157539355256451E-3</v>
      </c>
      <c r="L15" s="50"/>
      <c r="M15" s="51"/>
      <c r="N15" s="4"/>
      <c r="O15" s="4"/>
      <c r="P15" s="4"/>
      <c r="Q15" s="28"/>
      <c r="R15" s="4"/>
      <c r="S15" s="4"/>
      <c r="T15" s="4"/>
      <c r="U15" s="4"/>
      <c r="V15" s="4"/>
      <c r="W15" s="4"/>
      <c r="X15" s="4"/>
      <c r="Y15" s="4"/>
    </row>
    <row r="16" spans="1:26" ht="18.75" customHeight="1" x14ac:dyDescent="0.3">
      <c r="A16" s="52" t="s">
        <v>199</v>
      </c>
      <c r="B16" s="53">
        <v>4917.1581231484242</v>
      </c>
      <c r="C16" s="54">
        <f t="shared" si="2"/>
        <v>1.8412559330463808E-2</v>
      </c>
      <c r="D16" s="54"/>
      <c r="E16" s="54"/>
      <c r="F16" s="55"/>
      <c r="G16" s="56"/>
      <c r="H16" s="57"/>
      <c r="I16" s="58"/>
      <c r="J16" s="46">
        <f t="shared" si="0"/>
        <v>4860.9156632424447</v>
      </c>
      <c r="K16" s="47">
        <f t="shared" si="1"/>
        <v>3.6825118660927612E-3</v>
      </c>
      <c r="L16" s="8"/>
      <c r="M16" s="51"/>
      <c r="N16" s="4"/>
      <c r="O16" s="4"/>
      <c r="P16" s="4"/>
      <c r="Q16" s="28"/>
      <c r="R16" s="4"/>
      <c r="S16" s="4"/>
      <c r="T16" s="4"/>
      <c r="U16" s="4"/>
      <c r="V16" s="4"/>
      <c r="W16" s="4"/>
      <c r="X16" s="4"/>
      <c r="Y16" s="4"/>
    </row>
    <row r="17" spans="1:25" ht="19.5" customHeight="1" x14ac:dyDescent="0.3">
      <c r="A17" s="59" t="s">
        <v>200</v>
      </c>
      <c r="B17" s="60">
        <v>53.456455700110695</v>
      </c>
      <c r="C17" s="61"/>
      <c r="D17" s="61"/>
      <c r="E17" s="61"/>
      <c r="F17" s="62"/>
      <c r="G17" s="63"/>
      <c r="H17" s="64"/>
      <c r="I17" s="38"/>
      <c r="J17" s="12"/>
      <c r="K17" s="8"/>
      <c r="L17" s="19"/>
      <c r="M17" s="51"/>
      <c r="N17" s="4"/>
      <c r="O17" s="4"/>
      <c r="P17" s="4"/>
      <c r="Q17" s="28"/>
      <c r="R17" s="4"/>
      <c r="S17" s="4"/>
      <c r="T17" s="4"/>
      <c r="U17" s="4"/>
      <c r="V17" s="4"/>
      <c r="W17" s="4"/>
      <c r="X17" s="4"/>
      <c r="Y17" s="4"/>
    </row>
    <row r="18" spans="1:25" ht="19.5" customHeight="1" x14ac:dyDescent="0.3">
      <c r="A18" s="40" t="s">
        <v>201</v>
      </c>
      <c r="B18" s="41">
        <v>59.028464111848621</v>
      </c>
      <c r="C18" s="65"/>
      <c r="D18" s="42"/>
      <c r="E18" s="42"/>
      <c r="F18" s="48"/>
      <c r="G18" s="49"/>
      <c r="H18" s="44"/>
      <c r="I18" s="45"/>
      <c r="J18" s="12"/>
      <c r="K18" s="8"/>
      <c r="L18" s="8"/>
      <c r="M18" s="51"/>
      <c r="N18" s="4"/>
      <c r="O18" s="4"/>
      <c r="P18" s="4"/>
      <c r="Q18" s="28"/>
      <c r="R18" s="4"/>
      <c r="S18" s="4"/>
      <c r="T18" s="4"/>
      <c r="U18" s="4"/>
      <c r="V18" s="4"/>
      <c r="W18" s="4"/>
      <c r="X18" s="4"/>
      <c r="Y18" s="4"/>
    </row>
    <row r="19" spans="1:25" ht="19.5" customHeight="1" x14ac:dyDescent="0.3">
      <c r="A19" s="28"/>
      <c r="B19" s="66"/>
      <c r="C19" s="67"/>
      <c r="D19" s="67"/>
      <c r="E19" s="67"/>
      <c r="F19" s="68"/>
      <c r="G19" s="67"/>
      <c r="H19" s="69"/>
      <c r="I19" s="15"/>
      <c r="J19" s="12"/>
      <c r="K19" s="8"/>
      <c r="L19" s="50"/>
      <c r="M19" s="51"/>
      <c r="N19" s="4"/>
      <c r="O19" s="4"/>
      <c r="P19" s="4"/>
      <c r="Q19" s="28"/>
      <c r="R19" s="4"/>
      <c r="S19" s="4"/>
      <c r="T19" s="4"/>
      <c r="U19" s="4"/>
      <c r="V19" s="4"/>
      <c r="W19" s="4"/>
      <c r="X19" s="4"/>
      <c r="Y19" s="4"/>
    </row>
    <row r="20" spans="1:25" ht="19.5" customHeight="1" x14ac:dyDescent="0.3">
      <c r="A20" s="9" t="s">
        <v>41</v>
      </c>
      <c r="B20" s="10"/>
      <c r="C20" s="11"/>
      <c r="D20" s="11"/>
      <c r="E20" s="11"/>
      <c r="F20" s="11"/>
      <c r="G20" s="11"/>
      <c r="H20" s="11"/>
      <c r="I20" s="11"/>
      <c r="J20" s="12"/>
      <c r="K20" s="8"/>
      <c r="L20" s="8"/>
      <c r="M20" s="51"/>
      <c r="N20" s="4"/>
      <c r="O20" s="4"/>
      <c r="P20" s="4"/>
      <c r="Q20" s="28"/>
      <c r="R20" s="4"/>
      <c r="S20" s="4"/>
      <c r="T20" s="4"/>
      <c r="U20" s="4"/>
      <c r="V20" s="4"/>
      <c r="W20" s="4"/>
      <c r="X20" s="4"/>
      <c r="Y20" s="4"/>
    </row>
    <row r="21" spans="1:25" ht="18.75" customHeight="1" x14ac:dyDescent="0.3">
      <c r="A21" s="13" t="s">
        <v>6</v>
      </c>
      <c r="B21" s="14" t="s">
        <v>7</v>
      </c>
      <c r="C21" s="15" t="s">
        <v>8</v>
      </c>
      <c r="D21" s="16">
        <v>44617</v>
      </c>
      <c r="E21" s="15" t="s">
        <v>9</v>
      </c>
      <c r="F21" s="17" t="s">
        <v>195</v>
      </c>
      <c r="G21" s="15"/>
      <c r="H21" s="15" t="s">
        <v>11</v>
      </c>
      <c r="I21" s="18">
        <v>4</v>
      </c>
      <c r="J21" s="12"/>
      <c r="K21" s="8"/>
      <c r="L21" s="19"/>
      <c r="M21" s="51"/>
      <c r="N21" s="4"/>
      <c r="O21" s="4"/>
      <c r="P21" s="4"/>
      <c r="Q21" s="28"/>
      <c r="R21" s="4"/>
      <c r="S21" s="4"/>
      <c r="T21" s="4"/>
      <c r="U21" s="4"/>
      <c r="V21" s="4"/>
      <c r="W21" s="4"/>
      <c r="X21" s="4"/>
      <c r="Y21" s="4"/>
    </row>
    <row r="22" spans="1:25" ht="18.75" customHeight="1" x14ac:dyDescent="0.3">
      <c r="A22" s="13" t="s">
        <v>12</v>
      </c>
      <c r="B22" s="21" t="s">
        <v>7</v>
      </c>
      <c r="C22" s="15" t="s">
        <v>13</v>
      </c>
      <c r="D22" s="16">
        <v>44617</v>
      </c>
      <c r="E22" s="15" t="s">
        <v>14</v>
      </c>
      <c r="F22" s="17" t="s">
        <v>196</v>
      </c>
      <c r="G22" s="15"/>
      <c r="H22" s="15" t="s">
        <v>16</v>
      </c>
      <c r="I22" s="22">
        <v>2</v>
      </c>
      <c r="J22" s="12"/>
      <c r="K22" s="8"/>
      <c r="L22" s="8"/>
      <c r="M22" s="51"/>
      <c r="N22" s="4"/>
      <c r="O22" s="4"/>
      <c r="P22" s="4"/>
      <c r="Q22" s="28"/>
      <c r="R22" s="4"/>
      <c r="S22" s="4"/>
      <c r="T22" s="4"/>
      <c r="U22" s="4"/>
      <c r="V22" s="4"/>
      <c r="W22" s="4"/>
      <c r="X22" s="4"/>
      <c r="Y22" s="4"/>
    </row>
    <row r="23" spans="1:25" ht="18.75" customHeight="1" x14ac:dyDescent="0.3">
      <c r="A23" s="13" t="s">
        <v>17</v>
      </c>
      <c r="B23" s="14" t="s">
        <v>18</v>
      </c>
      <c r="C23" s="15"/>
      <c r="D23" s="15"/>
      <c r="E23" s="15"/>
      <c r="F23" s="24"/>
      <c r="G23" s="15"/>
      <c r="H23" s="15"/>
      <c r="I23" s="15"/>
      <c r="J23" s="12"/>
      <c r="K23" s="8"/>
      <c r="L23" s="26"/>
      <c r="M23" s="4"/>
      <c r="N23" s="4"/>
      <c r="O23" s="4"/>
      <c r="P23" s="4"/>
      <c r="Q23" s="28"/>
      <c r="R23" s="4"/>
      <c r="S23" s="4"/>
      <c r="T23" s="4"/>
      <c r="U23" s="4"/>
      <c r="V23" s="4"/>
      <c r="W23" s="4"/>
      <c r="X23" s="4"/>
      <c r="Y23" s="4"/>
    </row>
    <row r="24" spans="1:25" ht="18.75" customHeight="1" x14ac:dyDescent="0.3">
      <c r="A24" s="13" t="s">
        <v>19</v>
      </c>
      <c r="B24" s="70">
        <f>1.5*(2.2*(10^6))</f>
        <v>3300000</v>
      </c>
      <c r="C24" s="70"/>
      <c r="D24" s="15" t="s">
        <v>42</v>
      </c>
      <c r="E24" s="15">
        <v>20</v>
      </c>
      <c r="F24" s="15"/>
      <c r="G24" s="15"/>
      <c r="H24" s="15"/>
      <c r="I24" s="15"/>
      <c r="J24" s="12"/>
      <c r="K24" s="8"/>
      <c r="L24" s="71"/>
      <c r="M24" s="26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8.75" customHeight="1" x14ac:dyDescent="0.3">
      <c r="A25" s="13"/>
      <c r="B25" s="14"/>
      <c r="C25" s="15"/>
      <c r="D25" s="15"/>
      <c r="E25" s="15"/>
      <c r="F25" s="15"/>
      <c r="G25" s="15"/>
      <c r="H25" s="29"/>
      <c r="I25" s="29"/>
      <c r="J25" s="12"/>
      <c r="K25" s="8"/>
      <c r="L25" s="72"/>
      <c r="M25" s="30"/>
      <c r="N25" s="4"/>
      <c r="O25" s="4"/>
      <c r="P25" s="73"/>
      <c r="Q25" s="73"/>
      <c r="R25" s="4"/>
      <c r="S25" s="73"/>
      <c r="T25" s="4"/>
      <c r="U25" s="4"/>
      <c r="V25" s="4"/>
      <c r="W25" s="4"/>
      <c r="X25" s="4"/>
      <c r="Y25" s="4"/>
    </row>
    <row r="26" spans="1:25" ht="18.75" customHeight="1" x14ac:dyDescent="0.3">
      <c r="A26" s="13" t="s">
        <v>21</v>
      </c>
      <c r="B26" s="14"/>
      <c r="C26" s="15"/>
      <c r="D26" s="15"/>
      <c r="E26" s="15"/>
      <c r="F26" s="29"/>
      <c r="G26" s="29"/>
      <c r="H26" s="29"/>
      <c r="I26" s="27"/>
      <c r="J26" s="12"/>
      <c r="K26" s="8"/>
      <c r="L26" s="4"/>
      <c r="M26" s="4"/>
      <c r="N26" s="4"/>
      <c r="O26" s="4"/>
      <c r="P26" s="4"/>
      <c r="Q26" s="28"/>
      <c r="R26" s="4"/>
      <c r="S26" s="4"/>
      <c r="T26" s="4"/>
      <c r="U26" s="4"/>
      <c r="V26" s="4"/>
      <c r="W26" s="4"/>
      <c r="X26" s="4"/>
      <c r="Y26" s="4"/>
    </row>
    <row r="27" spans="1:25" ht="18.75" customHeight="1" x14ac:dyDescent="0.3">
      <c r="A27" s="13"/>
      <c r="B27" s="14"/>
      <c r="C27" s="15"/>
      <c r="D27" s="15"/>
      <c r="E27" s="15"/>
      <c r="F27" s="29"/>
      <c r="G27" s="29"/>
      <c r="H27" s="29"/>
      <c r="I27" s="27"/>
      <c r="J27" s="12"/>
      <c r="K27" s="8"/>
      <c r="L27" s="74"/>
      <c r="M27" s="26"/>
      <c r="N27" s="4"/>
      <c r="O27" s="4"/>
      <c r="P27" s="4"/>
      <c r="Q27" s="28"/>
      <c r="R27" s="4"/>
      <c r="S27" s="4"/>
      <c r="T27" s="4"/>
      <c r="U27" s="4"/>
      <c r="V27" s="4"/>
      <c r="W27" s="4"/>
      <c r="X27" s="4"/>
      <c r="Y27" s="4"/>
    </row>
    <row r="28" spans="1:25" ht="18.75" customHeight="1" x14ac:dyDescent="0.3">
      <c r="A28" s="31"/>
      <c r="B28" s="32"/>
      <c r="C28" s="33"/>
      <c r="D28" s="33"/>
      <c r="E28" s="33"/>
      <c r="F28" s="33"/>
      <c r="G28" s="33"/>
      <c r="H28" s="33"/>
      <c r="I28" s="33"/>
      <c r="J28" s="4" t="s">
        <v>22</v>
      </c>
      <c r="K28" s="4"/>
      <c r="L28" s="4" t="s">
        <v>23</v>
      </c>
      <c r="M28" s="4"/>
      <c r="N28" s="8"/>
      <c r="O28" s="4"/>
      <c r="P28" s="73"/>
      <c r="Q28" s="4"/>
      <c r="R28" s="4"/>
      <c r="S28" s="4"/>
      <c r="T28" s="4"/>
      <c r="U28" s="4"/>
      <c r="V28" s="4"/>
      <c r="W28" s="4"/>
      <c r="X28" s="4"/>
      <c r="Y28" s="4"/>
    </row>
    <row r="29" spans="1:25" ht="18.75" customHeight="1" x14ac:dyDescent="0.3">
      <c r="A29" s="34" t="s">
        <v>24</v>
      </c>
      <c r="B29" s="35" t="s">
        <v>25</v>
      </c>
      <c r="C29" s="36" t="s">
        <v>43</v>
      </c>
      <c r="D29" s="36" t="s">
        <v>43</v>
      </c>
      <c r="E29" s="36" t="s">
        <v>43</v>
      </c>
      <c r="F29" s="36" t="s">
        <v>43</v>
      </c>
      <c r="G29" s="36" t="s">
        <v>44</v>
      </c>
      <c r="H29" s="36" t="s">
        <v>28</v>
      </c>
      <c r="I29" s="36" t="s">
        <v>29</v>
      </c>
      <c r="J29" s="37" t="s">
        <v>30</v>
      </c>
      <c r="K29" s="37" t="s">
        <v>31</v>
      </c>
      <c r="L29" s="37" t="s">
        <v>32</v>
      </c>
      <c r="M29" s="37" t="s">
        <v>33</v>
      </c>
      <c r="N29" s="4"/>
      <c r="O29" s="4"/>
      <c r="P29" s="4"/>
      <c r="Q29" s="28"/>
      <c r="R29" s="4"/>
      <c r="S29" s="4"/>
      <c r="T29" s="4"/>
      <c r="U29" s="4"/>
      <c r="V29" s="4"/>
      <c r="W29" s="4"/>
      <c r="X29" s="4"/>
      <c r="Y29" s="4"/>
    </row>
    <row r="30" spans="1:25" ht="18.75" customHeight="1" x14ac:dyDescent="0.3">
      <c r="A30" s="75"/>
      <c r="B30" s="76"/>
      <c r="C30" s="75"/>
      <c r="D30" s="75" t="s">
        <v>34</v>
      </c>
      <c r="E30" s="75" t="s">
        <v>33</v>
      </c>
      <c r="F30" s="75" t="s">
        <v>35</v>
      </c>
      <c r="G30" s="75"/>
      <c r="H30" s="75"/>
      <c r="I30" s="75"/>
      <c r="O30" s="4"/>
      <c r="P30" s="4"/>
      <c r="Q30" s="28"/>
      <c r="R30" s="4"/>
      <c r="S30" s="4"/>
      <c r="T30" s="4"/>
      <c r="U30" s="4"/>
      <c r="V30" s="4"/>
      <c r="W30" s="4"/>
      <c r="X30" s="4"/>
      <c r="Y30" s="4"/>
    </row>
    <row r="31" spans="1:25" ht="18.75" customHeight="1" x14ac:dyDescent="0.3">
      <c r="A31" s="40" t="s">
        <v>197</v>
      </c>
      <c r="B31" s="104">
        <v>247105.86191638763</v>
      </c>
      <c r="C31" s="42">
        <f>((B31-AVERAGEA($B$34:$B$35))*$E$24)/($B$24*$I$21)</f>
        <v>0.37393988532975037</v>
      </c>
      <c r="D31" s="42">
        <f>AVERAGEA(C31:C33)</f>
        <v>0.36266923195146222</v>
      </c>
      <c r="E31" s="42">
        <f>STDEVA(C31:C33)</f>
        <v>9.8749951845440494E-3</v>
      </c>
      <c r="F31" s="43">
        <f>(E31/D31)*100</f>
        <v>2.7228654417162321</v>
      </c>
      <c r="G31" s="77">
        <f>(D31*24)</f>
        <v>8.7040615668350938</v>
      </c>
      <c r="H31" s="44" t="str">
        <f>IF(F31&gt;20,"     EDIT","")</f>
        <v/>
      </c>
      <c r="I31" s="45"/>
      <c r="J31" s="46">
        <f t="shared" ref="J31:J33" si="3">B31-(AVERAGE($B$34:$B$35))</f>
        <v>246800.32431763524</v>
      </c>
      <c r="K31" s="47">
        <f t="shared" ref="K31:K33" si="4">J31/$B$24</f>
        <v>7.478797706595007E-2</v>
      </c>
      <c r="L31" s="47">
        <f>AVERAGE(K31:K33)</f>
        <v>7.2533846390292464E-2</v>
      </c>
      <c r="M31" s="47">
        <f>STDEV(K31:K33)</f>
        <v>1.9749990369088096E-3</v>
      </c>
      <c r="N31" s="4"/>
      <c r="O31" s="4"/>
      <c r="P31" s="73"/>
      <c r="Q31" s="4"/>
      <c r="R31" s="4"/>
      <c r="S31" s="4"/>
      <c r="T31" s="4"/>
      <c r="U31" s="4"/>
      <c r="V31" s="4"/>
      <c r="W31" s="4"/>
      <c r="X31" s="4"/>
      <c r="Y31" s="4"/>
    </row>
    <row r="32" spans="1:25" ht="18.75" customHeight="1" x14ac:dyDescent="0.3">
      <c r="A32" s="40" t="s">
        <v>198</v>
      </c>
      <c r="B32" s="104">
        <v>236936.77243970305</v>
      </c>
      <c r="C32" s="42">
        <f t="shared" ref="C32" si="5">((B32-AVERAGEA($B$34:$B$35))*$E$24)/($B$24*$I$21)</f>
        <v>0.35853217400144038</v>
      </c>
      <c r="D32" s="42"/>
      <c r="E32" s="42"/>
      <c r="F32" s="48"/>
      <c r="G32" s="49"/>
      <c r="H32" s="44"/>
      <c r="I32" s="45"/>
      <c r="J32" s="46">
        <f t="shared" si="3"/>
        <v>236631.23484095067</v>
      </c>
      <c r="K32" s="47">
        <f t="shared" si="4"/>
        <v>7.1706434800288085E-2</v>
      </c>
      <c r="L32" s="50"/>
      <c r="M32" s="51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6" ht="18.75" customHeight="1" x14ac:dyDescent="0.3">
      <c r="A33" s="52" t="s">
        <v>199</v>
      </c>
      <c r="B33" s="105">
        <v>234959.05770406179</v>
      </c>
      <c r="C33" s="54">
        <f>((B33-AVERAGEA($B$34:$B$35))*$E$24)/($B$24*$I$21)</f>
        <v>0.35553563652319609</v>
      </c>
      <c r="D33" s="54"/>
      <c r="E33" s="54"/>
      <c r="F33" s="55"/>
      <c r="G33" s="56"/>
      <c r="H33" s="57"/>
      <c r="I33" s="58"/>
      <c r="J33" s="46">
        <f t="shared" si="3"/>
        <v>234653.52010530941</v>
      </c>
      <c r="K33" s="47">
        <f t="shared" si="4"/>
        <v>7.1107127304639209E-2</v>
      </c>
      <c r="L33" s="8"/>
      <c r="M33" s="51"/>
      <c r="N33" s="4"/>
      <c r="O33" s="4"/>
      <c r="P33" s="73"/>
      <c r="Q33" s="73"/>
      <c r="R33" s="4"/>
      <c r="S33" s="4"/>
      <c r="T33" s="4"/>
      <c r="U33" s="4"/>
      <c r="V33" s="4"/>
      <c r="W33" s="4"/>
      <c r="X33" s="4"/>
      <c r="Y33" s="4"/>
    </row>
    <row r="34" spans="1:26" ht="18.75" customHeight="1" x14ac:dyDescent="0.3">
      <c r="A34" s="59" t="s">
        <v>200</v>
      </c>
      <c r="B34" s="106">
        <v>287.34150878281002</v>
      </c>
      <c r="C34" s="61"/>
      <c r="D34" s="61"/>
      <c r="E34" s="61"/>
      <c r="F34" s="62"/>
      <c r="G34" s="63"/>
      <c r="H34" s="64"/>
      <c r="I34" s="38"/>
      <c r="J34" s="12"/>
      <c r="K34" s="8"/>
      <c r="L34" s="4"/>
      <c r="M34" s="4"/>
      <c r="N34" s="4"/>
      <c r="O34" s="4"/>
      <c r="P34" s="4"/>
      <c r="Q34" s="4"/>
      <c r="R34" s="73"/>
      <c r="S34" s="4"/>
      <c r="T34" s="4"/>
      <c r="U34" s="4"/>
      <c r="V34" s="4"/>
      <c r="W34" s="4"/>
      <c r="X34" s="4"/>
      <c r="Y34" s="4"/>
    </row>
    <row r="35" spans="1:26" ht="18.75" customHeight="1" x14ac:dyDescent="0.3">
      <c r="A35" s="40" t="s">
        <v>201</v>
      </c>
      <c r="B35" s="104">
        <v>323.73368872197329</v>
      </c>
      <c r="C35" s="65"/>
      <c r="D35" s="42"/>
      <c r="E35" s="42"/>
      <c r="F35" s="48"/>
      <c r="G35" s="49"/>
      <c r="H35" s="44"/>
      <c r="I35" s="45"/>
      <c r="J35" s="12"/>
      <c r="K35" s="4"/>
      <c r="L35" s="4"/>
      <c r="M35" s="4"/>
      <c r="N35" s="4"/>
      <c r="O35" s="78"/>
      <c r="P35" s="78"/>
      <c r="Q35" s="78"/>
      <c r="R35" s="73"/>
      <c r="S35" s="4"/>
      <c r="T35" s="4"/>
      <c r="U35" s="4"/>
      <c r="V35" s="4"/>
      <c r="W35" s="4"/>
      <c r="X35" s="4"/>
      <c r="Y35" s="4"/>
    </row>
    <row r="36" spans="1:26" ht="18.75" customHeight="1" x14ac:dyDescent="0.3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8.75" customHeight="1" x14ac:dyDescent="0.3">
      <c r="A37" s="19"/>
      <c r="B37" s="4"/>
      <c r="C37" s="28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8.75" customHeight="1" x14ac:dyDescent="0.3">
      <c r="A38" s="8"/>
      <c r="B38" s="4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8.75" customHeight="1" x14ac:dyDescent="0.3">
      <c r="A39" s="12"/>
      <c r="B39" s="4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8.75" customHeight="1" x14ac:dyDescent="0.3">
      <c r="A40" s="79"/>
      <c r="B40" s="4"/>
      <c r="C40" s="28"/>
      <c r="D40" s="8"/>
      <c r="E40" s="4"/>
      <c r="F40" s="73"/>
      <c r="G40" s="73"/>
      <c r="H40" s="8"/>
      <c r="I40" s="8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8.75" customHeight="1" x14ac:dyDescent="0.3">
      <c r="A41" s="80"/>
      <c r="B41" s="4"/>
      <c r="C41" s="28"/>
      <c r="D41" s="4"/>
      <c r="E41" s="4"/>
      <c r="F41" s="73"/>
      <c r="G41" s="81"/>
      <c r="H41" s="8"/>
      <c r="I41" s="8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8.75" customHeight="1" x14ac:dyDescent="0.3">
      <c r="A42" s="80"/>
      <c r="B42" s="4"/>
      <c r="C42" s="28"/>
      <c r="D42" s="4"/>
      <c r="E42" s="4"/>
      <c r="F42" s="73"/>
      <c r="G42" s="8"/>
      <c r="H42" s="8"/>
      <c r="I42" s="8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8.75" customHeight="1" x14ac:dyDescent="0.3">
      <c r="A43" s="12"/>
      <c r="B43" s="4"/>
      <c r="C43" s="28"/>
      <c r="D43" s="4"/>
      <c r="E43" s="4"/>
      <c r="F43" s="73"/>
      <c r="G43" s="7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8.75" customHeight="1" x14ac:dyDescent="0.3">
      <c r="A44" s="82"/>
      <c r="B44" s="83"/>
      <c r="C44" s="83"/>
      <c r="D44" s="4"/>
      <c r="E44" s="4"/>
      <c r="F44" s="73"/>
      <c r="G44" s="4"/>
      <c r="H44" s="4"/>
      <c r="I44" s="4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 x14ac:dyDescent="0.3">
      <c r="A45" s="12"/>
      <c r="B45" s="84"/>
      <c r="C45" s="84"/>
      <c r="D45" s="4"/>
      <c r="E45" s="4"/>
      <c r="F45" s="4"/>
      <c r="G45" s="4"/>
      <c r="H45" s="4"/>
      <c r="I45" s="4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8.75" customHeight="1" x14ac:dyDescent="0.3">
      <c r="A46" s="28"/>
      <c r="B46" s="23"/>
      <c r="C46" s="85"/>
      <c r="D46" s="4"/>
      <c r="E46" s="4"/>
      <c r="F46" s="4"/>
      <c r="G46" s="4"/>
      <c r="H46" s="4"/>
      <c r="I46" s="4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8.75" customHeight="1" x14ac:dyDescent="0.3">
      <c r="A47" s="28"/>
      <c r="B47" s="23"/>
      <c r="C47" s="85"/>
      <c r="D47" s="30"/>
      <c r="E47" s="85"/>
      <c r="F47" s="26"/>
      <c r="G47" s="85"/>
      <c r="H47" s="86"/>
      <c r="I47" s="23"/>
      <c r="J47" s="25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8.75" customHeight="1" x14ac:dyDescent="0.3">
      <c r="A48" s="28"/>
      <c r="B48" s="23"/>
      <c r="C48" s="85"/>
      <c r="D48" s="30"/>
      <c r="E48" s="85"/>
      <c r="F48" s="85"/>
      <c r="G48" s="85"/>
      <c r="H48" s="86"/>
      <c r="I48" s="23"/>
      <c r="J48" s="25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8.75" customHeight="1" x14ac:dyDescent="0.3">
      <c r="A49" s="28"/>
      <c r="B49" s="23"/>
      <c r="C49" s="85"/>
      <c r="D49" s="30"/>
      <c r="E49" s="85"/>
      <c r="F49" s="85"/>
      <c r="G49" s="85"/>
      <c r="H49" s="86"/>
      <c r="I49" s="23"/>
      <c r="J49" s="25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8.75" customHeight="1" x14ac:dyDescent="0.3">
      <c r="A50" s="28"/>
      <c r="B50" s="23"/>
      <c r="C50" s="85"/>
      <c r="D50" s="30"/>
      <c r="E50" s="85"/>
      <c r="F50" s="85"/>
      <c r="G50" s="85"/>
      <c r="H50" s="86"/>
      <c r="I50" s="23"/>
      <c r="J50" s="25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8.75" customHeight="1" x14ac:dyDescent="0.3">
      <c r="A51" s="28"/>
      <c r="B51" s="23"/>
      <c r="C51" s="85"/>
      <c r="D51" s="30"/>
      <c r="E51" s="85"/>
      <c r="F51" s="85"/>
      <c r="G51" s="85"/>
      <c r="H51" s="86"/>
      <c r="I51" s="23"/>
      <c r="J51" s="25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8.75" customHeight="1" x14ac:dyDescent="0.3">
      <c r="A52" s="28"/>
      <c r="B52" s="23"/>
      <c r="C52" s="85"/>
      <c r="D52" s="30"/>
      <c r="E52" s="87"/>
      <c r="F52" s="85"/>
      <c r="G52" s="85"/>
      <c r="H52" s="88"/>
      <c r="I52" s="4"/>
      <c r="J52" s="25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8.75" customHeight="1" x14ac:dyDescent="0.3">
      <c r="A53" s="28"/>
      <c r="B53" s="23"/>
      <c r="C53" s="85"/>
      <c r="D53" s="30"/>
      <c r="E53" s="87"/>
      <c r="F53" s="85"/>
      <c r="G53" s="85"/>
      <c r="H53" s="88"/>
      <c r="I53" s="23"/>
      <c r="J53" s="25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8.75" customHeight="1" x14ac:dyDescent="0.3">
      <c r="A54" s="28"/>
      <c r="B54" s="23"/>
      <c r="C54" s="85"/>
      <c r="D54" s="30"/>
      <c r="E54" s="87"/>
      <c r="F54" s="85"/>
      <c r="G54" s="85"/>
      <c r="H54" s="88"/>
      <c r="I54" s="23"/>
      <c r="J54" s="25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8.75" customHeight="1" x14ac:dyDescent="0.3">
      <c r="A55" s="28"/>
      <c r="B55" s="23"/>
      <c r="C55" s="85"/>
      <c r="D55" s="30"/>
      <c r="E55" s="87"/>
      <c r="F55" s="85"/>
      <c r="G55" s="85"/>
      <c r="H55" s="88"/>
      <c r="I55" s="19"/>
      <c r="J55" s="25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8.75" customHeight="1" x14ac:dyDescent="0.3">
      <c r="A56" s="4"/>
      <c r="B56" s="4"/>
      <c r="C56" s="89"/>
      <c r="D56" s="89"/>
      <c r="E56" s="89"/>
      <c r="F56" s="89"/>
      <c r="G56" s="4"/>
      <c r="H56" s="89"/>
      <c r="I56" s="4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8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8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8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8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8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8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8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8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12"/>
      <c r="L66" s="74"/>
      <c r="M66" s="1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8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12"/>
      <c r="L67" s="12"/>
      <c r="M67" s="1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8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25"/>
      <c r="L68" s="90"/>
      <c r="M68" s="12"/>
      <c r="N68" s="26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8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25"/>
      <c r="L69" s="90"/>
      <c r="M69" s="12"/>
      <c r="N69" s="2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8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25"/>
      <c r="L70" s="90"/>
      <c r="M70" s="12"/>
      <c r="N70" s="26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8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25"/>
      <c r="L71" s="90"/>
      <c r="M71" s="1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8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25"/>
      <c r="L72" s="90"/>
      <c r="M72" s="1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8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25"/>
      <c r="L73" s="90"/>
      <c r="M73" s="1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8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25"/>
      <c r="L74" s="90"/>
      <c r="M74" s="12"/>
      <c r="N74" s="4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8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25"/>
      <c r="L75" s="90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8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25"/>
      <c r="L76" s="90"/>
      <c r="M76" s="12"/>
      <c r="N76" s="4"/>
      <c r="O76" s="2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8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25"/>
      <c r="L77" s="90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8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8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8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8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8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8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2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8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2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8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2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8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23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8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23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8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23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8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23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8.75" customHeight="1" x14ac:dyDescent="0.3">
      <c r="A90" s="28"/>
      <c r="B90" s="23"/>
      <c r="C90" s="89"/>
      <c r="D90" s="89"/>
      <c r="E90" s="89"/>
      <c r="F90" s="89"/>
      <c r="G90" s="19"/>
      <c r="H90" s="89"/>
      <c r="I90" s="90"/>
      <c r="J90" s="12"/>
      <c r="K90" s="4"/>
      <c r="L90" s="4"/>
      <c r="M90" s="4"/>
      <c r="N90" s="4"/>
      <c r="O90" s="28"/>
      <c r="P90" s="2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8.75" customHeight="1" x14ac:dyDescent="0.3">
      <c r="A91" s="29"/>
      <c r="B91" s="83"/>
      <c r="C91" s="79"/>
      <c r="D91" s="79"/>
      <c r="E91" s="79"/>
      <c r="F91" s="79"/>
      <c r="G91" s="79"/>
      <c r="H91" s="79"/>
      <c r="I91" s="79"/>
      <c r="J91" s="79"/>
      <c r="K91" s="4"/>
      <c r="L91" s="4"/>
      <c r="M91" s="4"/>
      <c r="N91" s="4"/>
      <c r="O91" s="28"/>
      <c r="P91" s="2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8.75" customHeight="1" x14ac:dyDescent="0.3">
      <c r="A92" s="74"/>
      <c r="B92" s="84"/>
      <c r="C92" s="8"/>
      <c r="D92" s="74"/>
      <c r="E92" s="91"/>
      <c r="F92" s="74"/>
      <c r="G92" s="92"/>
      <c r="H92" s="8"/>
      <c r="I92" s="74"/>
      <c r="J92" s="19"/>
      <c r="K92" s="4"/>
      <c r="L92" s="4"/>
      <c r="M92" s="4"/>
      <c r="N92" s="4"/>
      <c r="O92" s="28"/>
      <c r="P92" s="2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8.75" customHeight="1" x14ac:dyDescent="0.3">
      <c r="A93" s="74"/>
      <c r="B93" s="93"/>
      <c r="C93" s="8"/>
      <c r="D93" s="74"/>
      <c r="E93" s="91"/>
      <c r="F93" s="74"/>
      <c r="G93" s="92"/>
      <c r="H93" s="8"/>
      <c r="I93" s="74"/>
      <c r="J93" s="19"/>
      <c r="K93" s="4"/>
      <c r="L93" s="4"/>
      <c r="M93" s="4"/>
      <c r="N93" s="4"/>
      <c r="O93" s="28"/>
      <c r="P93" s="2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8.75" customHeight="1" x14ac:dyDescent="0.3">
      <c r="A94" s="8"/>
      <c r="B94" s="84"/>
      <c r="C94" s="8"/>
      <c r="D94" s="8"/>
      <c r="E94" s="8"/>
      <c r="F94" s="8"/>
      <c r="G94" s="50"/>
      <c r="H94" s="8"/>
      <c r="I94" s="8"/>
      <c r="J94" s="8"/>
      <c r="K94" s="4"/>
      <c r="L94" s="4"/>
      <c r="M94" s="4"/>
      <c r="N94" s="4"/>
      <c r="O94" s="28"/>
      <c r="P94" s="2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8.75" customHeight="1" x14ac:dyDescent="0.3">
      <c r="A95" s="8"/>
      <c r="B95" s="84"/>
      <c r="C95" s="26"/>
      <c r="D95" s="8"/>
      <c r="E95" s="74"/>
      <c r="F95" s="8"/>
      <c r="G95" s="8"/>
      <c r="H95" s="8"/>
      <c r="I95" s="8"/>
      <c r="J95" s="12"/>
      <c r="K95" s="4"/>
      <c r="L95" s="4"/>
      <c r="M95" s="4"/>
      <c r="N95" s="4"/>
      <c r="O95" s="28"/>
      <c r="P95" s="2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8.75" customHeight="1" x14ac:dyDescent="0.3">
      <c r="A96" s="8"/>
      <c r="B96" s="84"/>
      <c r="C96" s="8"/>
      <c r="D96" s="8"/>
      <c r="E96" s="8"/>
      <c r="F96" s="8"/>
      <c r="G96" s="8"/>
      <c r="H96" s="8"/>
      <c r="I96" s="79"/>
      <c r="J96" s="79"/>
      <c r="K96" s="4"/>
      <c r="L96" s="4"/>
      <c r="M96" s="4"/>
      <c r="N96" s="4"/>
      <c r="O96" s="28"/>
      <c r="P96" s="2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8.75" customHeight="1" x14ac:dyDescent="0.3">
      <c r="A97" s="8"/>
      <c r="B97" s="84"/>
      <c r="C97" s="8"/>
      <c r="D97" s="8"/>
      <c r="E97" s="8"/>
      <c r="F97" s="8"/>
      <c r="G97" s="94"/>
      <c r="H97" s="94"/>
      <c r="I97" s="79"/>
      <c r="J97" s="80"/>
      <c r="K97" s="4"/>
      <c r="L97" s="4"/>
      <c r="M97" s="4"/>
      <c r="N97" s="4"/>
      <c r="O97" s="28"/>
      <c r="P97" s="2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8.75" customHeight="1" x14ac:dyDescent="0.3">
      <c r="A98" s="8"/>
      <c r="B98" s="84"/>
      <c r="C98" s="8"/>
      <c r="D98" s="8"/>
      <c r="E98" s="8"/>
      <c r="F98" s="8"/>
      <c r="G98" s="94"/>
      <c r="H98" s="94"/>
      <c r="I98" s="79"/>
      <c r="J98" s="80"/>
      <c r="K98" s="4"/>
      <c r="L98" s="4"/>
      <c r="M98" s="4"/>
      <c r="N98" s="4"/>
      <c r="O98" s="28"/>
      <c r="P98" s="2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8.75" customHeight="1" x14ac:dyDescent="0.3">
      <c r="A99" s="8"/>
      <c r="B99" s="84"/>
      <c r="C99" s="8"/>
      <c r="D99" s="8"/>
      <c r="E99" s="8"/>
      <c r="F99" s="8"/>
      <c r="G99" s="8"/>
      <c r="H99" s="8"/>
      <c r="I99" s="79"/>
      <c r="J99" s="80"/>
      <c r="K99" s="4"/>
      <c r="L99" s="4"/>
      <c r="M99" s="4"/>
      <c r="N99" s="4"/>
      <c r="O99" s="28"/>
      <c r="P99" s="2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8.75" customHeight="1" x14ac:dyDescent="0.3">
      <c r="A100" s="82"/>
      <c r="B100" s="83"/>
      <c r="C100" s="83"/>
      <c r="D100" s="83"/>
      <c r="E100" s="12"/>
      <c r="F100" s="12"/>
      <c r="G100" s="12"/>
      <c r="H100" s="12"/>
      <c r="I100" s="12"/>
      <c r="J100" s="12"/>
      <c r="K100" s="4"/>
      <c r="L100" s="4"/>
      <c r="M100" s="4"/>
      <c r="N100" s="4"/>
      <c r="O100" s="28"/>
      <c r="P100" s="2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8.75" customHeight="1" x14ac:dyDescent="0.3">
      <c r="A101" s="12"/>
      <c r="B101" s="84"/>
      <c r="C101" s="84"/>
      <c r="D101" s="84"/>
      <c r="E101" s="8"/>
      <c r="F101" s="12"/>
      <c r="G101" s="12"/>
      <c r="H101" s="12"/>
      <c r="I101" s="12"/>
      <c r="J101" s="12"/>
      <c r="K101" s="4"/>
      <c r="L101" s="4"/>
      <c r="M101" s="4"/>
      <c r="N101" s="4"/>
      <c r="O101" s="28"/>
      <c r="P101" s="2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8.75" customHeight="1" x14ac:dyDescent="0.3">
      <c r="A102" s="28"/>
      <c r="B102" s="23"/>
      <c r="C102" s="85"/>
      <c r="D102" s="30"/>
      <c r="E102" s="85"/>
      <c r="F102" s="85"/>
      <c r="G102" s="85"/>
      <c r="H102" s="86"/>
      <c r="I102" s="23"/>
      <c r="J102" s="25"/>
      <c r="K102" s="4"/>
      <c r="L102" s="4"/>
      <c r="M102" s="4"/>
      <c r="N102" s="4"/>
      <c r="O102" s="28"/>
      <c r="P102" s="2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8.75" customHeight="1" x14ac:dyDescent="0.3">
      <c r="A103" s="28"/>
      <c r="B103" s="23"/>
      <c r="C103" s="85"/>
      <c r="D103" s="30"/>
      <c r="E103" s="85"/>
      <c r="F103" s="85"/>
      <c r="G103" s="85"/>
      <c r="H103" s="86"/>
      <c r="I103" s="23"/>
      <c r="J103" s="2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8.75" customHeight="1" x14ac:dyDescent="0.3">
      <c r="A104" s="28"/>
      <c r="B104" s="23"/>
      <c r="C104" s="85"/>
      <c r="D104" s="30"/>
      <c r="E104" s="85"/>
      <c r="F104" s="85"/>
      <c r="G104" s="85"/>
      <c r="H104" s="86"/>
      <c r="I104" s="23"/>
      <c r="J104" s="2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8.75" customHeight="1" x14ac:dyDescent="0.3">
      <c r="A105" s="28"/>
      <c r="B105" s="23"/>
      <c r="C105" s="85"/>
      <c r="D105" s="30"/>
      <c r="E105" s="85"/>
      <c r="F105" s="85"/>
      <c r="G105" s="85"/>
      <c r="H105" s="86"/>
      <c r="I105" s="23"/>
      <c r="J105" s="2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8.75" customHeight="1" x14ac:dyDescent="0.3">
      <c r="A106" s="28"/>
      <c r="B106" s="23"/>
      <c r="C106" s="85"/>
      <c r="D106" s="30"/>
      <c r="E106" s="85"/>
      <c r="F106" s="85"/>
      <c r="G106" s="85"/>
      <c r="H106" s="86"/>
      <c r="I106" s="23"/>
      <c r="J106" s="2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8.75" customHeight="1" x14ac:dyDescent="0.3">
      <c r="A107" s="28"/>
      <c r="B107" s="23"/>
      <c r="C107" s="85"/>
      <c r="D107" s="30"/>
      <c r="E107" s="85"/>
      <c r="F107" s="85"/>
      <c r="G107" s="85"/>
      <c r="H107" s="86"/>
      <c r="I107" s="23"/>
      <c r="J107" s="2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8.75" customHeight="1" x14ac:dyDescent="0.3">
      <c r="A108" s="28"/>
      <c r="B108" s="23"/>
      <c r="C108" s="85"/>
      <c r="D108" s="30"/>
      <c r="E108" s="87"/>
      <c r="F108" s="85"/>
      <c r="G108" s="85"/>
      <c r="H108" s="88"/>
      <c r="I108" s="4"/>
      <c r="J108" s="2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8.75" customHeight="1" x14ac:dyDescent="0.3">
      <c r="A109" s="28"/>
      <c r="B109" s="23"/>
      <c r="C109" s="85"/>
      <c r="D109" s="30"/>
      <c r="E109" s="87"/>
      <c r="F109" s="85"/>
      <c r="G109" s="85"/>
      <c r="H109" s="88"/>
      <c r="I109" s="23"/>
      <c r="J109" s="2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8.75" customHeight="1" x14ac:dyDescent="0.3">
      <c r="A110" s="28"/>
      <c r="B110" s="23"/>
      <c r="C110" s="85"/>
      <c r="D110" s="30"/>
      <c r="E110" s="87"/>
      <c r="F110" s="85"/>
      <c r="G110" s="85"/>
      <c r="H110" s="88"/>
      <c r="I110" s="23"/>
      <c r="J110" s="2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8.75" customHeight="1" x14ac:dyDescent="0.3">
      <c r="A111" s="28"/>
      <c r="B111" s="23"/>
      <c r="C111" s="85"/>
      <c r="D111" s="30"/>
      <c r="E111" s="87"/>
      <c r="F111" s="85"/>
      <c r="G111" s="85"/>
      <c r="H111" s="88"/>
      <c r="I111" s="19"/>
      <c r="J111" s="2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8.75" customHeight="1" x14ac:dyDescent="0.3">
      <c r="A112" s="4"/>
      <c r="B112" s="4"/>
      <c r="C112" s="95"/>
      <c r="D112" s="95"/>
      <c r="E112" s="95"/>
      <c r="F112" s="95"/>
      <c r="G112" s="4"/>
      <c r="H112" s="95"/>
      <c r="I112" s="4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8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7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8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1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8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1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8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8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8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8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0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8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0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8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23"/>
      <c r="K121" s="80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8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23"/>
      <c r="K122" s="12"/>
      <c r="L122" s="7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8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23"/>
      <c r="K123" s="12"/>
      <c r="L123" s="12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8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25"/>
      <c r="L124" s="90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8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25"/>
      <c r="L125" s="90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8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25"/>
      <c r="L126" s="90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8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25"/>
      <c r="L127" s="90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8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25"/>
      <c r="L128" s="90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8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25"/>
      <c r="L129" s="90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8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25"/>
      <c r="L130" s="90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8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25"/>
      <c r="L131" s="90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8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25"/>
      <c r="L132" s="90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8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25"/>
      <c r="L133" s="90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8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8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8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8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8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8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8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8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8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8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23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8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23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8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23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8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8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8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8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8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8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8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8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8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8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8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8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8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8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8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8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8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8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8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8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8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8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8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8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8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8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8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8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8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8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8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8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8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8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8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8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8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8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8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8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8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8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8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8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8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8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8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8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8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8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8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8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8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8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8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8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8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8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8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8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8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8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8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8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8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8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8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8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8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8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8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8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8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8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8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8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8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8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8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8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8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8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8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8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8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8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8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8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8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8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8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8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8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8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8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8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8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8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8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8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8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8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8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8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8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8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8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8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8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8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8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8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8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8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8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8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8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8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8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8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8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8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8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8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8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8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8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8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8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8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8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8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8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8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8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8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8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8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8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8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8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8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8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8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8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8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8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8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8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8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8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8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8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8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8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8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8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8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8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8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8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8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8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8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8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8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8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8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8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8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8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8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8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8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8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8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8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8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8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8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8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8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8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8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8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8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8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8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8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8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8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8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8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8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8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8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8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8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8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8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8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8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8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8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8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8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8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8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8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8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8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8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8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8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8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8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8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8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8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8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8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8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8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8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8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8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8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8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8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8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8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8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8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8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8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8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8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8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8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8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8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8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8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8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8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8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8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8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8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8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8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8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8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8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8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8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8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8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8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8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8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8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8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8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8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8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8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8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8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8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8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8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8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8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8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8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8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8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8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8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8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8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8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8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8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8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8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8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8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8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8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8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8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8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8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8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8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8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8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8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8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8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8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8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8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8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8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8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8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8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8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8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8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8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8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8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8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8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8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8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8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8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8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8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8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8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8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8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8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8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8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8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8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8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8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8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8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8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8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8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8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8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8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8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8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8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8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8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8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8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8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8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8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8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8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8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8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8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8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8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8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8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8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8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8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8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8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8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8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8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8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8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8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8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8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8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8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8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8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8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8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8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8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8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8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8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8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8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8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8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8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8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8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8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8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8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8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8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8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8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8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8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8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8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8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8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8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8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8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8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8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8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8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8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8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8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8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8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8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8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8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8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8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8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8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8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8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8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8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8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8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8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8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8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8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8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8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8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8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8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8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8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8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8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8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8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8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8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8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8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8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8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8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8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8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8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8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8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8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8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8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8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8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8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8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8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8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8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8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8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8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8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8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8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8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8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8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8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8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8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8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8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8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8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8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8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8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8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8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8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8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8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8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8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8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8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8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8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8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8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8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8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8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8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8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8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8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8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8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8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8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8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8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8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8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8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8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8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8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8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8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8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8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8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8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8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8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8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8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8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8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8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8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8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8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8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8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8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8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8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8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8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8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8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8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8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8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8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8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8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8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8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8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8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8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8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8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8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8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8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8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8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8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8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8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8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8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8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8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8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8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8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8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8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8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8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8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8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8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8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8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8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8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8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8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8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8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8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8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8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8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8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8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8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8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8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8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8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8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8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8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8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8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8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8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8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8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8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8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8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8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8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8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8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8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8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8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8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8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8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8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8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8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8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8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8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8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8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8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8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8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8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8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8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8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8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8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8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8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8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8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8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8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8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8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8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8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8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8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8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8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8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8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8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8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8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8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8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8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8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8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8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8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8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8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8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8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8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8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8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8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8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8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8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8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8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8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8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8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8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8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8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8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8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8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8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8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8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8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8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8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8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8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8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8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8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8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8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8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8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8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8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8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8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8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8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8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8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8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8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8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8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8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8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8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8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8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8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8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8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8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8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8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8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8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8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8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8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8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8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8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8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8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8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8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8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8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8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8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8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8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8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8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8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8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8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8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8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8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8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8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8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8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8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8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8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8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8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8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8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8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8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8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8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8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8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8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8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8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8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8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8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8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8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8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8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8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8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8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8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8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8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8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8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8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8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8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8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8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8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8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8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8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8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8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8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8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8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8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8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8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8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8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8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8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8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8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8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8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8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8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8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8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8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8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8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8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8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8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8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8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8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8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8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8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8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8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8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8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8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8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8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8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8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8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8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8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8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8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8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8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8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8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8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8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8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8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8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8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8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8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8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8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8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8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1004"/>
  <sheetViews>
    <sheetView workbookViewId="0">
      <selection activeCell="D31" sqref="D31"/>
    </sheetView>
  </sheetViews>
  <sheetFormatPr defaultColWidth="11.125" defaultRowHeight="15" customHeight="1" x14ac:dyDescent="0.25"/>
  <cols>
    <col min="1" max="1" width="12" customWidth="1"/>
    <col min="2" max="2" width="9.625" customWidth="1"/>
    <col min="3" max="3" width="12" customWidth="1"/>
    <col min="4" max="4" width="9.375" customWidth="1"/>
    <col min="5" max="5" width="8.875" customWidth="1"/>
    <col min="6" max="6" width="9.375" customWidth="1"/>
    <col min="7" max="8" width="8.875" customWidth="1"/>
    <col min="9" max="9" width="11.125" customWidth="1"/>
    <col min="10" max="10" width="12.375" customWidth="1"/>
    <col min="11" max="11" width="19.5" customWidth="1"/>
    <col min="12" max="12" width="22.625" customWidth="1"/>
    <col min="13" max="13" width="19.5" customWidth="1"/>
    <col min="14" max="14" width="20.5" customWidth="1"/>
    <col min="15" max="15" width="18.875" customWidth="1"/>
    <col min="16" max="16" width="13.5" customWidth="1"/>
    <col min="17" max="17" width="10.5" customWidth="1"/>
    <col min="18" max="18" width="8.625" customWidth="1"/>
    <col min="19" max="20" width="9" customWidth="1"/>
    <col min="21" max="26" width="10.5" customWidth="1"/>
    <col min="27" max="28" width="11.125" customWidth="1"/>
  </cols>
  <sheetData>
    <row r="1" spans="1:28" ht="15" customHeight="1" x14ac:dyDescent="0.25">
      <c r="O1" s="108" t="s">
        <v>202</v>
      </c>
      <c r="P1" s="109">
        <v>12.0107</v>
      </c>
    </row>
    <row r="2" spans="1:28" ht="15" customHeight="1" x14ac:dyDescent="0.25">
      <c r="A2" s="108" t="s">
        <v>203</v>
      </c>
      <c r="B2" s="108" t="s">
        <v>18</v>
      </c>
      <c r="S2" s="108" t="s">
        <v>204</v>
      </c>
      <c r="T2" s="108" t="s">
        <v>205</v>
      </c>
    </row>
    <row r="3" spans="1:28" ht="15.75" customHeight="1" x14ac:dyDescent="0.3">
      <c r="A3" s="147" t="s">
        <v>206</v>
      </c>
      <c r="B3" s="148"/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10"/>
      <c r="P3" s="108"/>
      <c r="Q3" s="108"/>
      <c r="R3" s="108"/>
      <c r="S3" s="108" t="s">
        <v>207</v>
      </c>
      <c r="T3" s="108" t="s">
        <v>208</v>
      </c>
      <c r="U3" s="108" t="s">
        <v>209</v>
      </c>
      <c r="V3" s="108"/>
      <c r="W3" s="108"/>
      <c r="X3" s="108"/>
      <c r="Y3" s="108"/>
      <c r="Z3" s="108"/>
      <c r="AA3" s="108"/>
      <c r="AB3" s="108"/>
    </row>
    <row r="4" spans="1:28" ht="15.75" customHeight="1" x14ac:dyDescent="0.25">
      <c r="A4" s="111" t="s">
        <v>210</v>
      </c>
      <c r="B4" s="112" t="s">
        <v>44</v>
      </c>
      <c r="C4" s="112" t="s">
        <v>211</v>
      </c>
      <c r="D4" s="112" t="s">
        <v>212</v>
      </c>
      <c r="E4" s="112" t="s">
        <v>213</v>
      </c>
      <c r="F4" s="113" t="s">
        <v>214</v>
      </c>
      <c r="G4" s="113" t="s">
        <v>215</v>
      </c>
      <c r="H4" s="113" t="s">
        <v>216</v>
      </c>
      <c r="I4" s="113" t="s">
        <v>217</v>
      </c>
      <c r="J4" s="112" t="s">
        <v>218</v>
      </c>
      <c r="K4" s="112" t="s">
        <v>219</v>
      </c>
      <c r="L4" s="112" t="s">
        <v>220</v>
      </c>
      <c r="M4" s="112" t="s">
        <v>221</v>
      </c>
      <c r="N4" s="112" t="s">
        <v>222</v>
      </c>
      <c r="O4" s="111" t="s">
        <v>223</v>
      </c>
      <c r="P4" s="114"/>
      <c r="Q4" s="114"/>
      <c r="R4" s="115" t="str">
        <f t="shared" ref="R4:S4" si="0">A5</f>
        <v>U17</v>
      </c>
      <c r="S4" s="114">
        <f t="shared" si="0"/>
        <v>1.4774882714480462</v>
      </c>
      <c r="T4" s="114">
        <f t="shared" ref="T4:T24" si="1">B31</f>
        <v>1.9331070092086226E-2</v>
      </c>
      <c r="U4" s="114">
        <f t="shared" ref="U4:U24" si="2">S4/T4</f>
        <v>76.43075444917568</v>
      </c>
      <c r="V4" s="114"/>
      <c r="W4" s="114"/>
      <c r="X4" s="114"/>
      <c r="Y4" s="114"/>
      <c r="Z4" s="114"/>
      <c r="AA4" s="114"/>
      <c r="AB4" s="114"/>
    </row>
    <row r="5" spans="1:28" ht="15.75" customHeight="1" x14ac:dyDescent="0.25">
      <c r="A5" s="115" t="s">
        <v>1</v>
      </c>
      <c r="B5" s="116">
        <f>'U17'!G31</f>
        <v>1.4774882714480462</v>
      </c>
      <c r="C5" s="117">
        <f t="shared" ref="C5:C24" si="3">B5*(1*10^-9)</f>
        <v>1.4774882714480462E-9</v>
      </c>
      <c r="D5" s="118">
        <f t="shared" ref="D5:D24" si="4">C5*(1.4*10^17)</f>
        <v>206848358.00272644</v>
      </c>
      <c r="E5" s="118">
        <f t="shared" ref="E5:E24" si="5">D5*11</f>
        <v>2275331938.0299907</v>
      </c>
      <c r="F5" s="119">
        <f t="shared" ref="F5:F24" si="6">E5*(1*10^-12)</f>
        <v>2.2753319380299907E-3</v>
      </c>
      <c r="G5" s="119">
        <f t="shared" ref="G5:G24" si="7">F5*1000</f>
        <v>2.2753319380299906</v>
      </c>
      <c r="H5" s="119">
        <f t="shared" ref="H5:H23" si="8">F5*10^6</f>
        <v>2275.3319380299909</v>
      </c>
      <c r="I5" s="120">
        <f t="shared" ref="I5:I25" si="9">H5/$P$1</f>
        <v>189.44207565170979</v>
      </c>
      <c r="J5" s="118">
        <f t="shared" ref="J5:J25" si="10">F5*1000</f>
        <v>2.2753319380299906</v>
      </c>
      <c r="K5" s="116">
        <f t="shared" ref="K5:K25" si="11">B5/24</f>
        <v>6.1562011310335257E-2</v>
      </c>
      <c r="L5" s="116">
        <f t="shared" ref="L5:L25" si="12">K5*(1/0.001)</f>
        <v>61.562011310335258</v>
      </c>
      <c r="M5" s="116">
        <f t="shared" ref="M5:M25" si="13">B5*1000</f>
        <v>1477.4882714480461</v>
      </c>
      <c r="N5" s="116">
        <f t="shared" ref="N5:N25" si="14">M5/24</f>
        <v>61.562011310335258</v>
      </c>
      <c r="O5" s="47">
        <f>'U17'!L31</f>
        <v>1.5390502827583814E-2</v>
      </c>
      <c r="P5" s="115"/>
      <c r="Q5" s="115"/>
      <c r="R5" s="115" t="str">
        <f t="shared" ref="R5:S5" si="15">A6</f>
        <v>SB14</v>
      </c>
      <c r="S5" s="114">
        <f t="shared" si="15"/>
        <v>0.97532283275194809</v>
      </c>
      <c r="T5" s="114">
        <f t="shared" si="1"/>
        <v>6.4752647450285888E-2</v>
      </c>
      <c r="U5" s="114">
        <f t="shared" si="2"/>
        <v>15.062285036310774</v>
      </c>
      <c r="V5" s="115"/>
      <c r="W5" s="115"/>
      <c r="X5" s="115"/>
      <c r="Y5" s="115"/>
      <c r="Z5" s="115"/>
      <c r="AA5" s="108"/>
      <c r="AB5" s="108"/>
    </row>
    <row r="6" spans="1:28" ht="15.75" customHeight="1" x14ac:dyDescent="0.25">
      <c r="A6" s="115" t="s">
        <v>45</v>
      </c>
      <c r="B6" s="116">
        <f>'SB14'!G31</f>
        <v>0.97532283275194809</v>
      </c>
      <c r="C6" s="117">
        <f t="shared" si="3"/>
        <v>9.753228327519481E-10</v>
      </c>
      <c r="D6" s="118">
        <f t="shared" si="4"/>
        <v>136545196.58527273</v>
      </c>
      <c r="E6" s="118">
        <f t="shared" si="5"/>
        <v>1501997162.438</v>
      </c>
      <c r="F6" s="119">
        <f t="shared" si="6"/>
        <v>1.501997162438E-3</v>
      </c>
      <c r="G6" s="119">
        <f t="shared" si="7"/>
        <v>1.501997162438</v>
      </c>
      <c r="H6" s="119">
        <f t="shared" si="8"/>
        <v>1501.997162438</v>
      </c>
      <c r="I6" s="120">
        <f t="shared" si="9"/>
        <v>125.05492289691692</v>
      </c>
      <c r="J6" s="118">
        <f t="shared" si="10"/>
        <v>1.501997162438</v>
      </c>
      <c r="K6" s="116">
        <f t="shared" si="11"/>
        <v>4.0638451364664506E-2</v>
      </c>
      <c r="L6" s="116">
        <f t="shared" si="12"/>
        <v>40.638451364664505</v>
      </c>
      <c r="M6" s="116">
        <f t="shared" si="13"/>
        <v>975.32283275194811</v>
      </c>
      <c r="N6" s="116">
        <f t="shared" si="14"/>
        <v>40.638451364664505</v>
      </c>
      <c r="O6" s="47">
        <f>'SB14'!L31</f>
        <v>1.0159612841166126E-2</v>
      </c>
      <c r="P6" s="115"/>
      <c r="Q6" s="115"/>
      <c r="R6" s="115" t="str">
        <f t="shared" ref="R6:S6" si="16">A7</f>
        <v>BQ1</v>
      </c>
      <c r="S6" s="114">
        <f t="shared" si="16"/>
        <v>1.324429759293579</v>
      </c>
      <c r="T6" s="114">
        <f t="shared" si="1"/>
        <v>7.3166802273859549E-2</v>
      </c>
      <c r="U6" s="114">
        <f t="shared" si="2"/>
        <v>18.10151213574029</v>
      </c>
      <c r="V6" s="115"/>
      <c r="W6" s="115"/>
      <c r="X6" s="115"/>
      <c r="Y6" s="115"/>
      <c r="Z6" s="115"/>
    </row>
    <row r="7" spans="1:28" ht="15.75" customHeight="1" x14ac:dyDescent="0.25">
      <c r="A7" s="115" t="s">
        <v>224</v>
      </c>
      <c r="B7" s="116">
        <f>BQI!G31</f>
        <v>1.324429759293579</v>
      </c>
      <c r="C7" s="117">
        <f t="shared" si="3"/>
        <v>1.324429759293579E-9</v>
      </c>
      <c r="D7" s="118">
        <f t="shared" si="4"/>
        <v>185420166.30110103</v>
      </c>
      <c r="E7" s="118">
        <f t="shared" si="5"/>
        <v>2039621829.3121114</v>
      </c>
      <c r="F7" s="119">
        <f t="shared" si="6"/>
        <v>2.0396218293121113E-3</v>
      </c>
      <c r="G7" s="119">
        <f t="shared" si="7"/>
        <v>2.0396218293121113</v>
      </c>
      <c r="H7" s="119">
        <f t="shared" si="8"/>
        <v>2039.6218293121112</v>
      </c>
      <c r="I7" s="120">
        <f t="shared" si="9"/>
        <v>169.81706555921897</v>
      </c>
      <c r="J7" s="118">
        <f t="shared" si="10"/>
        <v>2.0396218293121113</v>
      </c>
      <c r="K7" s="116">
        <f t="shared" si="11"/>
        <v>5.5184573303899122E-2</v>
      </c>
      <c r="L7" s="116">
        <f t="shared" si="12"/>
        <v>55.184573303899121</v>
      </c>
      <c r="M7" s="116">
        <f t="shared" si="13"/>
        <v>1324.4297592935791</v>
      </c>
      <c r="N7" s="116">
        <f t="shared" si="14"/>
        <v>55.184573303899128</v>
      </c>
      <c r="O7" s="47">
        <f>BQI!L31</f>
        <v>1.3796143325974777E-2</v>
      </c>
      <c r="P7" s="115"/>
      <c r="Q7" s="115"/>
      <c r="R7" s="115" t="str">
        <f t="shared" ref="R7:S7" si="17">A8</f>
        <v>KW</v>
      </c>
      <c r="S7" s="114">
        <f t="shared" si="17"/>
        <v>1.4092818652383665</v>
      </c>
      <c r="T7" s="114">
        <f t="shared" si="1"/>
        <v>3.7381528023633821E-2</v>
      </c>
      <c r="U7" s="114">
        <f t="shared" si="2"/>
        <v>37.699953419436802</v>
      </c>
      <c r="V7" s="115"/>
      <c r="W7" s="115"/>
      <c r="X7" s="115"/>
      <c r="Y7" s="115"/>
      <c r="Z7" s="115"/>
    </row>
    <row r="8" spans="1:28" ht="15.75" customHeight="1" x14ac:dyDescent="0.25">
      <c r="A8" s="115" t="s">
        <v>225</v>
      </c>
      <c r="B8" s="116">
        <f>KW!G31</f>
        <v>1.4092818652383665</v>
      </c>
      <c r="C8" s="117">
        <f t="shared" si="3"/>
        <v>1.4092818652383666E-9</v>
      </c>
      <c r="D8" s="118">
        <f t="shared" si="4"/>
        <v>197299461.13337129</v>
      </c>
      <c r="E8" s="118">
        <f t="shared" si="5"/>
        <v>2170294072.4670844</v>
      </c>
      <c r="F8" s="119">
        <f t="shared" si="6"/>
        <v>2.1702940724670845E-3</v>
      </c>
      <c r="G8" s="119">
        <f t="shared" si="7"/>
        <v>2.1702940724670845</v>
      </c>
      <c r="H8" s="119">
        <f t="shared" si="8"/>
        <v>2170.2940724670843</v>
      </c>
      <c r="I8" s="120">
        <f t="shared" si="9"/>
        <v>180.69671813192272</v>
      </c>
      <c r="J8" s="118">
        <f t="shared" si="10"/>
        <v>2.1702940724670845</v>
      </c>
      <c r="K8" s="116">
        <f t="shared" si="11"/>
        <v>5.8720077718265269E-2</v>
      </c>
      <c r="L8" s="116">
        <f t="shared" si="12"/>
        <v>58.720077718265266</v>
      </c>
      <c r="M8" s="116">
        <f t="shared" si="13"/>
        <v>1409.2818652383664</v>
      </c>
      <c r="N8" s="116">
        <f t="shared" si="14"/>
        <v>58.720077718265266</v>
      </c>
      <c r="O8" s="47">
        <f>KW!L31</f>
        <v>1.1744015543653055E-2</v>
      </c>
      <c r="P8" s="116"/>
      <c r="Q8" s="115"/>
      <c r="R8" s="115" t="str">
        <f t="shared" ref="R8:S8" si="18">A9</f>
        <v>SB1</v>
      </c>
      <c r="S8" s="114">
        <f t="shared" si="18"/>
        <v>0.59148482734111218</v>
      </c>
      <c r="T8" s="114">
        <f t="shared" si="1"/>
        <v>7.3119008700024857E-2</v>
      </c>
      <c r="U8" s="114">
        <f t="shared" si="2"/>
        <v>8.0893441781700623</v>
      </c>
      <c r="V8" s="115"/>
      <c r="W8" s="115"/>
      <c r="X8" s="115"/>
      <c r="Y8" s="115"/>
      <c r="Z8" s="115"/>
    </row>
    <row r="9" spans="1:28" ht="15.75" customHeight="1" x14ac:dyDescent="0.25">
      <c r="A9" s="115" t="s">
        <v>226</v>
      </c>
      <c r="B9" s="116">
        <f>SBI!G31</f>
        <v>0.59148482734111218</v>
      </c>
      <c r="C9" s="117">
        <f t="shared" si="3"/>
        <v>5.9148482734111221E-10</v>
      </c>
      <c r="D9" s="118">
        <f t="shared" si="4"/>
        <v>82807875.827755705</v>
      </c>
      <c r="E9" s="118">
        <f t="shared" si="5"/>
        <v>910886634.10531271</v>
      </c>
      <c r="F9" s="119">
        <f t="shared" si="6"/>
        <v>9.1088663410531271E-4</v>
      </c>
      <c r="G9" s="119">
        <f t="shared" si="7"/>
        <v>0.91088663410531268</v>
      </c>
      <c r="H9" s="119">
        <f t="shared" si="8"/>
        <v>910.88663410531274</v>
      </c>
      <c r="I9" s="120">
        <f t="shared" si="9"/>
        <v>75.839595869126086</v>
      </c>
      <c r="J9" s="118">
        <f t="shared" si="10"/>
        <v>0.91088663410531268</v>
      </c>
      <c r="K9" s="116">
        <f t="shared" si="11"/>
        <v>2.4645201139213008E-2</v>
      </c>
      <c r="L9" s="116">
        <f t="shared" si="12"/>
        <v>24.645201139213007</v>
      </c>
      <c r="M9" s="116">
        <f t="shared" si="13"/>
        <v>591.48482734111224</v>
      </c>
      <c r="N9" s="116">
        <f t="shared" si="14"/>
        <v>24.645201139213011</v>
      </c>
      <c r="O9" s="47">
        <f>SBI!L31</f>
        <v>5.5451702563229259E-3</v>
      </c>
      <c r="R9" s="115" t="str">
        <f t="shared" ref="R9:S9" si="19">A10</f>
        <v>LSC</v>
      </c>
      <c r="S9" s="114">
        <f t="shared" si="19"/>
        <v>2.2271634682127788</v>
      </c>
      <c r="T9" s="114">
        <f t="shared" si="1"/>
        <v>0.17290064047934814</v>
      </c>
      <c r="U9" s="114">
        <f t="shared" si="2"/>
        <v>12.881175350410567</v>
      </c>
    </row>
    <row r="10" spans="1:28" ht="15.75" customHeight="1" x14ac:dyDescent="0.25">
      <c r="A10" s="115" t="s">
        <v>227</v>
      </c>
      <c r="B10" s="116">
        <f>LSC!G31</f>
        <v>2.2271634682127788</v>
      </c>
      <c r="C10" s="117">
        <f t="shared" si="3"/>
        <v>2.227163468212779E-9</v>
      </c>
      <c r="D10" s="118">
        <f t="shared" si="4"/>
        <v>311802885.54978901</v>
      </c>
      <c r="E10" s="118">
        <f t="shared" si="5"/>
        <v>3429831741.0476789</v>
      </c>
      <c r="F10" s="119">
        <f t="shared" si="6"/>
        <v>3.4298317410476789E-3</v>
      </c>
      <c r="G10" s="119">
        <f t="shared" si="7"/>
        <v>3.4298317410476789</v>
      </c>
      <c r="H10" s="119">
        <f t="shared" si="8"/>
        <v>3429.8317410476789</v>
      </c>
      <c r="I10" s="120">
        <f t="shared" si="9"/>
        <v>285.56468324474667</v>
      </c>
      <c r="J10" s="118">
        <f t="shared" si="10"/>
        <v>3.4298317410476789</v>
      </c>
      <c r="K10" s="116">
        <f t="shared" si="11"/>
        <v>9.279847784219912E-2</v>
      </c>
      <c r="L10" s="116">
        <f t="shared" si="12"/>
        <v>92.798477842199119</v>
      </c>
      <c r="M10" s="116">
        <f t="shared" si="13"/>
        <v>2227.1634682127788</v>
      </c>
      <c r="N10" s="116">
        <f t="shared" si="14"/>
        <v>92.798477842199119</v>
      </c>
      <c r="O10" s="47">
        <f>LSC!L31</f>
        <v>2.08796575144948E-2</v>
      </c>
      <c r="R10" s="115" t="str">
        <f t="shared" ref="R10:S10" si="20">A11</f>
        <v>CCIW</v>
      </c>
      <c r="S10" s="114">
        <f t="shared" si="20"/>
        <v>4.8931124679255342</v>
      </c>
      <c r="T10" s="114">
        <f t="shared" si="1"/>
        <v>9.8245342759740173E-2</v>
      </c>
      <c r="U10" s="114">
        <f t="shared" si="2"/>
        <v>49.805032284244582</v>
      </c>
    </row>
    <row r="11" spans="1:28" ht="15.75" customHeight="1" x14ac:dyDescent="0.25">
      <c r="A11" s="115" t="s">
        <v>94</v>
      </c>
      <c r="B11" s="116">
        <f>CCIW!G31</f>
        <v>4.8931124679255342</v>
      </c>
      <c r="C11" s="117">
        <f t="shared" si="3"/>
        <v>4.8931124679255347E-9</v>
      </c>
      <c r="D11" s="118">
        <f t="shared" si="4"/>
        <v>685035745.50957477</v>
      </c>
      <c r="E11" s="118">
        <f t="shared" si="5"/>
        <v>7535393200.6053228</v>
      </c>
      <c r="F11" s="119">
        <f t="shared" si="6"/>
        <v>7.5353932006053228E-3</v>
      </c>
      <c r="G11" s="119">
        <f t="shared" si="7"/>
        <v>7.5353932006053226</v>
      </c>
      <c r="H11" s="119">
        <f t="shared" si="8"/>
        <v>7535.3932006053228</v>
      </c>
      <c r="I11" s="120">
        <f t="shared" si="9"/>
        <v>627.39001062430361</v>
      </c>
      <c r="J11" s="118">
        <f t="shared" si="10"/>
        <v>7.5353932006053226</v>
      </c>
      <c r="K11" s="116">
        <f t="shared" si="11"/>
        <v>0.20387968616356392</v>
      </c>
      <c r="L11" s="116">
        <f t="shared" si="12"/>
        <v>203.87968616356392</v>
      </c>
      <c r="M11" s="116">
        <f t="shared" si="13"/>
        <v>4893.1124679255345</v>
      </c>
      <c r="N11" s="116">
        <f t="shared" si="14"/>
        <v>203.87968616356395</v>
      </c>
      <c r="O11" s="47">
        <f>CCIW!L31</f>
        <v>4.5872929386801875E-2</v>
      </c>
      <c r="R11" s="115" t="str">
        <f t="shared" ref="R11:S11" si="21">A12</f>
        <v>WE6</v>
      </c>
      <c r="S11" s="114">
        <f t="shared" si="21"/>
        <v>6.9024170673840946</v>
      </c>
      <c r="T11" s="114">
        <f t="shared" si="1"/>
        <v>0.10025816044483894</v>
      </c>
      <c r="U11" s="114">
        <f t="shared" si="2"/>
        <v>68.846436407355952</v>
      </c>
    </row>
    <row r="12" spans="1:28" ht="15.75" customHeight="1" x14ac:dyDescent="0.25">
      <c r="A12" s="115" t="s">
        <v>228</v>
      </c>
      <c r="B12" s="116">
        <f>'WE6'!G31</f>
        <v>6.9024170673840946</v>
      </c>
      <c r="C12" s="117">
        <f t="shared" si="3"/>
        <v>6.9024170673840949E-9</v>
      </c>
      <c r="D12" s="118">
        <f t="shared" si="4"/>
        <v>966338389.43377316</v>
      </c>
      <c r="E12" s="118">
        <f t="shared" si="5"/>
        <v>10629722283.771505</v>
      </c>
      <c r="F12" s="119">
        <f t="shared" si="6"/>
        <v>1.0629722283771506E-2</v>
      </c>
      <c r="G12" s="119">
        <f t="shared" si="7"/>
        <v>10.629722283771505</v>
      </c>
      <c r="H12" s="119">
        <f t="shared" si="8"/>
        <v>10629.722283771505</v>
      </c>
      <c r="I12" s="120">
        <f t="shared" si="9"/>
        <v>885.02104654778702</v>
      </c>
      <c r="J12" s="118">
        <f t="shared" si="10"/>
        <v>10.629722283771505</v>
      </c>
      <c r="K12" s="116">
        <f t="shared" si="11"/>
        <v>0.28760071114100394</v>
      </c>
      <c r="L12" s="116">
        <f t="shared" si="12"/>
        <v>287.60071114100396</v>
      </c>
      <c r="M12" s="116">
        <f t="shared" si="13"/>
        <v>6902.4170673840945</v>
      </c>
      <c r="N12" s="116">
        <f t="shared" si="14"/>
        <v>287.60071114100396</v>
      </c>
      <c r="O12" s="47">
        <f>'WE6'!L31</f>
        <v>6.4710160006725886E-2</v>
      </c>
      <c r="R12" s="115" t="str">
        <f t="shared" ref="R12:S12" si="22">A13</f>
        <v>GB</v>
      </c>
      <c r="S12" s="114">
        <f t="shared" si="22"/>
        <v>3.68379710048755</v>
      </c>
      <c r="T12" s="114">
        <f t="shared" si="1"/>
        <v>0.13669614060465934</v>
      </c>
      <c r="U12" s="114">
        <f t="shared" si="2"/>
        <v>26.948801072164187</v>
      </c>
    </row>
    <row r="13" spans="1:28" ht="15.75" customHeight="1" x14ac:dyDescent="0.25">
      <c r="A13" s="115" t="s">
        <v>109</v>
      </c>
      <c r="B13" s="116">
        <f>GB!G31</f>
        <v>3.68379710048755</v>
      </c>
      <c r="C13" s="117">
        <f t="shared" si="3"/>
        <v>3.6837971004875501E-9</v>
      </c>
      <c r="D13" s="118">
        <f t="shared" si="4"/>
        <v>515731594.06825697</v>
      </c>
      <c r="E13" s="118">
        <f t="shared" si="5"/>
        <v>5673047534.7508268</v>
      </c>
      <c r="F13" s="119">
        <f t="shared" si="6"/>
        <v>5.6730475347508266E-3</v>
      </c>
      <c r="G13" s="119">
        <f t="shared" si="7"/>
        <v>5.6730475347508262</v>
      </c>
      <c r="H13" s="119">
        <f t="shared" si="8"/>
        <v>5673.0475347508263</v>
      </c>
      <c r="I13" s="120">
        <f t="shared" si="9"/>
        <v>472.33279781784796</v>
      </c>
      <c r="J13" s="118">
        <f t="shared" si="10"/>
        <v>5.6730475347508262</v>
      </c>
      <c r="K13" s="116">
        <f t="shared" si="11"/>
        <v>0.15349154585364791</v>
      </c>
      <c r="L13" s="116">
        <f t="shared" si="12"/>
        <v>153.49154585364792</v>
      </c>
      <c r="M13" s="116">
        <f t="shared" si="13"/>
        <v>3683.7971004875499</v>
      </c>
      <c r="N13" s="116">
        <f t="shared" si="14"/>
        <v>153.49154585364792</v>
      </c>
      <c r="O13" s="47">
        <f>GB!L31</f>
        <v>3.8372886463411977E-2</v>
      </c>
      <c r="R13" s="115" t="str">
        <f t="shared" ref="R13:S13" si="23">A14</f>
        <v>BI</v>
      </c>
      <c r="S13" s="114">
        <f t="shared" si="23"/>
        <v>0.45135463168693923</v>
      </c>
      <c r="T13" s="114">
        <f t="shared" si="1"/>
        <v>2.0849864506134182E-2</v>
      </c>
      <c r="U13" s="114">
        <f t="shared" si="2"/>
        <v>21.647844836312842</v>
      </c>
    </row>
    <row r="14" spans="1:28" ht="15.75" customHeight="1" x14ac:dyDescent="0.25">
      <c r="A14" s="115" t="s">
        <v>229</v>
      </c>
      <c r="B14" s="116">
        <f>BI!G31</f>
        <v>0.45135463168693923</v>
      </c>
      <c r="C14" s="117">
        <f t="shared" si="3"/>
        <v>4.5135463168693926E-10</v>
      </c>
      <c r="D14" s="118">
        <f t="shared" si="4"/>
        <v>63189648.436171487</v>
      </c>
      <c r="E14" s="118">
        <f t="shared" si="5"/>
        <v>695086132.79788637</v>
      </c>
      <c r="F14" s="119">
        <f t="shared" si="6"/>
        <v>6.9508613279788633E-4</v>
      </c>
      <c r="G14" s="119">
        <f t="shared" si="7"/>
        <v>0.69508613279788634</v>
      </c>
      <c r="H14" s="119">
        <f t="shared" si="8"/>
        <v>695.08613279788631</v>
      </c>
      <c r="I14" s="120">
        <f t="shared" si="9"/>
        <v>57.872241651018371</v>
      </c>
      <c r="J14" s="118">
        <f t="shared" si="10"/>
        <v>0.69508613279788634</v>
      </c>
      <c r="K14" s="116">
        <f t="shared" si="11"/>
        <v>1.8806442986955801E-2</v>
      </c>
      <c r="L14" s="116">
        <f t="shared" si="12"/>
        <v>18.806442986955801</v>
      </c>
      <c r="M14" s="116">
        <f t="shared" si="13"/>
        <v>451.35463168693923</v>
      </c>
      <c r="N14" s="116">
        <f t="shared" si="14"/>
        <v>18.806442986955801</v>
      </c>
      <c r="O14" s="47">
        <f>BI!L31</f>
        <v>4.7016107467389504E-3</v>
      </c>
      <c r="R14" s="115" t="str">
        <f t="shared" ref="R14:S14" si="24">A15</f>
        <v>ALS</v>
      </c>
      <c r="S14" s="114">
        <f t="shared" si="24"/>
        <v>0.48564380057252088</v>
      </c>
      <c r="T14" s="114">
        <f t="shared" si="1"/>
        <v>4.3143491267590081E-2</v>
      </c>
      <c r="U14" s="114">
        <f t="shared" si="2"/>
        <v>11.256478933529017</v>
      </c>
    </row>
    <row r="15" spans="1:28" ht="15.75" customHeight="1" x14ac:dyDescent="0.25">
      <c r="A15" s="115" t="s">
        <v>230</v>
      </c>
      <c r="B15" s="116">
        <f>ALS!G31</f>
        <v>0.48564380057252088</v>
      </c>
      <c r="C15" s="117">
        <f t="shared" si="3"/>
        <v>4.8564380057252092E-10</v>
      </c>
      <c r="D15" s="118">
        <f t="shared" si="4"/>
        <v>67990132.080152929</v>
      </c>
      <c r="E15" s="118">
        <f t="shared" si="5"/>
        <v>747891452.88168216</v>
      </c>
      <c r="F15" s="119">
        <f t="shared" si="6"/>
        <v>7.4789145288168212E-4</v>
      </c>
      <c r="G15" s="119">
        <f t="shared" si="7"/>
        <v>0.74789145288168213</v>
      </c>
      <c r="H15" s="119">
        <f t="shared" si="8"/>
        <v>747.89145288168208</v>
      </c>
      <c r="I15" s="120">
        <f t="shared" si="9"/>
        <v>62.268764758230752</v>
      </c>
      <c r="J15" s="118">
        <f t="shared" si="10"/>
        <v>0.74789145288168213</v>
      </c>
      <c r="K15" s="116">
        <f t="shared" si="11"/>
        <v>2.0235158357188369E-2</v>
      </c>
      <c r="L15" s="116">
        <f t="shared" si="12"/>
        <v>20.235158357188368</v>
      </c>
      <c r="M15" s="116">
        <f t="shared" si="13"/>
        <v>485.64380057252089</v>
      </c>
      <c r="N15" s="116">
        <f t="shared" si="14"/>
        <v>20.235158357188372</v>
      </c>
      <c r="O15" s="47">
        <f>ALS!L31</f>
        <v>4.0470316714376741E-3</v>
      </c>
      <c r="R15" s="115" t="str">
        <f t="shared" ref="R15:S15" si="25">A16</f>
        <v>GB I</v>
      </c>
      <c r="S15" s="114">
        <f t="shared" si="25"/>
        <v>7.7984932721754046</v>
      </c>
      <c r="T15" s="114">
        <f t="shared" si="1"/>
        <v>0.1798824772399609</v>
      </c>
      <c r="U15" s="114">
        <f t="shared" si="2"/>
        <v>43.353268155031664</v>
      </c>
    </row>
    <row r="16" spans="1:28" ht="15.75" customHeight="1" x14ac:dyDescent="0.25">
      <c r="A16" s="115" t="s">
        <v>134</v>
      </c>
      <c r="B16" s="116">
        <f>'GB I'!G31</f>
        <v>7.7984932721754046</v>
      </c>
      <c r="C16" s="117">
        <f t="shared" si="3"/>
        <v>7.7984932721754043E-9</v>
      </c>
      <c r="D16" s="118">
        <f t="shared" si="4"/>
        <v>1091789058.1045566</v>
      </c>
      <c r="E16" s="118">
        <f t="shared" si="5"/>
        <v>12009679639.150122</v>
      </c>
      <c r="F16" s="119">
        <f t="shared" si="6"/>
        <v>1.2009679639150122E-2</v>
      </c>
      <c r="G16" s="119">
        <f t="shared" si="7"/>
        <v>12.009679639150121</v>
      </c>
      <c r="H16" s="119">
        <f t="shared" si="8"/>
        <v>12009.679639150123</v>
      </c>
      <c r="I16" s="120">
        <f t="shared" si="9"/>
        <v>999.91504568011214</v>
      </c>
      <c r="J16" s="118">
        <f t="shared" si="10"/>
        <v>12.009679639150121</v>
      </c>
      <c r="K16" s="116">
        <f t="shared" si="11"/>
        <v>0.32493721967397521</v>
      </c>
      <c r="L16" s="116">
        <f t="shared" si="12"/>
        <v>324.93721967397522</v>
      </c>
      <c r="M16" s="116">
        <f t="shared" si="13"/>
        <v>7798.4932721754049</v>
      </c>
      <c r="N16" s="116">
        <f t="shared" si="14"/>
        <v>324.93721967397522</v>
      </c>
      <c r="O16" s="47">
        <f>'GB I'!L31</f>
        <v>6.4987443934795039E-2</v>
      </c>
      <c r="R16" s="115" t="str">
        <f t="shared" ref="R16:S16" si="26">A17</f>
        <v>KB</v>
      </c>
      <c r="S16" s="114">
        <f t="shared" si="26"/>
        <v>2.7985013618102919</v>
      </c>
      <c r="T16" s="114">
        <f t="shared" si="1"/>
        <v>0.34688725569138079</v>
      </c>
      <c r="U16" s="114">
        <f t="shared" si="2"/>
        <v>8.0674666361916358</v>
      </c>
    </row>
    <row r="17" spans="1:28" ht="15.75" customHeight="1" x14ac:dyDescent="0.25">
      <c r="A17" s="115" t="s">
        <v>231</v>
      </c>
      <c r="B17" s="116">
        <f>KB!G31</f>
        <v>2.7985013618102919</v>
      </c>
      <c r="C17" s="117">
        <f t="shared" si="3"/>
        <v>2.7985013618102919E-9</v>
      </c>
      <c r="D17" s="118">
        <f t="shared" si="4"/>
        <v>391790190.65344083</v>
      </c>
      <c r="E17" s="118">
        <f t="shared" si="5"/>
        <v>4309692097.187849</v>
      </c>
      <c r="F17" s="119">
        <f t="shared" si="6"/>
        <v>4.3096920971878493E-3</v>
      </c>
      <c r="G17" s="119">
        <f t="shared" si="7"/>
        <v>4.309692097187849</v>
      </c>
      <c r="H17" s="119">
        <f t="shared" si="8"/>
        <v>4309.692097187849</v>
      </c>
      <c r="I17" s="120">
        <f t="shared" si="9"/>
        <v>358.82105932109278</v>
      </c>
      <c r="J17" s="118">
        <f t="shared" si="10"/>
        <v>4.309692097187849</v>
      </c>
      <c r="K17" s="116">
        <f t="shared" si="11"/>
        <v>0.11660422340876216</v>
      </c>
      <c r="L17" s="116">
        <f t="shared" si="12"/>
        <v>116.60422340876215</v>
      </c>
      <c r="M17" s="116">
        <f t="shared" si="13"/>
        <v>2798.5013618102917</v>
      </c>
      <c r="N17" s="116">
        <f t="shared" si="14"/>
        <v>116.60422340876215</v>
      </c>
      <c r="O17" s="47">
        <f>KB!L31</f>
        <v>1.3968214262507965E-3</v>
      </c>
      <c r="R17" s="115" t="str">
        <f t="shared" ref="R17:S17" si="27">A18</f>
        <v>SB</v>
      </c>
      <c r="S17" s="114">
        <f t="shared" si="27"/>
        <v>9.0341334151254191</v>
      </c>
      <c r="T17" s="114">
        <f t="shared" si="1"/>
        <v>0.43881729616914189</v>
      </c>
      <c r="U17" s="114">
        <f t="shared" si="2"/>
        <v>20.587459733226233</v>
      </c>
    </row>
    <row r="18" spans="1:28" ht="15.75" customHeight="1" x14ac:dyDescent="0.25">
      <c r="A18" s="115" t="s">
        <v>232</v>
      </c>
      <c r="B18" s="116">
        <f>SB!G31</f>
        <v>9.0341334151254191</v>
      </c>
      <c r="C18" s="117">
        <f t="shared" si="3"/>
        <v>9.0341334151254189E-9</v>
      </c>
      <c r="D18" s="118">
        <f t="shared" si="4"/>
        <v>1264778678.1175585</v>
      </c>
      <c r="E18" s="118">
        <f t="shared" si="5"/>
        <v>13912565459.293144</v>
      </c>
      <c r="F18" s="119">
        <f t="shared" si="6"/>
        <v>1.3912565459293143E-2</v>
      </c>
      <c r="G18" s="119">
        <f t="shared" si="7"/>
        <v>13.912565459293143</v>
      </c>
      <c r="H18" s="119">
        <f t="shared" si="8"/>
        <v>13912.565459293144</v>
      </c>
      <c r="I18" s="120">
        <f t="shared" si="9"/>
        <v>1158.3475950022184</v>
      </c>
      <c r="J18" s="118">
        <f t="shared" si="10"/>
        <v>13.912565459293143</v>
      </c>
      <c r="K18" s="116">
        <f t="shared" si="11"/>
        <v>0.37642222563022582</v>
      </c>
      <c r="L18" s="116">
        <f t="shared" si="12"/>
        <v>376.4222256302258</v>
      </c>
      <c r="M18" s="116">
        <f t="shared" si="13"/>
        <v>9034.1334151254196</v>
      </c>
      <c r="N18" s="116">
        <f t="shared" si="14"/>
        <v>376.4222256302258</v>
      </c>
      <c r="O18" s="47">
        <f>SB!L31</f>
        <v>7.5284445126045152E-2</v>
      </c>
      <c r="R18" s="115" t="str">
        <f t="shared" ref="R18:S18" si="28">A19</f>
        <v>ER 78M</v>
      </c>
      <c r="S18" s="114">
        <f t="shared" si="28"/>
        <v>4.1920899755247927</v>
      </c>
      <c r="T18" s="114">
        <f t="shared" si="1"/>
        <v>0.26838982070284878</v>
      </c>
      <c r="U18" s="114">
        <f t="shared" si="2"/>
        <v>15.619407489250937</v>
      </c>
    </row>
    <row r="19" spans="1:28" ht="15.75" customHeight="1" x14ac:dyDescent="0.25">
      <c r="A19" s="115" t="s">
        <v>233</v>
      </c>
      <c r="B19" s="116">
        <f>'ER 78M'!G31</f>
        <v>4.1920899755247927</v>
      </c>
      <c r="C19" s="117">
        <f t="shared" si="3"/>
        <v>4.1920899755247929E-9</v>
      </c>
      <c r="D19" s="118">
        <f t="shared" si="4"/>
        <v>586892596.57347095</v>
      </c>
      <c r="E19" s="118">
        <f t="shared" si="5"/>
        <v>6455818562.3081808</v>
      </c>
      <c r="F19" s="119">
        <f t="shared" si="6"/>
        <v>6.4558185623081804E-3</v>
      </c>
      <c r="G19" s="119">
        <f t="shared" si="7"/>
        <v>6.4558185623081803</v>
      </c>
      <c r="H19" s="119">
        <f t="shared" si="8"/>
        <v>6455.8185623081799</v>
      </c>
      <c r="I19" s="120">
        <f t="shared" si="9"/>
        <v>537.50560436179239</v>
      </c>
      <c r="J19" s="118">
        <f t="shared" si="10"/>
        <v>6.4558185623081803</v>
      </c>
      <c r="K19" s="116">
        <f t="shared" si="11"/>
        <v>0.17467041564686636</v>
      </c>
      <c r="L19" s="116">
        <f t="shared" si="12"/>
        <v>174.67041564686636</v>
      </c>
      <c r="M19" s="116">
        <f t="shared" si="13"/>
        <v>4192.0899755247929</v>
      </c>
      <c r="N19" s="116">
        <f t="shared" si="14"/>
        <v>174.67041564686636</v>
      </c>
      <c r="O19" s="47">
        <f>'ER 78M'!L31</f>
        <v>3.4934083129373267E-2</v>
      </c>
      <c r="R19" s="115" t="str">
        <f t="shared" ref="R19:S19" si="29">A20</f>
        <v>EC I</v>
      </c>
      <c r="S19" s="114">
        <f t="shared" si="29"/>
        <v>2.025176850019303</v>
      </c>
      <c r="T19" s="114">
        <f t="shared" si="1"/>
        <v>6.2462953008818517E-2</v>
      </c>
      <c r="U19" s="114">
        <f t="shared" si="2"/>
        <v>32.422047829429211</v>
      </c>
    </row>
    <row r="20" spans="1:28" ht="15.75" customHeight="1" x14ac:dyDescent="0.25">
      <c r="A20" s="115" t="s">
        <v>234</v>
      </c>
      <c r="B20" s="116">
        <f>'EC I'!G31</f>
        <v>2.025176850019303</v>
      </c>
      <c r="C20" s="117">
        <f t="shared" si="3"/>
        <v>2.0251768500193031E-9</v>
      </c>
      <c r="D20" s="118">
        <f t="shared" si="4"/>
        <v>283524759.00270241</v>
      </c>
      <c r="E20" s="118">
        <f t="shared" si="5"/>
        <v>3118772349.0297265</v>
      </c>
      <c r="F20" s="119">
        <f t="shared" si="6"/>
        <v>3.1187723490297263E-3</v>
      </c>
      <c r="G20" s="119">
        <f t="shared" si="7"/>
        <v>3.1187723490297263</v>
      </c>
      <c r="H20" s="119">
        <f t="shared" si="8"/>
        <v>3118.7723490297262</v>
      </c>
      <c r="I20" s="120">
        <f t="shared" si="9"/>
        <v>259.66616009306085</v>
      </c>
      <c r="J20" s="118">
        <f t="shared" si="10"/>
        <v>3.1187723490297263</v>
      </c>
      <c r="K20" s="116">
        <f t="shared" si="11"/>
        <v>8.4382368750804293E-2</v>
      </c>
      <c r="L20" s="116">
        <f t="shared" si="12"/>
        <v>84.382368750804289</v>
      </c>
      <c r="M20" s="116">
        <f t="shared" si="13"/>
        <v>2025.1768500193029</v>
      </c>
      <c r="N20" s="116">
        <f t="shared" si="14"/>
        <v>84.382368750804289</v>
      </c>
      <c r="O20" s="47">
        <f>'EC I'!L31</f>
        <v>1.6876473750160863E-2</v>
      </c>
      <c r="R20" s="115" t="str">
        <f t="shared" ref="R20:S20" si="30">A21</f>
        <v>EC 84</v>
      </c>
      <c r="S20" s="114">
        <f t="shared" si="30"/>
        <v>5.8580955854453176</v>
      </c>
      <c r="T20" s="114">
        <f t="shared" si="1"/>
        <v>0.34716356197148196</v>
      </c>
      <c r="U20" s="114">
        <f t="shared" si="2"/>
        <v>16.874166033376902</v>
      </c>
    </row>
    <row r="21" spans="1:28" ht="15.75" customHeight="1" x14ac:dyDescent="0.25">
      <c r="A21" s="115" t="s">
        <v>168</v>
      </c>
      <c r="B21" s="116">
        <f>'EC 84'!G31</f>
        <v>5.8580955854453176</v>
      </c>
      <c r="C21" s="117">
        <f t="shared" si="3"/>
        <v>5.858095585445318E-9</v>
      </c>
      <c r="D21" s="118">
        <f t="shared" si="4"/>
        <v>820133381.96234441</v>
      </c>
      <c r="E21" s="118">
        <f t="shared" si="5"/>
        <v>9021467201.5857887</v>
      </c>
      <c r="F21" s="119">
        <f t="shared" si="6"/>
        <v>9.021467201585788E-3</v>
      </c>
      <c r="G21" s="119">
        <f t="shared" si="7"/>
        <v>9.0214672015857875</v>
      </c>
      <c r="H21" s="119">
        <f t="shared" si="8"/>
        <v>9021.4672015857886</v>
      </c>
      <c r="I21" s="120">
        <f t="shared" si="9"/>
        <v>751.11918552505585</v>
      </c>
      <c r="J21" s="118">
        <f t="shared" si="10"/>
        <v>9.0214672015857875</v>
      </c>
      <c r="K21" s="116">
        <f t="shared" si="11"/>
        <v>0.24408731606022158</v>
      </c>
      <c r="L21" s="116">
        <f t="shared" si="12"/>
        <v>244.08731606022158</v>
      </c>
      <c r="M21" s="116">
        <f t="shared" si="13"/>
        <v>5858.0955854453177</v>
      </c>
      <c r="N21" s="116">
        <f t="shared" si="14"/>
        <v>244.08731606022158</v>
      </c>
      <c r="O21" s="47">
        <f>'EC 84'!L31</f>
        <v>4.8817463212044311E-2</v>
      </c>
      <c r="R21" s="115" t="str">
        <f t="shared" ref="R21:S21" si="31">A22</f>
        <v>GB 2</v>
      </c>
      <c r="S21" s="114">
        <f t="shared" si="31"/>
        <v>2.0683657193857012</v>
      </c>
      <c r="T21" s="114">
        <f t="shared" si="1"/>
        <v>8.9365833774052411E-2</v>
      </c>
      <c r="U21" s="114">
        <f t="shared" si="2"/>
        <v>23.144927228175835</v>
      </c>
    </row>
    <row r="22" spans="1:28" ht="15.75" customHeight="1" x14ac:dyDescent="0.25">
      <c r="A22" s="115" t="s">
        <v>235</v>
      </c>
      <c r="B22" s="116">
        <f>'GB 2'!G31</f>
        <v>2.0683657193857012</v>
      </c>
      <c r="C22" s="117">
        <f t="shared" si="3"/>
        <v>2.0683657193857013E-9</v>
      </c>
      <c r="D22" s="118">
        <f t="shared" si="4"/>
        <v>289571200.71399814</v>
      </c>
      <c r="E22" s="118">
        <f t="shared" si="5"/>
        <v>3185283207.8539796</v>
      </c>
      <c r="F22" s="119">
        <f t="shared" si="6"/>
        <v>3.1852832078539794E-3</v>
      </c>
      <c r="G22" s="119">
        <f t="shared" si="7"/>
        <v>3.1852832078539794</v>
      </c>
      <c r="H22" s="119">
        <f t="shared" si="8"/>
        <v>3185.2832078539795</v>
      </c>
      <c r="I22" s="120">
        <f t="shared" si="9"/>
        <v>265.20379393823669</v>
      </c>
      <c r="J22" s="118">
        <f t="shared" si="10"/>
        <v>3.1852832078539794</v>
      </c>
      <c r="K22" s="116">
        <f t="shared" si="11"/>
        <v>8.6181904974404214E-2</v>
      </c>
      <c r="L22" s="116">
        <f t="shared" si="12"/>
        <v>86.181904974404219</v>
      </c>
      <c r="M22" s="116">
        <f t="shared" si="13"/>
        <v>2068.3657193857011</v>
      </c>
      <c r="N22" s="116">
        <f t="shared" si="14"/>
        <v>86.181904974404219</v>
      </c>
      <c r="O22" s="47">
        <f>'GB 2'!L31</f>
        <v>1.7236380994880843E-2</v>
      </c>
      <c r="P22" s="108" t="s">
        <v>236</v>
      </c>
      <c r="R22" s="115" t="str">
        <f t="shared" ref="R22:S22" si="32">A23</f>
        <v>SM-LH</v>
      </c>
      <c r="S22" s="114">
        <f t="shared" si="32"/>
        <v>0.11798010204711118</v>
      </c>
      <c r="T22" s="114">
        <f t="shared" si="1"/>
        <v>1.9734196458238481E-2</v>
      </c>
      <c r="U22" s="114">
        <f t="shared" si="2"/>
        <v>5.9784598930481279</v>
      </c>
    </row>
    <row r="23" spans="1:28" ht="15.75" customHeight="1" x14ac:dyDescent="0.25">
      <c r="A23" s="115" t="s">
        <v>180</v>
      </c>
      <c r="B23" s="116">
        <f>'SM-LH'!G31</f>
        <v>0.11798010204711118</v>
      </c>
      <c r="C23" s="117">
        <f t="shared" si="3"/>
        <v>1.1798010204711118E-10</v>
      </c>
      <c r="D23" s="118">
        <f t="shared" si="4"/>
        <v>16517214.286595562</v>
      </c>
      <c r="E23" s="118">
        <f t="shared" si="5"/>
        <v>181689357.15255117</v>
      </c>
      <c r="F23" s="119">
        <f t="shared" si="6"/>
        <v>1.8168935715255117E-4</v>
      </c>
      <c r="G23" s="119">
        <f t="shared" si="7"/>
        <v>0.18168935715255116</v>
      </c>
      <c r="H23" s="119">
        <f t="shared" si="8"/>
        <v>181.68935715255117</v>
      </c>
      <c r="I23" s="120">
        <f t="shared" si="9"/>
        <v>15.127291261337904</v>
      </c>
      <c r="J23" s="118">
        <f t="shared" si="10"/>
        <v>0.18168935715255116</v>
      </c>
      <c r="K23" s="116">
        <f t="shared" si="11"/>
        <v>4.9158375852962994E-3</v>
      </c>
      <c r="L23" s="116">
        <f t="shared" si="12"/>
        <v>4.9158375852962992</v>
      </c>
      <c r="M23" s="116">
        <f t="shared" si="13"/>
        <v>117.98010204711117</v>
      </c>
      <c r="N23" s="116">
        <f t="shared" si="14"/>
        <v>4.9158375852962992</v>
      </c>
      <c r="O23" s="47">
        <f>'SM-LH'!L31</f>
        <v>9.8316751705925984E-4</v>
      </c>
      <c r="R23" s="115" t="str">
        <f t="shared" ref="R23:S23" si="33">A24</f>
        <v>WB-LS</v>
      </c>
      <c r="S23" s="114">
        <f t="shared" si="33"/>
        <v>0.29456021452895625</v>
      </c>
      <c r="T23" s="114">
        <f t="shared" si="1"/>
        <v>3.107027872317953E-2</v>
      </c>
      <c r="U23" s="114">
        <f t="shared" si="2"/>
        <v>9.4804496977107551</v>
      </c>
    </row>
    <row r="24" spans="1:28" ht="15.75" customHeight="1" x14ac:dyDescent="0.25">
      <c r="A24" s="115" t="s">
        <v>237</v>
      </c>
      <c r="B24" s="116">
        <f>'WB-LS'!G31</f>
        <v>0.29456021452895625</v>
      </c>
      <c r="C24" s="117">
        <f t="shared" si="3"/>
        <v>2.9456021452895625E-10</v>
      </c>
      <c r="D24" s="118">
        <f t="shared" si="4"/>
        <v>41238430.03405387</v>
      </c>
      <c r="E24" s="118">
        <f t="shared" si="5"/>
        <v>453622730.37459254</v>
      </c>
      <c r="F24" s="119">
        <f t="shared" si="6"/>
        <v>4.5362273037459255E-4</v>
      </c>
      <c r="G24" s="119">
        <f t="shared" si="7"/>
        <v>0.45362273037459255</v>
      </c>
      <c r="H24" s="119">
        <f>F24*10^6</f>
        <v>453.62273037459255</v>
      </c>
      <c r="I24" s="120">
        <f t="shared" si="9"/>
        <v>37.768217537245334</v>
      </c>
      <c r="J24" s="118">
        <f t="shared" si="10"/>
        <v>0.45362273037459255</v>
      </c>
      <c r="K24" s="116">
        <f t="shared" si="11"/>
        <v>1.2273342272039843E-2</v>
      </c>
      <c r="L24" s="116">
        <f t="shared" si="12"/>
        <v>12.273342272039843</v>
      </c>
      <c r="M24" s="116">
        <f t="shared" si="13"/>
        <v>294.56021452895624</v>
      </c>
      <c r="N24" s="116">
        <f t="shared" si="14"/>
        <v>12.273342272039843</v>
      </c>
      <c r="O24" s="47">
        <f>'WB-LS'!L31</f>
        <v>2.4546684544079688E-3</v>
      </c>
      <c r="R24" s="115" t="str">
        <f t="shared" ref="R24:S24" si="34">A25</f>
        <v>BT</v>
      </c>
      <c r="S24" s="114">
        <f t="shared" si="34"/>
        <v>8.7040615668350938</v>
      </c>
      <c r="T24" s="114">
        <f t="shared" si="1"/>
        <v>0.43305638822980907</v>
      </c>
      <c r="U24" s="114">
        <f t="shared" si="2"/>
        <v>20.099141366819254</v>
      </c>
    </row>
    <row r="25" spans="1:28" ht="15.75" customHeight="1" x14ac:dyDescent="0.25">
      <c r="A25" s="121" t="s">
        <v>238</v>
      </c>
      <c r="B25" s="122">
        <f>BT!G31</f>
        <v>8.7040615668350938</v>
      </c>
      <c r="C25" s="123">
        <f>B25*(1*10^-9)</f>
        <v>8.7040615668350945E-9</v>
      </c>
      <c r="D25" s="124">
        <f>C25*(1.4*10^17)</f>
        <v>1218568619.3569131</v>
      </c>
      <c r="E25" s="124">
        <f>D25*11</f>
        <v>13404254812.926044</v>
      </c>
      <c r="F25" s="125">
        <f>E25*(1*10^-12)</f>
        <v>1.3404254812926045E-2</v>
      </c>
      <c r="G25" s="125">
        <f>F25*1000</f>
        <v>13.404254812926045</v>
      </c>
      <c r="H25" s="125">
        <f>F25*10^6</f>
        <v>13404.254812926045</v>
      </c>
      <c r="I25" s="126">
        <f t="shared" si="9"/>
        <v>1116.0261111280813</v>
      </c>
      <c r="J25" s="124">
        <f t="shared" si="10"/>
        <v>13.404254812926045</v>
      </c>
      <c r="K25" s="122">
        <f t="shared" si="11"/>
        <v>0.36266923195146222</v>
      </c>
      <c r="L25" s="122">
        <f t="shared" si="12"/>
        <v>362.66923195146222</v>
      </c>
      <c r="M25" s="122">
        <f t="shared" si="13"/>
        <v>8704.0615668350947</v>
      </c>
      <c r="N25" s="122">
        <f t="shared" si="14"/>
        <v>362.66923195146228</v>
      </c>
      <c r="O25" s="127">
        <f>BT!L31</f>
        <v>7.2533846390292464E-2</v>
      </c>
      <c r="R25" s="115"/>
      <c r="S25" s="118"/>
      <c r="T25" s="118"/>
    </row>
    <row r="26" spans="1:28" ht="15.75" customHeight="1" x14ac:dyDescent="0.25">
      <c r="A26" s="115"/>
      <c r="O26" s="47">
        <f>AVERAGE(O5:O24)</f>
        <v>2.4909533406466466E-2</v>
      </c>
      <c r="P26" s="108" t="s">
        <v>239</v>
      </c>
      <c r="R26" s="115"/>
    </row>
    <row r="27" spans="1:28" ht="15.75" customHeight="1" x14ac:dyDescent="0.25">
      <c r="A27" s="115"/>
    </row>
    <row r="28" spans="1:28" ht="15.75" customHeight="1" x14ac:dyDescent="0.25">
      <c r="A28" s="108" t="s">
        <v>203</v>
      </c>
      <c r="B28" s="108" t="s">
        <v>18</v>
      </c>
    </row>
    <row r="29" spans="1:28" ht="15.75" customHeight="1" x14ac:dyDescent="0.3">
      <c r="A29" s="147" t="s">
        <v>240</v>
      </c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10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</row>
    <row r="30" spans="1:28" ht="15.75" customHeight="1" x14ac:dyDescent="0.25">
      <c r="A30" s="111" t="s">
        <v>210</v>
      </c>
      <c r="B30" s="112" t="s">
        <v>27</v>
      </c>
      <c r="C30" s="112" t="s">
        <v>241</v>
      </c>
      <c r="D30" s="112" t="s">
        <v>212</v>
      </c>
      <c r="E30" s="112" t="s">
        <v>213</v>
      </c>
      <c r="F30" s="113" t="s">
        <v>214</v>
      </c>
      <c r="G30" s="113" t="s">
        <v>215</v>
      </c>
      <c r="H30" s="113" t="s">
        <v>216</v>
      </c>
      <c r="I30" s="113" t="s">
        <v>217</v>
      </c>
      <c r="J30" s="112" t="s">
        <v>218</v>
      </c>
      <c r="K30" s="112" t="s">
        <v>219</v>
      </c>
      <c r="L30" s="112" t="s">
        <v>220</v>
      </c>
      <c r="M30" s="112" t="s">
        <v>221</v>
      </c>
      <c r="N30" s="112" t="s">
        <v>222</v>
      </c>
      <c r="O30" s="111" t="s">
        <v>223</v>
      </c>
    </row>
    <row r="31" spans="1:28" ht="15.75" customHeight="1" x14ac:dyDescent="0.25">
      <c r="A31" s="115" t="s">
        <v>1</v>
      </c>
      <c r="B31" s="116">
        <f>'U17'!G14</f>
        <v>1.9331070092086226E-2</v>
      </c>
      <c r="C31" s="117">
        <f t="shared" ref="C31:C51" si="35">B31*(1*10^-9)</f>
        <v>1.9331070092086227E-11</v>
      </c>
      <c r="D31" s="118">
        <f t="shared" ref="D31:D51" si="36">C31*(2*10^18)</f>
        <v>38662140.184172451</v>
      </c>
      <c r="E31" s="118">
        <f t="shared" ref="E31:E51" si="37">D31*11</f>
        <v>425283542.02589697</v>
      </c>
      <c r="F31" s="119">
        <f t="shared" ref="F31:F51" si="38">E31*(1*10^-12)</f>
        <v>4.2528354202589697E-4</v>
      </c>
      <c r="G31" s="119">
        <f t="shared" ref="G31:G51" si="39">F31*1000</f>
        <v>0.42528354202589697</v>
      </c>
      <c r="H31" s="119">
        <f t="shared" ref="H31:H51" si="40">F31*10^6</f>
        <v>425.28354202589696</v>
      </c>
      <c r="I31" s="120">
        <f t="shared" ref="I31:I51" si="41">H31/$P$1</f>
        <v>35.40872239135912</v>
      </c>
      <c r="J31" s="118">
        <f t="shared" ref="J31:J51" si="42">F31*1000</f>
        <v>0.42528354202589697</v>
      </c>
      <c r="K31" s="116">
        <f t="shared" ref="K31:K51" si="43">B31/24</f>
        <v>8.0546125383692613E-4</v>
      </c>
      <c r="L31" s="116">
        <f t="shared" ref="L31:L51" si="44">K31*(1/0.001)</f>
        <v>0.80546125383692613</v>
      </c>
      <c r="M31" s="116">
        <f t="shared" ref="M31:M51" si="45">B31*1000</f>
        <v>19.331070092086225</v>
      </c>
      <c r="N31" s="116">
        <f t="shared" ref="N31:N51" si="46">M31/24</f>
        <v>0.80546125383692602</v>
      </c>
      <c r="O31" s="47">
        <f>'U17'!L14</f>
        <v>2.0136531345923156E-4</v>
      </c>
    </row>
    <row r="32" spans="1:28" ht="15.75" customHeight="1" x14ac:dyDescent="0.25">
      <c r="A32" s="115" t="s">
        <v>45</v>
      </c>
      <c r="B32" s="116">
        <f>'SB14'!G14</f>
        <v>6.4752647450285888E-2</v>
      </c>
      <c r="C32" s="117">
        <f t="shared" si="35"/>
        <v>6.4752647450285892E-11</v>
      </c>
      <c r="D32" s="118">
        <f t="shared" si="36"/>
        <v>129505294.90057178</v>
      </c>
      <c r="E32" s="118">
        <f t="shared" si="37"/>
        <v>1424558243.9062896</v>
      </c>
      <c r="F32" s="119">
        <f t="shared" si="38"/>
        <v>1.4245582439062895E-3</v>
      </c>
      <c r="G32" s="119">
        <f t="shared" si="39"/>
        <v>1.4245582439062896</v>
      </c>
      <c r="H32" s="119">
        <f t="shared" si="40"/>
        <v>1424.5582439062896</v>
      </c>
      <c r="I32" s="120">
        <f t="shared" si="41"/>
        <v>118.60742870159854</v>
      </c>
      <c r="J32" s="118">
        <f t="shared" si="42"/>
        <v>1.4245582439062896</v>
      </c>
      <c r="K32" s="116">
        <f t="shared" si="43"/>
        <v>2.6980269770952455E-3</v>
      </c>
      <c r="L32" s="116">
        <f t="shared" si="44"/>
        <v>2.6980269770952456</v>
      </c>
      <c r="M32" s="116">
        <f t="shared" si="45"/>
        <v>64.752647450285892</v>
      </c>
      <c r="N32" s="116">
        <f t="shared" si="46"/>
        <v>2.6980269770952456</v>
      </c>
      <c r="O32" s="47">
        <f>'SB14'!L14</f>
        <v>6.7450674427381137E-4</v>
      </c>
    </row>
    <row r="33" spans="1:16" ht="15.75" customHeight="1" x14ac:dyDescent="0.25">
      <c r="A33" s="115" t="s">
        <v>52</v>
      </c>
      <c r="B33" s="116">
        <f>BQI!G14</f>
        <v>7.3166802273859549E-2</v>
      </c>
      <c r="C33" s="117">
        <f t="shared" si="35"/>
        <v>7.3166802273859551E-11</v>
      </c>
      <c r="D33" s="118">
        <f t="shared" si="36"/>
        <v>146333604.54771909</v>
      </c>
      <c r="E33" s="118">
        <f t="shared" si="37"/>
        <v>1609669650.02491</v>
      </c>
      <c r="F33" s="119">
        <f t="shared" si="38"/>
        <v>1.60966965002491E-3</v>
      </c>
      <c r="G33" s="119">
        <f t="shared" si="39"/>
        <v>1.6096696500249099</v>
      </c>
      <c r="H33" s="119">
        <f t="shared" si="40"/>
        <v>1609.66965002491</v>
      </c>
      <c r="I33" s="120">
        <f t="shared" si="41"/>
        <v>134.01963665938788</v>
      </c>
      <c r="J33" s="118">
        <f t="shared" si="42"/>
        <v>1.6096696500249099</v>
      </c>
      <c r="K33" s="116">
        <f t="shared" si="43"/>
        <v>3.0486167614108147E-3</v>
      </c>
      <c r="L33" s="116">
        <f t="shared" si="44"/>
        <v>3.0486167614108148</v>
      </c>
      <c r="M33" s="116">
        <f t="shared" si="45"/>
        <v>73.166802273859545</v>
      </c>
      <c r="N33" s="116">
        <f t="shared" si="46"/>
        <v>3.0486167614108144</v>
      </c>
      <c r="O33" s="47">
        <f>BQI!L14</f>
        <v>1.0873111332434834E-3</v>
      </c>
    </row>
    <row r="34" spans="1:16" ht="15.75" customHeight="1" x14ac:dyDescent="0.25">
      <c r="A34" s="115" t="s">
        <v>225</v>
      </c>
      <c r="B34" s="116">
        <f>KW!G14</f>
        <v>3.7381528023633821E-2</v>
      </c>
      <c r="C34" s="117">
        <f t="shared" si="35"/>
        <v>3.7381528023633824E-11</v>
      </c>
      <c r="D34" s="118">
        <f t="shared" si="36"/>
        <v>74763056.047267646</v>
      </c>
      <c r="E34" s="118">
        <f t="shared" si="37"/>
        <v>822393616.51994407</v>
      </c>
      <c r="F34" s="119">
        <f t="shared" si="38"/>
        <v>8.2239361651994408E-4</v>
      </c>
      <c r="G34" s="119">
        <f t="shared" si="39"/>
        <v>0.82239361651994403</v>
      </c>
      <c r="H34" s="119">
        <f t="shared" si="40"/>
        <v>822.39361651994409</v>
      </c>
      <c r="I34" s="120">
        <f t="shared" si="41"/>
        <v>68.471747401895314</v>
      </c>
      <c r="J34" s="118">
        <f t="shared" si="42"/>
        <v>0.82239361651994403</v>
      </c>
      <c r="K34" s="116">
        <f t="shared" si="43"/>
        <v>1.5575636676514093E-3</v>
      </c>
      <c r="L34" s="116">
        <f t="shared" si="44"/>
        <v>1.5575636676514093</v>
      </c>
      <c r="M34" s="116">
        <f t="shared" si="45"/>
        <v>37.38152802363382</v>
      </c>
      <c r="N34" s="116">
        <f t="shared" si="46"/>
        <v>1.5575636676514091</v>
      </c>
      <c r="O34" s="47">
        <f>KW!L14</f>
        <v>3.1615167677079915E-4</v>
      </c>
    </row>
    <row r="35" spans="1:16" ht="15.75" customHeight="1" x14ac:dyDescent="0.25">
      <c r="A35" s="115" t="s">
        <v>79</v>
      </c>
      <c r="B35" s="116">
        <f>SBI!G14</f>
        <v>7.3119008700024857E-2</v>
      </c>
      <c r="C35" s="117">
        <f t="shared" si="35"/>
        <v>7.3119008700024856E-11</v>
      </c>
      <c r="D35" s="118">
        <f t="shared" si="36"/>
        <v>146238017.40004972</v>
      </c>
      <c r="E35" s="118">
        <f t="shared" si="37"/>
        <v>1608618191.4005468</v>
      </c>
      <c r="F35" s="119">
        <f t="shared" si="38"/>
        <v>1.6086181914005467E-3</v>
      </c>
      <c r="G35" s="119">
        <f t="shared" si="39"/>
        <v>1.6086181914005466</v>
      </c>
      <c r="H35" s="119">
        <f t="shared" si="40"/>
        <v>1608.6181914005467</v>
      </c>
      <c r="I35" s="120">
        <f t="shared" si="41"/>
        <v>133.93209316697167</v>
      </c>
      <c r="J35" s="118">
        <f t="shared" si="42"/>
        <v>1.6086181914005466</v>
      </c>
      <c r="K35" s="116">
        <f t="shared" si="43"/>
        <v>3.0466253625010356E-3</v>
      </c>
      <c r="L35" s="116">
        <f t="shared" si="44"/>
        <v>3.0466253625010355</v>
      </c>
      <c r="M35" s="116">
        <f t="shared" si="45"/>
        <v>73.119008700024864</v>
      </c>
      <c r="N35" s="116">
        <f t="shared" si="46"/>
        <v>3.046625362501036</v>
      </c>
      <c r="O35" s="47">
        <f>SBI!L14</f>
        <v>6.8549070656273288E-4</v>
      </c>
    </row>
    <row r="36" spans="1:16" ht="15.75" customHeight="1" x14ac:dyDescent="0.25">
      <c r="A36" s="115" t="s">
        <v>227</v>
      </c>
      <c r="B36" s="116">
        <f>LSC!G14</f>
        <v>0.17290064047934814</v>
      </c>
      <c r="C36" s="117">
        <f t="shared" si="35"/>
        <v>1.7290064047934814E-10</v>
      </c>
      <c r="D36" s="118">
        <f t="shared" si="36"/>
        <v>345801280.95869631</v>
      </c>
      <c r="E36" s="118">
        <f t="shared" si="37"/>
        <v>3803814090.5456595</v>
      </c>
      <c r="F36" s="119">
        <f t="shared" si="38"/>
        <v>3.8038140905456595E-3</v>
      </c>
      <c r="G36" s="119">
        <f t="shared" si="39"/>
        <v>3.8038140905456594</v>
      </c>
      <c r="H36" s="119">
        <f t="shared" si="40"/>
        <v>3803.8140905456594</v>
      </c>
      <c r="I36" s="120">
        <f t="shared" si="41"/>
        <v>316.70211482641804</v>
      </c>
      <c r="J36" s="118">
        <f t="shared" si="42"/>
        <v>3.8038140905456594</v>
      </c>
      <c r="K36" s="116">
        <f t="shared" si="43"/>
        <v>7.2041933533061727E-3</v>
      </c>
      <c r="L36" s="116">
        <f t="shared" si="44"/>
        <v>7.2041933533061728</v>
      </c>
      <c r="M36" s="116">
        <f t="shared" si="45"/>
        <v>172.90064047934814</v>
      </c>
      <c r="N36" s="116">
        <f t="shared" si="46"/>
        <v>7.2041933533061728</v>
      </c>
      <c r="O36" s="47">
        <f>LSC!L14</f>
        <v>1.6209435044938891E-3</v>
      </c>
    </row>
    <row r="37" spans="1:16" ht="15.75" customHeight="1" x14ac:dyDescent="0.25">
      <c r="A37" s="115" t="s">
        <v>94</v>
      </c>
      <c r="B37" s="116">
        <f>CCIW!G14</f>
        <v>9.8245342759740173E-2</v>
      </c>
      <c r="C37" s="117">
        <f t="shared" si="35"/>
        <v>9.8245342759740173E-11</v>
      </c>
      <c r="D37" s="118">
        <f t="shared" si="36"/>
        <v>196490685.51948035</v>
      </c>
      <c r="E37" s="118">
        <f t="shared" si="37"/>
        <v>2161397540.7142839</v>
      </c>
      <c r="F37" s="119">
        <f t="shared" si="38"/>
        <v>2.1613975407142839E-3</v>
      </c>
      <c r="G37" s="119">
        <f t="shared" si="39"/>
        <v>2.161397540714284</v>
      </c>
      <c r="H37" s="119">
        <f t="shared" si="40"/>
        <v>2161.3975407142839</v>
      </c>
      <c r="I37" s="120">
        <f t="shared" si="41"/>
        <v>179.95600095866885</v>
      </c>
      <c r="J37" s="118">
        <f t="shared" si="42"/>
        <v>2.161397540714284</v>
      </c>
      <c r="K37" s="116">
        <f t="shared" si="43"/>
        <v>4.0935559483225069E-3</v>
      </c>
      <c r="L37" s="116">
        <f t="shared" si="44"/>
        <v>4.093555948322507</v>
      </c>
      <c r="M37" s="116">
        <f t="shared" si="45"/>
        <v>98.245342759740169</v>
      </c>
      <c r="N37" s="116">
        <f t="shared" si="46"/>
        <v>4.093555948322507</v>
      </c>
      <c r="O37" s="47">
        <f>CCIW!L14</f>
        <v>1.2571316326671969E-3</v>
      </c>
    </row>
    <row r="38" spans="1:16" ht="15.75" customHeight="1" x14ac:dyDescent="0.25">
      <c r="A38" s="115" t="s">
        <v>228</v>
      </c>
      <c r="B38" s="116">
        <f>'WE6'!G14</f>
        <v>0.10025816044483894</v>
      </c>
      <c r="C38" s="117">
        <f t="shared" si="35"/>
        <v>1.0025816044483895E-10</v>
      </c>
      <c r="D38" s="118">
        <f t="shared" si="36"/>
        <v>200516320.88967791</v>
      </c>
      <c r="E38" s="118">
        <f t="shared" si="37"/>
        <v>2205679529.7864571</v>
      </c>
      <c r="F38" s="119">
        <f t="shared" si="38"/>
        <v>2.2056795297864572E-3</v>
      </c>
      <c r="G38" s="119">
        <f t="shared" si="39"/>
        <v>2.2056795297864573</v>
      </c>
      <c r="H38" s="119">
        <f t="shared" si="40"/>
        <v>2205.6795297864574</v>
      </c>
      <c r="I38" s="120">
        <f t="shared" si="41"/>
        <v>183.64287924820846</v>
      </c>
      <c r="J38" s="118">
        <f t="shared" si="42"/>
        <v>2.2056795297864573</v>
      </c>
      <c r="K38" s="116">
        <f t="shared" si="43"/>
        <v>4.1774233518682893E-3</v>
      </c>
      <c r="L38" s="116">
        <f t="shared" si="44"/>
        <v>4.1774233518682893</v>
      </c>
      <c r="M38" s="116">
        <f t="shared" si="45"/>
        <v>100.25816044483894</v>
      </c>
      <c r="N38" s="116">
        <f t="shared" si="46"/>
        <v>4.1774233518682893</v>
      </c>
      <c r="O38" s="47">
        <f>'WE6'!L14</f>
        <v>9.3992025417036522E-4</v>
      </c>
    </row>
    <row r="39" spans="1:16" ht="15.75" customHeight="1" x14ac:dyDescent="0.25">
      <c r="A39" s="115" t="s">
        <v>109</v>
      </c>
      <c r="B39" s="116">
        <f>GB!G14</f>
        <v>0.13669614060465934</v>
      </c>
      <c r="C39" s="117">
        <f t="shared" si="35"/>
        <v>1.3669614060465936E-10</v>
      </c>
      <c r="D39" s="118">
        <f t="shared" si="36"/>
        <v>273392281.2093187</v>
      </c>
      <c r="E39" s="118">
        <f t="shared" si="37"/>
        <v>3007315093.3025055</v>
      </c>
      <c r="F39" s="119">
        <f t="shared" si="38"/>
        <v>3.0073150933025055E-3</v>
      </c>
      <c r="G39" s="119">
        <f t="shared" si="39"/>
        <v>3.0073150933025055</v>
      </c>
      <c r="H39" s="119">
        <f t="shared" si="40"/>
        <v>3007.3150933025054</v>
      </c>
      <c r="I39" s="120">
        <f t="shared" si="41"/>
        <v>250.38632996432392</v>
      </c>
      <c r="J39" s="118">
        <f t="shared" si="42"/>
        <v>3.0073150933025055</v>
      </c>
      <c r="K39" s="116">
        <f t="shared" si="43"/>
        <v>5.6956725251941396E-3</v>
      </c>
      <c r="L39" s="116">
        <f t="shared" si="44"/>
        <v>5.6956725251941398</v>
      </c>
      <c r="M39" s="116">
        <f t="shared" si="45"/>
        <v>136.69614060465935</v>
      </c>
      <c r="N39" s="116">
        <f t="shared" si="46"/>
        <v>5.6956725251941398</v>
      </c>
      <c r="O39" s="47">
        <f>GB!L14</f>
        <v>1.4239181312985349E-3</v>
      </c>
    </row>
    <row r="40" spans="1:16" ht="15.75" customHeight="1" x14ac:dyDescent="0.25">
      <c r="A40" s="115" t="s">
        <v>229</v>
      </c>
      <c r="B40" s="116">
        <f>BI!G14</f>
        <v>2.0849864506134182E-2</v>
      </c>
      <c r="C40" s="117">
        <f t="shared" si="35"/>
        <v>2.0849864506134184E-11</v>
      </c>
      <c r="D40" s="118">
        <f t="shared" si="36"/>
        <v>41699729.012268372</v>
      </c>
      <c r="E40" s="118">
        <f t="shared" si="37"/>
        <v>458697019.13495207</v>
      </c>
      <c r="F40" s="119">
        <f t="shared" si="38"/>
        <v>4.5869701913495208E-4</v>
      </c>
      <c r="G40" s="119">
        <f t="shared" si="39"/>
        <v>0.45869701913495209</v>
      </c>
      <c r="H40" s="119">
        <f t="shared" si="40"/>
        <v>458.69701913495209</v>
      </c>
      <c r="I40" s="120">
        <f t="shared" si="41"/>
        <v>38.190698221998062</v>
      </c>
      <c r="J40" s="118">
        <f t="shared" si="42"/>
        <v>0.45869701913495209</v>
      </c>
      <c r="K40" s="116">
        <f t="shared" si="43"/>
        <v>8.6874435442225756E-4</v>
      </c>
      <c r="L40" s="116">
        <f t="shared" si="44"/>
        <v>0.86874435442225761</v>
      </c>
      <c r="M40" s="116">
        <f t="shared" si="45"/>
        <v>20.849864506134182</v>
      </c>
      <c r="N40" s="116">
        <f t="shared" si="46"/>
        <v>0.86874435442225761</v>
      </c>
      <c r="O40" s="47">
        <f>BI!L14</f>
        <v>2.1718608860556439E-4</v>
      </c>
    </row>
    <row r="41" spans="1:16" ht="15.75" customHeight="1" x14ac:dyDescent="0.25">
      <c r="A41" s="115" t="s">
        <v>230</v>
      </c>
      <c r="B41" s="116">
        <f>ALS!G14</f>
        <v>4.3143491267590081E-2</v>
      </c>
      <c r="C41" s="117">
        <f t="shared" si="35"/>
        <v>4.3143491267590083E-11</v>
      </c>
      <c r="D41" s="118">
        <f t="shared" si="36"/>
        <v>86286982.535180166</v>
      </c>
      <c r="E41" s="118">
        <f t="shared" si="37"/>
        <v>949156807.88698184</v>
      </c>
      <c r="F41" s="119">
        <f t="shared" si="38"/>
        <v>9.4915680788698186E-4</v>
      </c>
      <c r="G41" s="119">
        <f t="shared" si="39"/>
        <v>0.94915680788698187</v>
      </c>
      <c r="H41" s="119">
        <f t="shared" si="40"/>
        <v>949.15680788698182</v>
      </c>
      <c r="I41" s="120">
        <f t="shared" si="41"/>
        <v>79.025935864436036</v>
      </c>
      <c r="J41" s="118">
        <f t="shared" si="42"/>
        <v>0.94915680788698187</v>
      </c>
      <c r="K41" s="116">
        <f t="shared" si="43"/>
        <v>1.79764546948292E-3</v>
      </c>
      <c r="L41" s="116">
        <f t="shared" si="44"/>
        <v>1.79764546948292</v>
      </c>
      <c r="M41" s="116">
        <f t="shared" si="45"/>
        <v>43.143491267590079</v>
      </c>
      <c r="N41" s="116">
        <f t="shared" si="46"/>
        <v>1.79764546948292</v>
      </c>
      <c r="O41" s="47">
        <f>ALS!L14</f>
        <v>3.5952909389658406E-4</v>
      </c>
    </row>
    <row r="42" spans="1:16" ht="15.75" customHeight="1" x14ac:dyDescent="0.25">
      <c r="A42" s="115" t="s">
        <v>134</v>
      </c>
      <c r="B42" s="116">
        <f>'GB I'!G14</f>
        <v>0.1798824772399609</v>
      </c>
      <c r="C42" s="117">
        <f t="shared" si="35"/>
        <v>1.7988247723996091E-10</v>
      </c>
      <c r="D42" s="118">
        <f t="shared" si="36"/>
        <v>359764954.47992182</v>
      </c>
      <c r="E42" s="118">
        <f t="shared" si="37"/>
        <v>3957414499.27914</v>
      </c>
      <c r="F42" s="119">
        <f t="shared" si="38"/>
        <v>3.95741449927914E-3</v>
      </c>
      <c r="G42" s="119">
        <f t="shared" si="39"/>
        <v>3.9574144992791398</v>
      </c>
      <c r="H42" s="119">
        <f t="shared" si="40"/>
        <v>3957.4144992791398</v>
      </c>
      <c r="I42" s="120">
        <f t="shared" si="41"/>
        <v>329.49074569168658</v>
      </c>
      <c r="J42" s="118">
        <f t="shared" si="42"/>
        <v>3.9574144992791398</v>
      </c>
      <c r="K42" s="116">
        <f t="shared" si="43"/>
        <v>7.4951032183317038E-3</v>
      </c>
      <c r="L42" s="116">
        <f t="shared" si="44"/>
        <v>7.4951032183317041</v>
      </c>
      <c r="M42" s="116">
        <f t="shared" si="45"/>
        <v>179.88247723996091</v>
      </c>
      <c r="N42" s="116">
        <f t="shared" si="46"/>
        <v>7.4951032183317041</v>
      </c>
      <c r="O42" s="47">
        <f>'GB I'!L14</f>
        <v>1.4990206436663409E-3</v>
      </c>
    </row>
    <row r="43" spans="1:16" ht="15.75" customHeight="1" x14ac:dyDescent="0.25">
      <c r="A43" s="115" t="s">
        <v>231</v>
      </c>
      <c r="B43" s="116">
        <f>KB!G14</f>
        <v>0.34688725569138079</v>
      </c>
      <c r="C43" s="117">
        <f t="shared" si="35"/>
        <v>3.4688725569138082E-10</v>
      </c>
      <c r="D43" s="118">
        <f t="shared" si="36"/>
        <v>693774511.3827616</v>
      </c>
      <c r="E43" s="118">
        <f t="shared" si="37"/>
        <v>7631519625.2103777</v>
      </c>
      <c r="F43" s="119">
        <f t="shared" si="38"/>
        <v>7.6315196252103772E-3</v>
      </c>
      <c r="G43" s="119">
        <f t="shared" si="39"/>
        <v>7.6315196252103776</v>
      </c>
      <c r="H43" s="119">
        <f t="shared" si="40"/>
        <v>7631.5196252103769</v>
      </c>
      <c r="I43" s="120">
        <f t="shared" si="41"/>
        <v>635.39340964393227</v>
      </c>
      <c r="J43" s="118">
        <f t="shared" si="42"/>
        <v>7.6315196252103776</v>
      </c>
      <c r="K43" s="116">
        <f t="shared" si="43"/>
        <v>1.4453635653807534E-2</v>
      </c>
      <c r="L43" s="116">
        <f t="shared" si="44"/>
        <v>14.453635653807533</v>
      </c>
      <c r="M43" s="116">
        <f t="shared" si="45"/>
        <v>346.8872556913808</v>
      </c>
      <c r="N43" s="116">
        <f t="shared" si="46"/>
        <v>14.453635653807533</v>
      </c>
      <c r="O43" s="47">
        <f>KB!L14</f>
        <v>2.1999583716546069E-4</v>
      </c>
    </row>
    <row r="44" spans="1:16" ht="15.75" customHeight="1" x14ac:dyDescent="0.25">
      <c r="A44" s="115" t="s">
        <v>232</v>
      </c>
      <c r="B44" s="116">
        <f>SB!G14</f>
        <v>0.43881729616914189</v>
      </c>
      <c r="C44" s="117">
        <f t="shared" si="35"/>
        <v>4.3881729616914192E-10</v>
      </c>
      <c r="D44" s="118">
        <f t="shared" si="36"/>
        <v>877634592.3382839</v>
      </c>
      <c r="E44" s="118">
        <f t="shared" si="37"/>
        <v>9653980515.7211227</v>
      </c>
      <c r="F44" s="119">
        <f t="shared" si="38"/>
        <v>9.6539805157211233E-3</v>
      </c>
      <c r="G44" s="119">
        <f t="shared" si="39"/>
        <v>9.6539805157211234</v>
      </c>
      <c r="H44" s="119">
        <f t="shared" si="40"/>
        <v>9653.9805157211231</v>
      </c>
      <c r="I44" s="120">
        <f t="shared" si="41"/>
        <v>803.78167098679705</v>
      </c>
      <c r="J44" s="118">
        <f t="shared" si="42"/>
        <v>9.6539805157211234</v>
      </c>
      <c r="K44" s="116">
        <f t="shared" si="43"/>
        <v>1.8284054007047579E-2</v>
      </c>
      <c r="L44" s="116">
        <f t="shared" si="44"/>
        <v>18.28405400704758</v>
      </c>
      <c r="M44" s="116">
        <f t="shared" si="45"/>
        <v>438.81729616914191</v>
      </c>
      <c r="N44" s="116">
        <f t="shared" si="46"/>
        <v>18.28405400704758</v>
      </c>
      <c r="O44" s="47">
        <f>SB!L14</f>
        <v>3.6568108014095151E-3</v>
      </c>
    </row>
    <row r="45" spans="1:16" ht="15.75" customHeight="1" x14ac:dyDescent="0.25">
      <c r="A45" s="115" t="s">
        <v>233</v>
      </c>
      <c r="B45" s="116">
        <f>'ER 78M'!G14</f>
        <v>0.26838982070284878</v>
      </c>
      <c r="C45" s="117">
        <f t="shared" si="35"/>
        <v>2.6838982070284882E-10</v>
      </c>
      <c r="D45" s="118">
        <f t="shared" si="36"/>
        <v>536779641.40569764</v>
      </c>
      <c r="E45" s="118">
        <f t="shared" si="37"/>
        <v>5904576055.4626741</v>
      </c>
      <c r="F45" s="119">
        <f t="shared" si="38"/>
        <v>5.9045760554626743E-3</v>
      </c>
      <c r="G45" s="119">
        <f t="shared" si="39"/>
        <v>5.9045760554626741</v>
      </c>
      <c r="H45" s="119">
        <f t="shared" si="40"/>
        <v>5904.576055462674</v>
      </c>
      <c r="I45" s="120">
        <f t="shared" si="41"/>
        <v>491.60965268158174</v>
      </c>
      <c r="J45" s="118">
        <f t="shared" si="42"/>
        <v>5.9045760554626741</v>
      </c>
      <c r="K45" s="116">
        <f t="shared" si="43"/>
        <v>1.1182909195952032E-2</v>
      </c>
      <c r="L45" s="116">
        <f t="shared" si="44"/>
        <v>11.182909195952032</v>
      </c>
      <c r="M45" s="116">
        <f t="shared" si="45"/>
        <v>268.38982070284879</v>
      </c>
      <c r="N45" s="116">
        <f t="shared" si="46"/>
        <v>11.182909195952034</v>
      </c>
      <c r="O45" s="47">
        <f>'ER 78M'!L14</f>
        <v>2.236581839190406E-3</v>
      </c>
    </row>
    <row r="46" spans="1:16" ht="15.75" customHeight="1" x14ac:dyDescent="0.25">
      <c r="A46" s="115" t="s">
        <v>234</v>
      </c>
      <c r="B46" s="116">
        <f>'EC I'!G14</f>
        <v>6.2462953008818517E-2</v>
      </c>
      <c r="C46" s="117">
        <f t="shared" si="35"/>
        <v>6.2462953008818523E-11</v>
      </c>
      <c r="D46" s="118">
        <f t="shared" si="36"/>
        <v>124925906.01763704</v>
      </c>
      <c r="E46" s="118">
        <f t="shared" si="37"/>
        <v>1374184966.1940074</v>
      </c>
      <c r="F46" s="119">
        <f t="shared" si="38"/>
        <v>1.3741849661940073E-3</v>
      </c>
      <c r="G46" s="119">
        <f t="shared" si="39"/>
        <v>1.3741849661940073</v>
      </c>
      <c r="H46" s="119">
        <f t="shared" si="40"/>
        <v>1374.1849661940073</v>
      </c>
      <c r="I46" s="120">
        <f t="shared" si="41"/>
        <v>114.41339523874606</v>
      </c>
      <c r="J46" s="118">
        <f t="shared" si="42"/>
        <v>1.3741849661940073</v>
      </c>
      <c r="K46" s="116">
        <f t="shared" si="43"/>
        <v>2.602623042034105E-3</v>
      </c>
      <c r="L46" s="116">
        <f t="shared" si="44"/>
        <v>2.602623042034105</v>
      </c>
      <c r="M46" s="116">
        <f t="shared" si="45"/>
        <v>62.462953008818516</v>
      </c>
      <c r="N46" s="116">
        <f t="shared" si="46"/>
        <v>2.602623042034105</v>
      </c>
      <c r="O46" s="47">
        <f>'EC I'!L14</f>
        <v>5.2052460840682098E-4</v>
      </c>
    </row>
    <row r="47" spans="1:16" ht="15.75" customHeight="1" x14ac:dyDescent="0.25">
      <c r="A47" s="115" t="s">
        <v>168</v>
      </c>
      <c r="B47" s="116">
        <f>'EC 84'!G14</f>
        <v>0.34716356197148196</v>
      </c>
      <c r="C47" s="117">
        <f t="shared" si="35"/>
        <v>3.4716356197148196E-10</v>
      </c>
      <c r="D47" s="118">
        <f t="shared" si="36"/>
        <v>694327123.94296396</v>
      </c>
      <c r="E47" s="118">
        <f t="shared" si="37"/>
        <v>7637598363.3726034</v>
      </c>
      <c r="F47" s="119">
        <f t="shared" si="38"/>
        <v>7.6375983633726035E-3</v>
      </c>
      <c r="G47" s="119">
        <f t="shared" si="39"/>
        <v>7.6375983633726037</v>
      </c>
      <c r="H47" s="119">
        <f t="shared" si="40"/>
        <v>7637.5983633726037</v>
      </c>
      <c r="I47" s="120">
        <f t="shared" si="41"/>
        <v>635.89951987582765</v>
      </c>
      <c r="J47" s="118">
        <f t="shared" si="42"/>
        <v>7.6375983633726037</v>
      </c>
      <c r="K47" s="116">
        <f t="shared" si="43"/>
        <v>1.4465148415478414E-2</v>
      </c>
      <c r="L47" s="116">
        <f t="shared" si="44"/>
        <v>14.465148415478414</v>
      </c>
      <c r="M47" s="116">
        <f t="shared" si="45"/>
        <v>347.16356197148195</v>
      </c>
      <c r="N47" s="116">
        <f t="shared" si="46"/>
        <v>14.465148415478415</v>
      </c>
      <c r="O47" s="47">
        <f>'EC 84'!L14</f>
        <v>2.8930296830956825E-3</v>
      </c>
    </row>
    <row r="48" spans="1:16" ht="15.75" customHeight="1" x14ac:dyDescent="0.25">
      <c r="A48" s="115" t="s">
        <v>235</v>
      </c>
      <c r="B48" s="116">
        <f>'GB 2'!G14</f>
        <v>8.9365833774052411E-2</v>
      </c>
      <c r="C48" s="117">
        <f t="shared" si="35"/>
        <v>8.936583377405242E-11</v>
      </c>
      <c r="D48" s="118">
        <f t="shared" si="36"/>
        <v>178731667.54810485</v>
      </c>
      <c r="E48" s="118">
        <f t="shared" si="37"/>
        <v>1966048343.0291533</v>
      </c>
      <c r="F48" s="119">
        <f t="shared" si="38"/>
        <v>1.9660483430291534E-3</v>
      </c>
      <c r="G48" s="119">
        <f t="shared" si="39"/>
        <v>1.9660483430291535</v>
      </c>
      <c r="H48" s="119">
        <f t="shared" si="40"/>
        <v>1966.0483430291536</v>
      </c>
      <c r="I48" s="120">
        <f t="shared" si="41"/>
        <v>163.6914037507517</v>
      </c>
      <c r="J48" s="118">
        <f t="shared" si="42"/>
        <v>1.9660483430291535</v>
      </c>
      <c r="K48" s="116">
        <f t="shared" si="43"/>
        <v>3.7235764072521839E-3</v>
      </c>
      <c r="L48" s="116">
        <f t="shared" si="44"/>
        <v>3.723576407252184</v>
      </c>
      <c r="M48" s="116">
        <f t="shared" si="45"/>
        <v>89.365833774052405</v>
      </c>
      <c r="N48" s="116">
        <f t="shared" si="46"/>
        <v>3.7235764072521835</v>
      </c>
      <c r="O48" s="47">
        <f>'GB 2'!L14</f>
        <v>7.447152814504367E-4</v>
      </c>
      <c r="P48" s="108" t="s">
        <v>236</v>
      </c>
    </row>
    <row r="49" spans="1:16" ht="15.75" customHeight="1" x14ac:dyDescent="0.25">
      <c r="A49" s="115" t="s">
        <v>180</v>
      </c>
      <c r="B49" s="116">
        <f>'SM-LH'!G14</f>
        <v>1.9734196458238481E-2</v>
      </c>
      <c r="C49" s="117">
        <f t="shared" si="35"/>
        <v>1.9734196458238483E-11</v>
      </c>
      <c r="D49" s="118">
        <f t="shared" si="36"/>
        <v>39468392.916476965</v>
      </c>
      <c r="E49" s="118">
        <f t="shared" si="37"/>
        <v>434152322.08124661</v>
      </c>
      <c r="F49" s="119">
        <f t="shared" si="38"/>
        <v>4.3415232208124659E-4</v>
      </c>
      <c r="G49" s="119">
        <f t="shared" si="39"/>
        <v>0.4341523220812466</v>
      </c>
      <c r="H49" s="119">
        <f t="shared" si="40"/>
        <v>434.15232208124661</v>
      </c>
      <c r="I49" s="120">
        <f t="shared" si="41"/>
        <v>36.147128983426995</v>
      </c>
      <c r="J49" s="118">
        <f t="shared" si="42"/>
        <v>0.4341523220812466</v>
      </c>
      <c r="K49" s="116">
        <f t="shared" si="43"/>
        <v>8.222581857599367E-4</v>
      </c>
      <c r="L49" s="116">
        <f t="shared" si="44"/>
        <v>0.8222581857599367</v>
      </c>
      <c r="M49" s="116">
        <f t="shared" si="45"/>
        <v>19.734196458238483</v>
      </c>
      <c r="N49" s="116">
        <f t="shared" si="46"/>
        <v>0.82225818575993681</v>
      </c>
      <c r="O49" s="47">
        <f>'SM-LH'!L14</f>
        <v>1.6445163715198734E-4</v>
      </c>
    </row>
    <row r="50" spans="1:16" ht="15.75" customHeight="1" x14ac:dyDescent="0.25">
      <c r="A50" s="115" t="s">
        <v>237</v>
      </c>
      <c r="B50" s="116">
        <f>'WB-LS'!G14</f>
        <v>3.107027872317953E-2</v>
      </c>
      <c r="C50" s="117">
        <f t="shared" si="35"/>
        <v>3.1070278723179531E-11</v>
      </c>
      <c r="D50" s="118">
        <f t="shared" si="36"/>
        <v>62140557.446359061</v>
      </c>
      <c r="E50" s="118">
        <f t="shared" si="37"/>
        <v>683546131.90994966</v>
      </c>
      <c r="F50" s="119">
        <f t="shared" si="38"/>
        <v>6.835461319099497E-4</v>
      </c>
      <c r="G50" s="119">
        <f t="shared" si="39"/>
        <v>0.68354613190994973</v>
      </c>
      <c r="H50" s="119">
        <f t="shared" si="40"/>
        <v>683.54613190994974</v>
      </c>
      <c r="I50" s="120">
        <f t="shared" si="41"/>
        <v>56.91143163262339</v>
      </c>
      <c r="J50" s="118">
        <f t="shared" si="42"/>
        <v>0.68354613190994973</v>
      </c>
      <c r="K50" s="116">
        <f t="shared" si="43"/>
        <v>1.2945949467991472E-3</v>
      </c>
      <c r="L50" s="116">
        <f t="shared" si="44"/>
        <v>1.2945949467991471</v>
      </c>
      <c r="M50" s="116">
        <f t="shared" si="45"/>
        <v>31.070278723179531</v>
      </c>
      <c r="N50" s="116">
        <f t="shared" si="46"/>
        <v>1.2945949467991471</v>
      </c>
      <c r="O50" s="47">
        <f>'WB-LS'!L14</f>
        <v>2.5891898935982943E-4</v>
      </c>
    </row>
    <row r="51" spans="1:16" ht="15.75" customHeight="1" x14ac:dyDescent="0.25">
      <c r="A51" s="121" t="s">
        <v>238</v>
      </c>
      <c r="B51" s="122">
        <f>BT!G14</f>
        <v>0.43305638822980907</v>
      </c>
      <c r="C51" s="123">
        <f t="shared" si="35"/>
        <v>4.3305638822980909E-10</v>
      </c>
      <c r="D51" s="124">
        <f t="shared" si="36"/>
        <v>866112776.45961821</v>
      </c>
      <c r="E51" s="124">
        <f t="shared" si="37"/>
        <v>9527240541.0557995</v>
      </c>
      <c r="F51" s="125">
        <f t="shared" si="38"/>
        <v>9.5272405410557984E-3</v>
      </c>
      <c r="G51" s="125">
        <f t="shared" si="39"/>
        <v>9.5272405410557983</v>
      </c>
      <c r="H51" s="125">
        <f t="shared" si="40"/>
        <v>9527.2405410557985</v>
      </c>
      <c r="I51" s="126">
        <f t="shared" si="41"/>
        <v>793.22941552580608</v>
      </c>
      <c r="J51" s="124">
        <f t="shared" si="42"/>
        <v>9.5272405410557983</v>
      </c>
      <c r="K51" s="122">
        <f t="shared" si="43"/>
        <v>1.8044016176242045E-2</v>
      </c>
      <c r="L51" s="122">
        <f t="shared" si="44"/>
        <v>18.044016176242046</v>
      </c>
      <c r="M51" s="122">
        <f t="shared" si="45"/>
        <v>433.0563882298091</v>
      </c>
      <c r="N51" s="122">
        <f t="shared" si="46"/>
        <v>18.044016176242046</v>
      </c>
      <c r="O51" s="127">
        <f>BT!L14</f>
        <v>3.6088032352484087E-3</v>
      </c>
    </row>
    <row r="52" spans="1:16" ht="15.75" customHeight="1" x14ac:dyDescent="0.25">
      <c r="O52" s="47">
        <f>AVERAGE(O31:O50)</f>
        <v>1.0488751800169335E-3</v>
      </c>
      <c r="P52" s="108" t="s">
        <v>239</v>
      </c>
    </row>
    <row r="53" spans="1:16" ht="15.75" customHeight="1" x14ac:dyDescent="0.25"/>
    <row r="54" spans="1:16" ht="15.75" customHeight="1" x14ac:dyDescent="0.25"/>
    <row r="55" spans="1:16" ht="15.75" customHeight="1" x14ac:dyDescent="0.25">
      <c r="B55" s="128" t="str">
        <f>I4</f>
        <v>nmol C/L/d</v>
      </c>
      <c r="C55" s="128" t="str">
        <f>I30</f>
        <v>nmol C/L/d</v>
      </c>
    </row>
    <row r="56" spans="1:16" ht="15.75" customHeight="1" x14ac:dyDescent="0.25">
      <c r="A56" s="109" t="str">
        <f t="shared" ref="A56:A77" si="47">A30</f>
        <v>Sample</v>
      </c>
      <c r="B56" s="108" t="s">
        <v>242</v>
      </c>
      <c r="C56" s="108" t="s">
        <v>243</v>
      </c>
      <c r="D56" s="108" t="s">
        <v>244</v>
      </c>
    </row>
    <row r="57" spans="1:16" ht="15.75" customHeight="1" x14ac:dyDescent="0.25">
      <c r="A57" s="109" t="str">
        <f t="shared" si="47"/>
        <v>U17</v>
      </c>
      <c r="B57" s="47">
        <f t="shared" ref="B57:B77" si="48">I5</f>
        <v>189.44207565170979</v>
      </c>
      <c r="C57" s="47">
        <f t="shared" ref="C57:C77" si="49">I31</f>
        <v>35.40872239135912</v>
      </c>
      <c r="D57" s="118">
        <f t="shared" ref="D57:D77" si="50">B5/B31</f>
        <v>76.43075444917568</v>
      </c>
    </row>
    <row r="58" spans="1:16" ht="15.75" customHeight="1" x14ac:dyDescent="0.25">
      <c r="A58" s="109" t="str">
        <f t="shared" si="47"/>
        <v>SB14</v>
      </c>
      <c r="B58" s="47">
        <f t="shared" si="48"/>
        <v>125.05492289691692</v>
      </c>
      <c r="C58" s="47">
        <f t="shared" si="49"/>
        <v>118.60742870159854</v>
      </c>
      <c r="D58" s="118">
        <f t="shared" si="50"/>
        <v>15.062285036310774</v>
      </c>
    </row>
    <row r="59" spans="1:16" ht="15.75" customHeight="1" x14ac:dyDescent="0.25">
      <c r="A59" s="109" t="str">
        <f t="shared" si="47"/>
        <v>BQI</v>
      </c>
      <c r="B59" s="47">
        <f t="shared" si="48"/>
        <v>169.81706555921897</v>
      </c>
      <c r="C59" s="47">
        <f t="shared" si="49"/>
        <v>134.01963665938788</v>
      </c>
      <c r="D59" s="118">
        <f t="shared" si="50"/>
        <v>18.10151213574029</v>
      </c>
    </row>
    <row r="60" spans="1:16" ht="15.75" customHeight="1" x14ac:dyDescent="0.25">
      <c r="A60" s="109" t="str">
        <f t="shared" si="47"/>
        <v>KW</v>
      </c>
      <c r="B60" s="47">
        <f t="shared" si="48"/>
        <v>180.69671813192272</v>
      </c>
      <c r="C60" s="47">
        <f t="shared" si="49"/>
        <v>68.471747401895314</v>
      </c>
      <c r="D60" s="118">
        <f t="shared" si="50"/>
        <v>37.699953419436802</v>
      </c>
    </row>
    <row r="61" spans="1:16" ht="15.75" customHeight="1" x14ac:dyDescent="0.25">
      <c r="A61" s="109" t="str">
        <f t="shared" si="47"/>
        <v>SBI</v>
      </c>
      <c r="B61" s="47">
        <f t="shared" si="48"/>
        <v>75.839595869126086</v>
      </c>
      <c r="C61" s="47">
        <f t="shared" si="49"/>
        <v>133.93209316697167</v>
      </c>
      <c r="D61" s="118">
        <f t="shared" si="50"/>
        <v>8.0893441781700623</v>
      </c>
    </row>
    <row r="62" spans="1:16" ht="15.75" customHeight="1" x14ac:dyDescent="0.25">
      <c r="A62" s="109" t="str">
        <f t="shared" si="47"/>
        <v>LSC</v>
      </c>
      <c r="B62" s="47">
        <f t="shared" si="48"/>
        <v>285.56468324474667</v>
      </c>
      <c r="C62" s="47">
        <f t="shared" si="49"/>
        <v>316.70211482641804</v>
      </c>
      <c r="D62" s="118">
        <f t="shared" si="50"/>
        <v>12.881175350410567</v>
      </c>
    </row>
    <row r="63" spans="1:16" ht="15.75" customHeight="1" x14ac:dyDescent="0.25">
      <c r="A63" s="109" t="str">
        <f t="shared" si="47"/>
        <v>CCIW</v>
      </c>
      <c r="B63" s="47">
        <f t="shared" si="48"/>
        <v>627.39001062430361</v>
      </c>
      <c r="C63" s="47">
        <f t="shared" si="49"/>
        <v>179.95600095866885</v>
      </c>
      <c r="D63" s="118">
        <f t="shared" si="50"/>
        <v>49.805032284244582</v>
      </c>
    </row>
    <row r="64" spans="1:16" ht="15.75" customHeight="1" x14ac:dyDescent="0.25">
      <c r="A64" s="109" t="str">
        <f t="shared" si="47"/>
        <v>WE6</v>
      </c>
      <c r="B64" s="47">
        <f t="shared" si="48"/>
        <v>885.02104654778702</v>
      </c>
      <c r="C64" s="47">
        <f t="shared" si="49"/>
        <v>183.64287924820846</v>
      </c>
      <c r="D64" s="118">
        <f t="shared" si="50"/>
        <v>68.846436407355952</v>
      </c>
    </row>
    <row r="65" spans="1:4" ht="15.75" customHeight="1" x14ac:dyDescent="0.25">
      <c r="A65" s="109" t="str">
        <f t="shared" si="47"/>
        <v>GB</v>
      </c>
      <c r="B65" s="47">
        <f t="shared" si="48"/>
        <v>472.33279781784796</v>
      </c>
      <c r="C65" s="47">
        <f t="shared" si="49"/>
        <v>250.38632996432392</v>
      </c>
      <c r="D65" s="118">
        <f t="shared" si="50"/>
        <v>26.948801072164187</v>
      </c>
    </row>
    <row r="66" spans="1:4" ht="15.75" customHeight="1" x14ac:dyDescent="0.25">
      <c r="A66" s="109" t="str">
        <f t="shared" si="47"/>
        <v>BI</v>
      </c>
      <c r="B66" s="47">
        <f t="shared" si="48"/>
        <v>57.872241651018371</v>
      </c>
      <c r="C66" s="47">
        <f t="shared" si="49"/>
        <v>38.190698221998062</v>
      </c>
      <c r="D66" s="118">
        <f t="shared" si="50"/>
        <v>21.647844836312842</v>
      </c>
    </row>
    <row r="67" spans="1:4" ht="15.75" customHeight="1" x14ac:dyDescent="0.25">
      <c r="A67" s="109" t="str">
        <f t="shared" si="47"/>
        <v>ALS</v>
      </c>
      <c r="B67" s="47">
        <f t="shared" si="48"/>
        <v>62.268764758230752</v>
      </c>
      <c r="C67" s="47">
        <f t="shared" si="49"/>
        <v>79.025935864436036</v>
      </c>
      <c r="D67" s="118">
        <f t="shared" si="50"/>
        <v>11.256478933529017</v>
      </c>
    </row>
    <row r="68" spans="1:4" ht="15.75" customHeight="1" x14ac:dyDescent="0.25">
      <c r="A68" s="109" t="str">
        <f t="shared" si="47"/>
        <v>GB I</v>
      </c>
      <c r="B68" s="47">
        <f t="shared" si="48"/>
        <v>999.91504568011214</v>
      </c>
      <c r="C68" s="47">
        <f t="shared" si="49"/>
        <v>329.49074569168658</v>
      </c>
      <c r="D68" s="118">
        <f t="shared" si="50"/>
        <v>43.353268155031664</v>
      </c>
    </row>
    <row r="69" spans="1:4" ht="15.75" customHeight="1" x14ac:dyDescent="0.25">
      <c r="A69" s="109" t="str">
        <f t="shared" si="47"/>
        <v>KB</v>
      </c>
      <c r="B69" s="47">
        <f t="shared" si="48"/>
        <v>358.82105932109278</v>
      </c>
      <c r="C69" s="47">
        <f t="shared" si="49"/>
        <v>635.39340964393227</v>
      </c>
      <c r="D69" s="118">
        <f t="shared" si="50"/>
        <v>8.0674666361916358</v>
      </c>
    </row>
    <row r="70" spans="1:4" ht="15.75" customHeight="1" x14ac:dyDescent="0.25">
      <c r="A70" s="109" t="str">
        <f t="shared" si="47"/>
        <v>SB</v>
      </c>
      <c r="B70" s="47">
        <f t="shared" si="48"/>
        <v>1158.3475950022184</v>
      </c>
      <c r="C70" s="47">
        <f t="shared" si="49"/>
        <v>803.78167098679705</v>
      </c>
      <c r="D70" s="118">
        <f t="shared" si="50"/>
        <v>20.587459733226233</v>
      </c>
    </row>
    <row r="71" spans="1:4" ht="15.75" customHeight="1" x14ac:dyDescent="0.25">
      <c r="A71" s="109" t="str">
        <f t="shared" si="47"/>
        <v>ER 78M</v>
      </c>
      <c r="B71" s="47">
        <f t="shared" si="48"/>
        <v>537.50560436179239</v>
      </c>
      <c r="C71" s="47">
        <f t="shared" si="49"/>
        <v>491.60965268158174</v>
      </c>
      <c r="D71" s="118">
        <f t="shared" si="50"/>
        <v>15.619407489250937</v>
      </c>
    </row>
    <row r="72" spans="1:4" ht="15.75" customHeight="1" x14ac:dyDescent="0.25">
      <c r="A72" s="109" t="str">
        <f t="shared" si="47"/>
        <v>EC I</v>
      </c>
      <c r="B72" s="47">
        <f t="shared" si="48"/>
        <v>259.66616009306085</v>
      </c>
      <c r="C72" s="47">
        <f t="shared" si="49"/>
        <v>114.41339523874606</v>
      </c>
      <c r="D72" s="118">
        <f t="shared" si="50"/>
        <v>32.422047829429211</v>
      </c>
    </row>
    <row r="73" spans="1:4" ht="15.75" customHeight="1" x14ac:dyDescent="0.25">
      <c r="A73" s="109" t="str">
        <f t="shared" si="47"/>
        <v>EC 84</v>
      </c>
      <c r="B73" s="47">
        <f t="shared" si="48"/>
        <v>751.11918552505585</v>
      </c>
      <c r="C73" s="47">
        <f t="shared" si="49"/>
        <v>635.89951987582765</v>
      </c>
      <c r="D73" s="118">
        <f t="shared" si="50"/>
        <v>16.874166033376902</v>
      </c>
    </row>
    <row r="74" spans="1:4" ht="15.75" customHeight="1" x14ac:dyDescent="0.25">
      <c r="A74" s="109" t="str">
        <f t="shared" si="47"/>
        <v>GB 2</v>
      </c>
      <c r="B74" s="47">
        <f t="shared" si="48"/>
        <v>265.20379393823669</v>
      </c>
      <c r="C74" s="47">
        <f t="shared" si="49"/>
        <v>163.6914037507517</v>
      </c>
      <c r="D74" s="118">
        <f t="shared" si="50"/>
        <v>23.144927228175835</v>
      </c>
    </row>
    <row r="75" spans="1:4" ht="15.75" customHeight="1" x14ac:dyDescent="0.25">
      <c r="A75" s="109" t="str">
        <f t="shared" si="47"/>
        <v>SM-LH</v>
      </c>
      <c r="B75" s="47">
        <f t="shared" si="48"/>
        <v>15.127291261337904</v>
      </c>
      <c r="C75" s="47">
        <f t="shared" si="49"/>
        <v>36.147128983426995</v>
      </c>
      <c r="D75" s="118">
        <f t="shared" si="50"/>
        <v>5.9784598930481279</v>
      </c>
    </row>
    <row r="76" spans="1:4" ht="15.75" customHeight="1" x14ac:dyDescent="0.25">
      <c r="A76" s="109" t="str">
        <f t="shared" si="47"/>
        <v>WB-LS</v>
      </c>
      <c r="B76" s="47">
        <f t="shared" si="48"/>
        <v>37.768217537245334</v>
      </c>
      <c r="C76" s="47">
        <f t="shared" si="49"/>
        <v>56.91143163262339</v>
      </c>
      <c r="D76" s="118">
        <f t="shared" si="50"/>
        <v>9.4804496977107551</v>
      </c>
    </row>
    <row r="77" spans="1:4" ht="15.75" customHeight="1" x14ac:dyDescent="0.25">
      <c r="A77" s="109" t="str">
        <f t="shared" si="47"/>
        <v>BT</v>
      </c>
      <c r="B77" s="47">
        <f t="shared" si="48"/>
        <v>1116.0261111280813</v>
      </c>
      <c r="C77" s="47">
        <f t="shared" si="49"/>
        <v>793.22941552580608</v>
      </c>
      <c r="D77" s="118">
        <f t="shared" si="50"/>
        <v>20.099141366819254</v>
      </c>
    </row>
    <row r="78" spans="1:4" ht="15.75" customHeight="1" x14ac:dyDescent="0.25"/>
    <row r="79" spans="1:4" ht="15.75" customHeight="1" x14ac:dyDescent="0.25"/>
    <row r="80" spans="1:4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</sheetData>
  <mergeCells count="2">
    <mergeCell ref="A3:N3"/>
    <mergeCell ref="A29:N29"/>
  </mergeCells>
  <pageMargins left="0.7" right="0.7" top="0.75" bottom="0.75" header="0" footer="0"/>
  <pageSetup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U17</vt:lpstr>
      <vt:lpstr>SB14</vt:lpstr>
      <vt:lpstr>BQI</vt:lpstr>
      <vt:lpstr>KW</vt:lpstr>
      <vt:lpstr>SBI</vt:lpstr>
      <vt:lpstr>LSC</vt:lpstr>
      <vt:lpstr>CCIW</vt:lpstr>
      <vt:lpstr>WE6</vt:lpstr>
      <vt:lpstr>GB</vt:lpstr>
      <vt:lpstr>BI</vt:lpstr>
      <vt:lpstr>ALS</vt:lpstr>
      <vt:lpstr>GB I</vt:lpstr>
      <vt:lpstr>KB</vt:lpstr>
      <vt:lpstr>SB</vt:lpstr>
      <vt:lpstr>ER 78M</vt:lpstr>
      <vt:lpstr>EC I</vt:lpstr>
      <vt:lpstr>EC 84</vt:lpstr>
      <vt:lpstr>GB 2</vt:lpstr>
      <vt:lpstr>SM-LH</vt:lpstr>
      <vt:lpstr>Growth Rates</vt:lpstr>
      <vt:lpstr>WB-LS</vt:lpstr>
      <vt:lpstr>BT</vt:lpstr>
      <vt:lpstr>carbon conversions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mequinta</dc:creator>
  <cp:lastModifiedBy>Connor OLoughlin</cp:lastModifiedBy>
  <dcterms:created xsi:type="dcterms:W3CDTF">2022-08-18T18:36:07Z</dcterms:created>
  <dcterms:modified xsi:type="dcterms:W3CDTF">2025-07-27T17:20:21Z</dcterms:modified>
</cp:coreProperties>
</file>